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mc:AlternateContent xmlns:mc="http://schemas.openxmlformats.org/markup-compatibility/2006">
    <mc:Choice Requires="x15">
      <x15ac:absPath xmlns:x15ac="http://schemas.microsoft.com/office/spreadsheetml/2010/11/ac" url="O:\Statistikk og analyse\HMoseby\Kvartalstatistikkene\Skadestatistikk\Rapport\"/>
    </mc:Choice>
  </mc:AlternateContent>
  <xr:revisionPtr revIDLastSave="0" documentId="13_ncr:1_{FD09B658-7CDC-4BFC-8B7A-D39A3A3754F3}" xr6:coauthVersionLast="44" xr6:coauthVersionMax="44" xr10:uidLastSave="{00000000-0000-0000-0000-000000000000}"/>
  <bookViews>
    <workbookView xWindow="-120" yWindow="-120" windowWidth="29040" windowHeight="15840" tabRatio="914" activeTab="22" xr2:uid="{00000000-000D-0000-FFFF-FFFF00000000}"/>
  </bookViews>
  <sheets>
    <sheet name="Forside" sheetId="46" r:id="rId1"/>
    <sheet name="Innhold" sheetId="21" r:id="rId2"/>
    <sheet name="Tab1" sheetId="23" r:id="rId3"/>
    <sheet name="Tab2" sheetId="19" r:id="rId4"/>
    <sheet name="Tab3" sheetId="1" r:id="rId5"/>
    <sheet name="Tab4" sheetId="2" r:id="rId6"/>
    <sheet name="Tab5" sheetId="4" r:id="rId7"/>
    <sheet name="Tab6" sheetId="5" r:id="rId8"/>
    <sheet name="Tab7" sheetId="6" r:id="rId9"/>
    <sheet name="Tab8" sheetId="7" r:id="rId10"/>
    <sheet name="Tab9" sheetId="8" r:id="rId11"/>
    <sheet name="Tab10" sheetId="9" r:id="rId12"/>
    <sheet name="Tab11" sheetId="10" r:id="rId13"/>
    <sheet name="Tab12" sheetId="12" r:id="rId14"/>
    <sheet name="Tab13" sheetId="13" r:id="rId15"/>
    <sheet name="Tab14" sheetId="14" r:id="rId16"/>
    <sheet name="Tab15" sheetId="43" r:id="rId17"/>
    <sheet name="Tab16" sheetId="44" r:id="rId18"/>
    <sheet name="Tab17" sheetId="45" r:id="rId19"/>
    <sheet name="Tab18" sheetId="15" r:id="rId20"/>
    <sheet name="Tab19" sheetId="16" r:id="rId21"/>
    <sheet name="Tab20" sheetId="17" r:id="rId22"/>
    <sheet name="Tab21" sheetId="24" r:id="rId23"/>
  </sheets>
  <externalReferences>
    <externalReference r:id="rId24"/>
  </externalReferences>
  <definedNames>
    <definedName name="_xlnm._FilterDatabase" localSheetId="3" hidden="1">'Tab2'!$A$2</definedName>
    <definedName name="aar">'Tab3'!$E$6</definedName>
    <definedName name="aar_1">'Tab3'!$D$6</definedName>
    <definedName name="aar_2">'Tab3'!$C$6</definedName>
    <definedName name="aaret_i_alt">'Tab3'!$B$7</definedName>
    <definedName name="DATA_0">#REF!</definedName>
    <definedName name="DATA_AN">#REF!</definedName>
    <definedName name="DATA_B">#REF!</definedName>
    <definedName name="DATA_BEH">#REF!</definedName>
    <definedName name="DATA_BKN">#REF!</definedName>
    <definedName name="DATA_BKP">#REF!</definedName>
    <definedName name="DATA_FB">#REF!</definedName>
    <definedName name="DATA_K">#REF!</definedName>
    <definedName name="DATA_M1">#REF!</definedName>
    <definedName name="DATA_M2">#REF!</definedName>
    <definedName name="DATA_P">#REF!</definedName>
    <definedName name="DATA_RS">#REF!</definedName>
    <definedName name="Dato_1årsiden">[1]Tab5!$C$6</definedName>
    <definedName name="Dato_2årsiden">[1]Tab5!$B$6</definedName>
    <definedName name="Dato_nå">[1]Tab5!$D$6</definedName>
    <definedName name="hittil_i_aar">'Tab3'!$B$8</definedName>
    <definedName name="kvartal" localSheetId="0">#REF!</definedName>
    <definedName name="kvartal">#REF!</definedName>
    <definedName name="_xlnm.Print_Area" localSheetId="3">'Tab2'!$A$1:$AJ$62</definedName>
    <definedName name="_xlnm.Print_Area">'Tab9'!$A$4:$H$62</definedName>
    <definedName name="pros_1">'Tab3'!$H$6</definedName>
    <definedName name="pros_2">'Tab3'!$G$6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15" i="19" l="1"/>
  <c r="T214" i="19"/>
  <c r="T213" i="19"/>
  <c r="T212" i="19"/>
  <c r="Q215" i="19"/>
  <c r="Q214" i="19"/>
  <c r="Q213" i="19"/>
  <c r="Q212" i="19"/>
  <c r="N215" i="19"/>
  <c r="N214" i="19"/>
  <c r="N213" i="19"/>
  <c r="N212" i="19"/>
  <c r="D211" i="19"/>
  <c r="D212" i="19"/>
  <c r="D213" i="19"/>
  <c r="D214" i="19"/>
  <c r="D215" i="19"/>
  <c r="C215" i="19"/>
  <c r="C211" i="19"/>
  <c r="G217" i="19"/>
  <c r="E217" i="19"/>
  <c r="T211" i="19" l="1"/>
  <c r="Q211" i="19"/>
  <c r="N211" i="19"/>
  <c r="C214" i="19" l="1"/>
  <c r="C213" i="19"/>
  <c r="C212" i="19"/>
  <c r="B124" i="21" l="1"/>
  <c r="Y114" i="19" l="1"/>
  <c r="W130" i="19"/>
  <c r="Y82" i="19"/>
  <c r="Y100" i="19" s="1"/>
  <c r="Y111" i="19" s="1"/>
  <c r="R218" i="19"/>
  <c r="P218" i="19"/>
  <c r="O218" i="19"/>
  <c r="M218" i="19"/>
  <c r="L218" i="19"/>
  <c r="T210" i="19"/>
  <c r="Q210" i="19"/>
  <c r="N210" i="19"/>
  <c r="D210" i="19"/>
  <c r="C210" i="19"/>
  <c r="T209" i="19"/>
  <c r="Q209" i="19"/>
  <c r="N209" i="19"/>
  <c r="D209" i="19"/>
  <c r="C209" i="19"/>
  <c r="T208" i="19"/>
  <c r="Q208" i="19"/>
  <c r="N208" i="19"/>
  <c r="D208" i="19"/>
  <c r="C208" i="19"/>
  <c r="T207" i="19"/>
  <c r="Q207" i="19"/>
  <c r="N207" i="19"/>
  <c r="D207" i="19"/>
  <c r="C207" i="19"/>
  <c r="T206" i="19"/>
  <c r="Q206" i="19"/>
  <c r="N206" i="19"/>
  <c r="D206" i="19"/>
  <c r="C206" i="19"/>
  <c r="T205" i="19"/>
  <c r="Q205" i="19"/>
  <c r="N205" i="19"/>
  <c r="D205" i="19"/>
  <c r="C205" i="19"/>
  <c r="T204" i="19"/>
  <c r="Q204" i="19"/>
  <c r="N204" i="19"/>
  <c r="D204" i="19"/>
  <c r="C204" i="19"/>
  <c r="T203" i="19"/>
  <c r="Q203" i="19"/>
  <c r="N203" i="19"/>
  <c r="D203" i="19"/>
  <c r="C203" i="19"/>
  <c r="T202" i="19"/>
  <c r="Q202" i="19"/>
  <c r="N202" i="19"/>
  <c r="D202" i="19"/>
  <c r="C202" i="19"/>
  <c r="T201" i="19"/>
  <c r="Q201" i="19"/>
  <c r="N201" i="19"/>
  <c r="D201" i="19"/>
  <c r="C201" i="19"/>
  <c r="T200" i="19"/>
  <c r="Q200" i="19"/>
  <c r="N200" i="19"/>
  <c r="D200" i="19"/>
  <c r="C200" i="19"/>
  <c r="T199" i="19"/>
  <c r="Q199" i="19"/>
  <c r="N199" i="19"/>
  <c r="D199" i="19"/>
  <c r="C199" i="19"/>
  <c r="T198" i="19"/>
  <c r="Q198" i="19"/>
  <c r="N198" i="19"/>
  <c r="D198" i="19"/>
  <c r="C198" i="19"/>
  <c r="T197" i="19"/>
  <c r="Q197" i="19"/>
  <c r="N197" i="19"/>
  <c r="D197" i="19"/>
  <c r="C197" i="19"/>
  <c r="T196" i="19"/>
  <c r="Q196" i="19"/>
  <c r="N196" i="19"/>
  <c r="D196" i="19"/>
  <c r="C196" i="19"/>
  <c r="T195" i="19"/>
  <c r="Q195" i="19"/>
  <c r="N195" i="19"/>
  <c r="K195" i="19"/>
  <c r="J195" i="19"/>
  <c r="D195" i="19"/>
  <c r="C195" i="19"/>
  <c r="T194" i="19"/>
  <c r="Q194" i="19"/>
  <c r="N194" i="19"/>
  <c r="D194" i="19"/>
  <c r="C194" i="19"/>
  <c r="T193" i="19"/>
  <c r="Q193" i="19"/>
  <c r="N193" i="19"/>
  <c r="D193" i="19"/>
  <c r="C193" i="19"/>
  <c r="T192" i="19"/>
  <c r="Q192" i="19"/>
  <c r="N192" i="19"/>
  <c r="D192" i="19"/>
  <c r="C192" i="19"/>
  <c r="T191" i="19"/>
  <c r="Q191" i="19"/>
  <c r="N191" i="19"/>
  <c r="K191" i="19"/>
  <c r="D191" i="19"/>
  <c r="C191" i="19"/>
  <c r="T190" i="19"/>
  <c r="Q190" i="19"/>
  <c r="N190" i="19"/>
  <c r="D190" i="19"/>
  <c r="C190" i="19"/>
  <c r="T189" i="19"/>
  <c r="Q189" i="19"/>
  <c r="N189" i="19"/>
  <c r="D189" i="19"/>
  <c r="C189" i="19"/>
  <c r="T188" i="19"/>
  <c r="Q188" i="19"/>
  <c r="N188" i="19"/>
  <c r="D188" i="19"/>
  <c r="C188" i="19"/>
  <c r="T187" i="19"/>
  <c r="Q187" i="19"/>
  <c r="N187" i="19"/>
  <c r="D187" i="19"/>
  <c r="C187" i="19"/>
  <c r="T186" i="19"/>
  <c r="Q186" i="19"/>
  <c r="N186" i="19"/>
  <c r="D186" i="19"/>
  <c r="C186" i="19"/>
  <c r="T185" i="19"/>
  <c r="Q185" i="19"/>
  <c r="N185" i="19"/>
  <c r="D185" i="19"/>
  <c r="C185" i="19"/>
  <c r="T184" i="19"/>
  <c r="Q184" i="19"/>
  <c r="N184" i="19"/>
  <c r="D184" i="19"/>
  <c r="C184" i="19"/>
  <c r="T183" i="19"/>
  <c r="Q183" i="19"/>
  <c r="N183" i="19"/>
  <c r="D183" i="19"/>
  <c r="C183" i="19"/>
  <c r="T182" i="19"/>
  <c r="Q182" i="19"/>
  <c r="N182" i="19"/>
  <c r="D182" i="19"/>
  <c r="C182" i="19"/>
  <c r="T181" i="19"/>
  <c r="Q181" i="19"/>
  <c r="N181" i="19"/>
  <c r="D181" i="19"/>
  <c r="C181" i="19"/>
  <c r="T180" i="19"/>
  <c r="Q180" i="19"/>
  <c r="N180" i="19"/>
  <c r="D180" i="19"/>
  <c r="C180" i="19"/>
  <c r="T179" i="19"/>
  <c r="Q179" i="19"/>
  <c r="N179" i="19"/>
  <c r="D179" i="19"/>
  <c r="C179" i="19"/>
  <c r="T178" i="19"/>
  <c r="Q178" i="19"/>
  <c r="N178" i="19"/>
  <c r="D178" i="19"/>
  <c r="C178" i="19"/>
  <c r="T177" i="19"/>
  <c r="Q177" i="19"/>
  <c r="N177" i="19"/>
  <c r="D177" i="19"/>
  <c r="C177" i="19"/>
  <c r="T176" i="19"/>
  <c r="Q176" i="19"/>
  <c r="N176" i="19"/>
  <c r="D176" i="19"/>
  <c r="C176" i="19"/>
  <c r="T175" i="19"/>
  <c r="Q175" i="19"/>
  <c r="N175" i="19"/>
  <c r="D175" i="19"/>
  <c r="C175" i="19"/>
  <c r="T174" i="19"/>
  <c r="Q174" i="19"/>
  <c r="N174" i="19"/>
  <c r="D174" i="19"/>
  <c r="C174" i="19"/>
  <c r="T173" i="19"/>
  <c r="Q173" i="19"/>
  <c r="N173" i="19"/>
  <c r="D173" i="19"/>
  <c r="C173" i="19"/>
  <c r="T172" i="19"/>
  <c r="Q172" i="19"/>
  <c r="N172" i="19"/>
  <c r="D172" i="19"/>
  <c r="C172" i="19"/>
  <c r="T171" i="19"/>
  <c r="Q171" i="19"/>
  <c r="N171" i="19"/>
  <c r="D171" i="19"/>
  <c r="C171" i="19"/>
  <c r="T170" i="19"/>
  <c r="Q170" i="19"/>
  <c r="N170" i="19"/>
  <c r="D170" i="19"/>
  <c r="C170" i="19"/>
  <c r="T169" i="19"/>
  <c r="Q169" i="19"/>
  <c r="N169" i="19"/>
  <c r="D169" i="19"/>
  <c r="C169" i="19"/>
  <c r="T168" i="19"/>
  <c r="Q168" i="19"/>
  <c r="N168" i="19"/>
  <c r="D168" i="19"/>
  <c r="C168" i="19"/>
  <c r="T167" i="19"/>
  <c r="Q167" i="19"/>
  <c r="N167" i="19"/>
  <c r="D167" i="19"/>
  <c r="C167" i="19"/>
  <c r="T166" i="19"/>
  <c r="Q166" i="19"/>
  <c r="N166" i="19"/>
  <c r="D166" i="19"/>
  <c r="C166" i="19"/>
  <c r="T165" i="19"/>
  <c r="Q165" i="19"/>
  <c r="N165" i="19"/>
  <c r="D165" i="19"/>
  <c r="C165" i="19"/>
  <c r="T164" i="19"/>
  <c r="Q164" i="19"/>
  <c r="N164" i="19"/>
  <c r="D164" i="19"/>
  <c r="C164" i="19"/>
  <c r="T163" i="19"/>
  <c r="Q163" i="19"/>
  <c r="N163" i="19"/>
  <c r="D163" i="19"/>
  <c r="C163" i="19"/>
  <c r="T162" i="19"/>
  <c r="Q162" i="19"/>
  <c r="N162" i="19"/>
  <c r="D162" i="19"/>
  <c r="C162" i="19"/>
  <c r="T161" i="19"/>
  <c r="Q161" i="19"/>
  <c r="N161" i="19"/>
  <c r="D161" i="19"/>
  <c r="C161" i="19"/>
  <c r="T160" i="19"/>
  <c r="Q160" i="19"/>
  <c r="N160" i="19"/>
  <c r="D160" i="19"/>
  <c r="C160" i="19"/>
  <c r="T159" i="19"/>
  <c r="Q159" i="19"/>
  <c r="N159" i="19"/>
  <c r="D159" i="19"/>
  <c r="C159" i="19"/>
  <c r="T158" i="19"/>
  <c r="Q158" i="19"/>
  <c r="N158" i="19"/>
  <c r="D158" i="19"/>
  <c r="C158" i="19"/>
  <c r="T157" i="19"/>
  <c r="Q157" i="19"/>
  <c r="N157" i="19"/>
  <c r="D157" i="19"/>
  <c r="C157" i="19"/>
  <c r="T156" i="19"/>
  <c r="Q156" i="19"/>
  <c r="N156" i="19"/>
  <c r="D156" i="19"/>
  <c r="C156" i="19"/>
  <c r="T155" i="19"/>
  <c r="Q155" i="19"/>
  <c r="N155" i="19"/>
  <c r="D155" i="19"/>
  <c r="C155" i="19"/>
  <c r="T154" i="19"/>
  <c r="Q154" i="19"/>
  <c r="N154" i="19"/>
  <c r="D154" i="19"/>
  <c r="C154" i="19"/>
  <c r="T153" i="19"/>
  <c r="Q153" i="19"/>
  <c r="N153" i="19"/>
  <c r="D153" i="19"/>
  <c r="C153" i="19"/>
  <c r="T152" i="19"/>
  <c r="Q152" i="19"/>
  <c r="N152" i="19"/>
  <c r="D152" i="19"/>
  <c r="C152" i="19"/>
  <c r="T151" i="19"/>
  <c r="Q151" i="19"/>
  <c r="N151" i="19"/>
  <c r="D151" i="19"/>
  <c r="C151" i="19"/>
  <c r="T150" i="19"/>
  <c r="Q150" i="19"/>
  <c r="N150" i="19"/>
  <c r="D150" i="19"/>
  <c r="C150" i="19"/>
  <c r="T149" i="19"/>
  <c r="Q149" i="19"/>
  <c r="N149" i="19"/>
  <c r="D149" i="19"/>
  <c r="C149" i="19"/>
  <c r="T148" i="19"/>
  <c r="Q148" i="19"/>
  <c r="N148" i="19"/>
  <c r="D148" i="19"/>
  <c r="C148" i="19"/>
  <c r="T147" i="19"/>
  <c r="Q147" i="19"/>
  <c r="N147" i="19"/>
  <c r="D147" i="19"/>
  <c r="C147" i="19"/>
  <c r="T146" i="19"/>
  <c r="Q146" i="19"/>
  <c r="N146" i="19"/>
  <c r="D146" i="19"/>
  <c r="C146" i="19"/>
  <c r="T145" i="19"/>
  <c r="Q145" i="19"/>
  <c r="N145" i="19"/>
  <c r="D145" i="19"/>
  <c r="C145" i="19"/>
  <c r="T144" i="19"/>
  <c r="Q144" i="19"/>
  <c r="N144" i="19"/>
  <c r="D144" i="19"/>
  <c r="C144" i="19"/>
  <c r="T143" i="19"/>
  <c r="Q143" i="19"/>
  <c r="N143" i="19"/>
  <c r="D143" i="19"/>
  <c r="C143" i="19"/>
  <c r="T142" i="19"/>
  <c r="Q142" i="19"/>
  <c r="N142" i="19"/>
  <c r="D142" i="19"/>
  <c r="C142" i="19"/>
  <c r="T141" i="19"/>
  <c r="Q141" i="19"/>
  <c r="N141" i="19"/>
  <c r="D141" i="19"/>
  <c r="C141" i="19"/>
  <c r="T140" i="19"/>
  <c r="Q140" i="19"/>
  <c r="N140" i="19"/>
  <c r="D140" i="19"/>
  <c r="C140" i="19"/>
  <c r="T139" i="19"/>
  <c r="Q139" i="19"/>
  <c r="N139" i="19"/>
  <c r="D139" i="19"/>
  <c r="C139" i="19"/>
  <c r="T138" i="19"/>
  <c r="Q138" i="19"/>
  <c r="N138" i="19"/>
  <c r="D138" i="19"/>
  <c r="C138" i="19"/>
  <c r="T137" i="19"/>
  <c r="Q137" i="19"/>
  <c r="N137" i="19"/>
  <c r="D137" i="19"/>
  <c r="C137" i="19"/>
  <c r="T136" i="19"/>
  <c r="Q136" i="19"/>
  <c r="N136" i="19"/>
  <c r="D136" i="19"/>
  <c r="C136" i="19"/>
  <c r="T135" i="19"/>
  <c r="Q135" i="19"/>
  <c r="N135" i="19"/>
  <c r="D135" i="19"/>
  <c r="C135" i="19"/>
  <c r="T134" i="19"/>
  <c r="Q134" i="19"/>
  <c r="N134" i="19"/>
  <c r="D134" i="19"/>
  <c r="C134" i="19"/>
  <c r="Y133" i="19"/>
  <c r="X133" i="19"/>
  <c r="W133" i="19"/>
  <c r="T133" i="19"/>
  <c r="Q133" i="19"/>
  <c r="N133" i="19"/>
  <c r="Y132" i="19"/>
  <c r="X132" i="19"/>
  <c r="W132" i="19"/>
  <c r="T132" i="19"/>
  <c r="Q132" i="19"/>
  <c r="N132" i="19"/>
  <c r="D132" i="19"/>
  <c r="D133" i="19" s="1"/>
  <c r="C132" i="19"/>
  <c r="C133" i="19" s="1"/>
  <c r="Y131" i="19"/>
  <c r="X131" i="19"/>
  <c r="W131" i="19"/>
  <c r="T131" i="19"/>
  <c r="Q131" i="19"/>
  <c r="N131" i="19"/>
  <c r="Y130" i="19"/>
  <c r="X130" i="19"/>
  <c r="T130" i="19"/>
  <c r="Q130" i="19"/>
  <c r="N130" i="19"/>
  <c r="X129" i="19"/>
  <c r="T129" i="19"/>
  <c r="Q129" i="19"/>
  <c r="N129" i="19"/>
  <c r="Y128" i="19"/>
  <c r="X128" i="19"/>
  <c r="T128" i="19"/>
  <c r="Q128" i="19"/>
  <c r="N128" i="19"/>
  <c r="D128" i="19"/>
  <c r="C128" i="19"/>
  <c r="C129" i="19" s="1"/>
  <c r="T127" i="19"/>
  <c r="Q127" i="19"/>
  <c r="N127" i="19"/>
  <c r="T126" i="19"/>
  <c r="Q126" i="19"/>
  <c r="N126" i="19"/>
  <c r="Y125" i="19"/>
  <c r="X125" i="19"/>
  <c r="T125" i="19"/>
  <c r="Q125" i="19"/>
  <c r="N125" i="19"/>
  <c r="Y124" i="19"/>
  <c r="X124" i="19"/>
  <c r="W124" i="19"/>
  <c r="T124" i="19"/>
  <c r="Q124" i="19"/>
  <c r="N124" i="19"/>
  <c r="D124" i="19"/>
  <c r="C124" i="19"/>
  <c r="Y123" i="19"/>
  <c r="X123" i="19"/>
  <c r="W123" i="19"/>
  <c r="T123" i="19"/>
  <c r="Q123" i="19"/>
  <c r="N123" i="19"/>
  <c r="X122" i="19"/>
  <c r="W122" i="19"/>
  <c r="T122" i="19"/>
  <c r="Q122" i="19"/>
  <c r="N122" i="19"/>
  <c r="T121" i="19"/>
  <c r="Q121" i="19"/>
  <c r="N121" i="19"/>
  <c r="T120" i="19"/>
  <c r="Q120" i="19"/>
  <c r="N120" i="19"/>
  <c r="D120" i="19"/>
  <c r="C120" i="19"/>
  <c r="T119" i="19"/>
  <c r="Q119" i="19"/>
  <c r="N119" i="19"/>
  <c r="T118" i="19"/>
  <c r="Q118" i="19"/>
  <c r="N118" i="19"/>
  <c r="Y117" i="19"/>
  <c r="X117" i="19"/>
  <c r="W117" i="19"/>
  <c r="T117" i="19"/>
  <c r="Q117" i="19"/>
  <c r="N117" i="19"/>
  <c r="T116" i="19"/>
  <c r="Q116" i="19"/>
  <c r="N116" i="19"/>
  <c r="D116" i="19"/>
  <c r="D117" i="19" s="1"/>
  <c r="D118" i="19" s="1"/>
  <c r="C116" i="19"/>
  <c r="T115" i="19"/>
  <c r="Q115" i="19"/>
  <c r="N115" i="19"/>
  <c r="X114" i="19"/>
  <c r="T114" i="19"/>
  <c r="Q114" i="19"/>
  <c r="N114" i="19"/>
  <c r="Y113" i="19"/>
  <c r="X113" i="19"/>
  <c r="W113" i="19"/>
  <c r="T113" i="19"/>
  <c r="Q113" i="19"/>
  <c r="N113" i="19"/>
  <c r="Y112" i="19"/>
  <c r="X112" i="19"/>
  <c r="W112" i="19"/>
  <c r="T112" i="19"/>
  <c r="Q112" i="19"/>
  <c r="N112" i="19"/>
  <c r="D112" i="19"/>
  <c r="D113" i="19" s="1"/>
  <c r="D114" i="19" s="1"/>
  <c r="C112" i="19"/>
  <c r="C113" i="19" s="1"/>
  <c r="C114" i="19" s="1"/>
  <c r="T111" i="19"/>
  <c r="Q111" i="19"/>
  <c r="N111" i="19"/>
  <c r="T110" i="19"/>
  <c r="Q110" i="19"/>
  <c r="N110" i="19"/>
  <c r="T109" i="19"/>
  <c r="Q109" i="19"/>
  <c r="N109" i="19"/>
  <c r="T108" i="19"/>
  <c r="Q108" i="19"/>
  <c r="N108" i="19"/>
  <c r="T107" i="19"/>
  <c r="Q107" i="19"/>
  <c r="N107" i="19"/>
  <c r="Y106" i="19"/>
  <c r="X106" i="19"/>
  <c r="W106" i="19"/>
  <c r="T106" i="19"/>
  <c r="Q106" i="19"/>
  <c r="N106" i="19"/>
  <c r="T105" i="19"/>
  <c r="Q105" i="19"/>
  <c r="N105" i="19"/>
  <c r="T104" i="19"/>
  <c r="Q104" i="19"/>
  <c r="N104" i="19"/>
  <c r="Y103" i="19"/>
  <c r="X103" i="19"/>
  <c r="W103" i="19"/>
  <c r="T103" i="19"/>
  <c r="Q103" i="19"/>
  <c r="N103" i="19"/>
  <c r="Y102" i="19"/>
  <c r="X102" i="19"/>
  <c r="W102" i="19"/>
  <c r="N102" i="19"/>
  <c r="Y101" i="19"/>
  <c r="X101" i="19"/>
  <c r="W101" i="19"/>
  <c r="N101" i="19"/>
  <c r="N100" i="19"/>
  <c r="N99" i="19"/>
  <c r="N98" i="19"/>
  <c r="N97" i="19"/>
  <c r="N96" i="19"/>
  <c r="N95" i="19"/>
  <c r="N94" i="19"/>
  <c r="N93" i="19"/>
  <c r="Y92" i="19"/>
  <c r="X92" i="19"/>
  <c r="W92" i="19"/>
  <c r="N92" i="19"/>
  <c r="Y91" i="19"/>
  <c r="X91" i="19"/>
  <c r="W91" i="19"/>
  <c r="N91" i="19"/>
  <c r="Y90" i="19"/>
  <c r="X90" i="19"/>
  <c r="W90" i="19"/>
  <c r="N90" i="19"/>
  <c r="Y89" i="19"/>
  <c r="X89" i="19"/>
  <c r="W89" i="19"/>
  <c r="N89" i="19"/>
  <c r="Y88" i="19"/>
  <c r="X88" i="19"/>
  <c r="W88" i="19"/>
  <c r="N88" i="19"/>
  <c r="Y87" i="19"/>
  <c r="X87" i="19"/>
  <c r="W87" i="19"/>
  <c r="N87" i="19"/>
  <c r="Y86" i="19"/>
  <c r="X86" i="19"/>
  <c r="W86" i="19"/>
  <c r="N86" i="19"/>
  <c r="X85" i="19"/>
  <c r="W85" i="19"/>
  <c r="N85" i="19"/>
  <c r="Y84" i="19"/>
  <c r="W84" i="19"/>
  <c r="N84" i="19"/>
  <c r="Y83" i="19"/>
  <c r="X83" i="19"/>
  <c r="W83" i="19"/>
  <c r="N83" i="19"/>
  <c r="N82" i="19"/>
  <c r="N81" i="19"/>
  <c r="N80" i="19"/>
  <c r="N79" i="19"/>
  <c r="N78" i="19"/>
  <c r="Z77" i="19"/>
  <c r="Y77" i="19"/>
  <c r="X77" i="19"/>
  <c r="N77" i="19"/>
  <c r="Z76" i="19"/>
  <c r="Y76" i="19"/>
  <c r="X76" i="19"/>
  <c r="N76" i="19"/>
  <c r="Z75" i="19"/>
  <c r="Y75" i="19"/>
  <c r="X75" i="19"/>
  <c r="N75" i="19"/>
  <c r="X74" i="19"/>
  <c r="N74" i="19"/>
  <c r="N73" i="19"/>
  <c r="Z72" i="19"/>
  <c r="Y72" i="19"/>
  <c r="X72" i="19"/>
  <c r="N72" i="19"/>
  <c r="N71" i="19"/>
  <c r="Y70" i="19"/>
  <c r="X70" i="19"/>
  <c r="W62" i="19"/>
  <c r="P61" i="19"/>
  <c r="AD32" i="19"/>
  <c r="B20" i="21" s="1"/>
  <c r="W32" i="19"/>
  <c r="B18" i="21" s="1"/>
  <c r="I32" i="19"/>
  <c r="B14" i="21" s="1"/>
  <c r="A32" i="19"/>
  <c r="B12" i="21" s="1"/>
  <c r="AD6" i="19"/>
  <c r="B19" i="21" s="1"/>
  <c r="W6" i="19"/>
  <c r="B17" i="21" s="1"/>
  <c r="I6" i="19"/>
  <c r="B13" i="21" s="1"/>
  <c r="A6" i="19"/>
  <c r="B11" i="21" s="1"/>
  <c r="A62" i="1"/>
  <c r="B123" i="21"/>
  <c r="A51" i="23" s="1"/>
  <c r="H24" i="21"/>
  <c r="H26" i="21" s="1"/>
  <c r="H28" i="21" s="1"/>
  <c r="H29" i="21" s="1"/>
  <c r="H31" i="21" s="1"/>
  <c r="B15" i="21"/>
  <c r="A61" i="19" l="1"/>
  <c r="X115" i="19"/>
  <c r="X104" i="19"/>
  <c r="W104" i="19"/>
  <c r="X78" i="19"/>
  <c r="Y115" i="19"/>
  <c r="W93" i="19"/>
  <c r="W95" i="19" s="1"/>
  <c r="Y104" i="19"/>
  <c r="H33" i="21"/>
  <c r="H34" i="21" s="1"/>
  <c r="H35" i="21" s="1"/>
  <c r="H36" i="21" s="1"/>
  <c r="H37" i="21" s="1"/>
  <c r="H38" i="21" s="1"/>
  <c r="H40" i="21" s="1"/>
  <c r="H32" i="21"/>
  <c r="H27" i="21"/>
  <c r="I61" i="19"/>
  <c r="AD62" i="19"/>
  <c r="Y85" i="19"/>
  <c r="Y93" i="19" s="1"/>
  <c r="Y95" i="19" s="1"/>
  <c r="C117" i="19"/>
  <c r="C118" i="19" s="1"/>
  <c r="W125" i="19"/>
  <c r="W128" i="19"/>
  <c r="W129" i="19"/>
  <c r="S218" i="19"/>
  <c r="W121" i="19"/>
  <c r="Y129" i="19"/>
  <c r="X82" i="19"/>
  <c r="X100" i="19" s="1"/>
  <c r="X111" i="19" s="1"/>
  <c r="W61" i="19"/>
  <c r="W114" i="19"/>
  <c r="W115" i="19" s="1"/>
  <c r="H53" i="24"/>
  <c r="A53" i="24"/>
  <c r="A62" i="16"/>
  <c r="A62" i="15"/>
  <c r="A62" i="45"/>
  <c r="A62" i="44"/>
  <c r="A62" i="17"/>
  <c r="A62" i="43"/>
  <c r="A62" i="14"/>
  <c r="A62" i="13"/>
  <c r="A62" i="9"/>
  <c r="A62" i="7"/>
  <c r="A62" i="6"/>
  <c r="A62" i="10"/>
  <c r="A62" i="12"/>
  <c r="A62" i="4"/>
  <c r="A62" i="2"/>
  <c r="A62" i="8"/>
  <c r="AD61" i="19"/>
  <c r="Z70" i="19"/>
  <c r="X84" i="19"/>
  <c r="X93" i="19" s="1"/>
  <c r="X95" i="19" s="1"/>
  <c r="X121" i="19"/>
  <c r="C125" i="19"/>
  <c r="C126" i="19" s="1"/>
  <c r="C130" i="19"/>
  <c r="B62" i="21"/>
  <c r="P32" i="19"/>
  <c r="B16" i="21" s="1"/>
  <c r="A62" i="19"/>
  <c r="Y74" i="19"/>
  <c r="Y78" i="19" s="1"/>
  <c r="Y121" i="19"/>
  <c r="Y122" i="19"/>
  <c r="D125" i="19"/>
  <c r="D126" i="19" s="1"/>
  <c r="D129" i="19"/>
  <c r="D130" i="19" s="1"/>
  <c r="H52" i="24"/>
  <c r="A52" i="24"/>
  <c r="A61" i="16"/>
  <c r="A61" i="15"/>
  <c r="A61" i="45"/>
  <c r="A61" i="44"/>
  <c r="A61" i="13"/>
  <c r="A61" i="17"/>
  <c r="A61" i="43"/>
  <c r="A61" i="14"/>
  <c r="A61" i="12"/>
  <c r="A61" i="9"/>
  <c r="A61" i="10"/>
  <c r="A61" i="7"/>
  <c r="A61" i="6"/>
  <c r="A61" i="5"/>
  <c r="A61" i="1"/>
  <c r="A61" i="4"/>
  <c r="A61" i="2"/>
  <c r="A61" i="8"/>
  <c r="A52" i="23"/>
  <c r="I62" i="19"/>
  <c r="Z74" i="19"/>
  <c r="Z78" i="19" s="1"/>
  <c r="C121" i="19"/>
  <c r="C122" i="19" s="1"/>
  <c r="R217" i="19"/>
  <c r="R216" i="19" s="1"/>
  <c r="W82" i="19"/>
  <c r="W100" i="19" s="1"/>
  <c r="W111" i="19" s="1"/>
  <c r="B61" i="21"/>
  <c r="P62" i="19"/>
  <c r="D121" i="19"/>
  <c r="D122" i="19" s="1"/>
  <c r="A62" i="5"/>
  <c r="O217" i="19"/>
  <c r="O216" i="19" s="1"/>
  <c r="P217" i="19" l="1"/>
  <c r="P216" i="19" s="1"/>
  <c r="L217" i="19"/>
  <c r="L216" i="19" s="1"/>
  <c r="S217" i="19"/>
  <c r="S216" i="19" s="1"/>
  <c r="M217" i="19"/>
  <c r="M216" i="19" s="1"/>
  <c r="H43" i="21"/>
  <c r="H41" i="21"/>
  <c r="H44" i="21" l="1"/>
  <c r="H45" i="21"/>
  <c r="H46" i="21" s="1"/>
  <c r="H47" i="21" s="1"/>
  <c r="H48" i="21" s="1"/>
  <c r="H66" i="21" s="1"/>
  <c r="H67" i="21" s="1"/>
  <c r="H68" i="21" s="1"/>
  <c r="H69" i="21" s="1"/>
  <c r="H70" i="21" s="1"/>
  <c r="H71" i="21" s="1"/>
  <c r="H73" i="21" s="1"/>
  <c r="H74" i="21" s="1"/>
  <c r="H75" i="21" s="1"/>
  <c r="H76" i="21" s="1"/>
  <c r="H77" i="21" s="1"/>
  <c r="H78" i="21" s="1"/>
  <c r="H80" i="21" s="1"/>
</calcChain>
</file>

<file path=xl/sharedStrings.xml><?xml version="1.0" encoding="utf-8"?>
<sst xmlns="http://schemas.openxmlformats.org/spreadsheetml/2006/main" count="1501" uniqueCount="243">
  <si>
    <t>Tilbake til innholdsfortegnelsen</t>
  </si>
  <si>
    <t>Endring i prosent</t>
  </si>
  <si>
    <t>Landbasert i alt</t>
  </si>
  <si>
    <t>Året i alt</t>
  </si>
  <si>
    <t>Motorvogn, Privat</t>
  </si>
  <si>
    <t>Motorvogn, Næring</t>
  </si>
  <si>
    <t>Brann-kombinert, Privat</t>
  </si>
  <si>
    <t>Yrkesskade</t>
  </si>
  <si>
    <t>Trygghet</t>
  </si>
  <si>
    <t>Ulykke</t>
  </si>
  <si>
    <t>Reise</t>
  </si>
  <si>
    <t>Fritidsbåt</t>
  </si>
  <si>
    <t>Ansvar</t>
  </si>
  <si>
    <t>Fiskeoppdrett</t>
  </si>
  <si>
    <t>Andre</t>
  </si>
  <si>
    <t>Tabell 0.2 Landbasert forsikring i alt, anslått erstatning etter bransje</t>
  </si>
  <si>
    <t>Beløp i mill. kr.</t>
  </si>
  <si>
    <t>Privat i alt</t>
  </si>
  <si>
    <t>Brann</t>
  </si>
  <si>
    <t>Vannledning</t>
  </si>
  <si>
    <t>Innbrudd/Tyveri/Ran</t>
  </si>
  <si>
    <t>Glass (inkl. san. pors.)</t>
  </si>
  <si>
    <t>Matvarer i fryser</t>
  </si>
  <si>
    <t>Rettshjelp</t>
  </si>
  <si>
    <t>Annet</t>
  </si>
  <si>
    <t>Tabell 2.2 Brann-kombinert Privat, anslått erstatning etter skadetype</t>
  </si>
  <si>
    <t>Motorvogn i alt</t>
  </si>
  <si>
    <t>To-hjul</t>
  </si>
  <si>
    <t>Personbil og varebil &lt; 3,5 t.</t>
  </si>
  <si>
    <t>Lastebil, buss og varebil &gt; 3,5 t.</t>
  </si>
  <si>
    <t>Traktor, arbeidsmaskiner</t>
  </si>
  <si>
    <t>Andre motorvogner</t>
  </si>
  <si>
    <t>Tabell 1.2 Motorvogn, anslått erstatning etter kjøretøy</t>
  </si>
  <si>
    <t>Tabell 1.4 Motorvogn, anslått erstatning etter skadetype</t>
  </si>
  <si>
    <t>Ansvar person</t>
  </si>
  <si>
    <t>Førerulykke</t>
  </si>
  <si>
    <t>Ansvar ting</t>
  </si>
  <si>
    <t>Tyveri av bil</t>
  </si>
  <si>
    <t>Tyveri fra bil</t>
  </si>
  <si>
    <t>Glass</t>
  </si>
  <si>
    <t>Redning</t>
  </si>
  <si>
    <t>Vognskade (kasko)</t>
  </si>
  <si>
    <t>Hjemforsikring i alt</t>
  </si>
  <si>
    <r>
      <t xml:space="preserve">Tabell 2.2a Brann-kombinert Privat herav </t>
    </r>
    <r>
      <rPr>
        <b/>
        <i/>
        <sz val="12"/>
        <rFont val="Times New Roman"/>
        <family val="1"/>
      </rPr>
      <t>Hjem</t>
    </r>
    <r>
      <rPr>
        <b/>
        <sz val="12"/>
        <rFont val="Times New Roman"/>
        <family val="1"/>
      </rPr>
      <t>, anslått erstatning</t>
    </r>
  </si>
  <si>
    <t>Villaforsikring i alt</t>
  </si>
  <si>
    <t>Hytteforsikring i alt</t>
  </si>
  <si>
    <t>Sykdom</t>
  </si>
  <si>
    <t>Reiseulykke</t>
  </si>
  <si>
    <t>Reisesyke</t>
  </si>
  <si>
    <t>Avbestilling</t>
  </si>
  <si>
    <t>Andre skader</t>
  </si>
  <si>
    <t>Fritidsbåt i alt</t>
  </si>
  <si>
    <t>Havari</t>
  </si>
  <si>
    <t>Produktansvar person</t>
  </si>
  <si>
    <t>Produktansvar ting</t>
  </si>
  <si>
    <t>Bedriftsansvar ting</t>
  </si>
  <si>
    <t>Garanti</t>
  </si>
  <si>
    <t>Trygghetsforsikring i alt</t>
  </si>
  <si>
    <t>Yrkesskadeforsikring i alt</t>
  </si>
  <si>
    <t>Tabell 3.2 Yrkesskadeforsikring, anslått erstatning etter skadetype</t>
  </si>
  <si>
    <t>Ulykkesforsikring i alt</t>
  </si>
  <si>
    <t>Reiseforsikring i alt</t>
  </si>
  <si>
    <t>Tyveri/tap av reisegods</t>
  </si>
  <si>
    <t>Tyveri</t>
  </si>
  <si>
    <t>Ansvarsforsikring i alt</t>
  </si>
  <si>
    <t>Tabell 4.6 Ansvarsforsikring, anslått erstatning etter skadetype</t>
  </si>
  <si>
    <t>Bedriftsansvar person</t>
  </si>
  <si>
    <t>Formuesskade</t>
  </si>
  <si>
    <t>Annen person</t>
  </si>
  <si>
    <t>Annen ting</t>
  </si>
  <si>
    <t>Tabell 4.4 Fritidsbåtforsikring, anslått erstatning etter skadetype</t>
  </si>
  <si>
    <t>Tabell 4.2 Reiseforsikring, anslått erstatning etter skadetype</t>
  </si>
  <si>
    <t>Tabell 3.6 Ulykkesforsikring, anslått erstatning etter skadetype</t>
  </si>
  <si>
    <t>Tabell 3.4 Trygghetsforsikring, anslått erstatning etter skadetype</t>
  </si>
  <si>
    <t>ANTALL</t>
  </si>
  <si>
    <t>KVARTAL</t>
  </si>
  <si>
    <t>ÅR</t>
  </si>
  <si>
    <t>Personbil</t>
  </si>
  <si>
    <t>Faktiske tall</t>
  </si>
  <si>
    <t>Motorv.</t>
  </si>
  <si>
    <t>Pers.bil</t>
  </si>
  <si>
    <t>FORDELING</t>
  </si>
  <si>
    <t>Person</t>
  </si>
  <si>
    <t>Materiell</t>
  </si>
  <si>
    <t>Privat</t>
  </si>
  <si>
    <t>Sum</t>
  </si>
  <si>
    <t>Vann</t>
  </si>
  <si>
    <t>SUM</t>
  </si>
  <si>
    <t>INNHOLDSFORTEGNELSE</t>
  </si>
  <si>
    <t>1. HOVEDTREKK …………………………………………………………………………………………………..</t>
  </si>
  <si>
    <t>2. FIGURDEL</t>
  </si>
  <si>
    <t>3. TABELLDEL</t>
  </si>
  <si>
    <t>4. PRINSIPPER, BEGREPER OG DEFINISJONER …………………………………………………</t>
  </si>
  <si>
    <t>Tabell 0.2 Landbasert forsikring i alt, anslått erstatning etter bransje…………………………………………………………………………</t>
  </si>
  <si>
    <t>Tabell 1.2 Motorvogn, anslått erstatning etter kjøretøy………………………………………………</t>
  </si>
  <si>
    <t>Tabell 1.4 Motorvogn, anslått erstatning etter skadetype……………………………………………</t>
  </si>
  <si>
    <t>Tabell 2.2 Brann-kombinert Privat, anslått erstatning etter skadetype  …………………………………….</t>
  </si>
  <si>
    <t>Tabell 2.2a Brann-kombinert Privat herav Hjem, anslått erstatning……………………………………………</t>
  </si>
  <si>
    <r>
      <t xml:space="preserve">Tabell 2.2c Brann-kombinert Privat herav </t>
    </r>
    <r>
      <rPr>
        <b/>
        <i/>
        <sz val="12"/>
        <rFont val="Times New Roman"/>
        <family val="1"/>
      </rPr>
      <t>Hytte,</t>
    </r>
    <r>
      <rPr>
        <b/>
        <sz val="12"/>
        <rFont val="Times New Roman"/>
        <family val="1"/>
      </rPr>
      <t xml:space="preserve"> anslått erstatning</t>
    </r>
  </si>
  <si>
    <r>
      <t xml:space="preserve">Tabell 2.2b Brann-kombinert Privat herav </t>
    </r>
    <r>
      <rPr>
        <b/>
        <i/>
        <sz val="12"/>
        <rFont val="Times New Roman"/>
        <family val="1"/>
      </rPr>
      <t>Villa,</t>
    </r>
    <r>
      <rPr>
        <b/>
        <sz val="12"/>
        <rFont val="Times New Roman"/>
        <family val="1"/>
      </rPr>
      <t xml:space="preserve"> anslått erstatning</t>
    </r>
  </si>
  <si>
    <t>Tabell 2.2b Brann-kombinert Privat herav Villa, anslått erstatning……………………………………………</t>
  </si>
  <si>
    <t>Tabell 2.2c Brann-kombinert Privat herav Hytte anslått erstatning…………………………………………………………………</t>
  </si>
  <si>
    <t>Tabell 3.4 Trygghetsforsikring, anslått erstatning etter skadetype…………………………………………</t>
  </si>
  <si>
    <t>Tabell 3.6 Ulykkesforsikring, anslått erstatning etter skadetype………………………………………</t>
  </si>
  <si>
    <t>Tabell 3.2 Yrkesskadeforsikring, anslått erstatning etter skadetype …………………………………….</t>
  </si>
  <si>
    <t>Tabell 4.4 Fritidsbåtforsikring, anslått erstatning etter skadetype……………………………………………………………</t>
  </si>
  <si>
    <t>Tabell 4.6 Ansvarsforsikring, anslått erstatning etter skadetype   …………………………………………………………………….</t>
  </si>
  <si>
    <t>Tabell 4.2 Reiseforsikring, anslått erstatning etter skadetype……………………………………………………………</t>
  </si>
  <si>
    <t>Antall</t>
  </si>
  <si>
    <t>4. PRINSIPPER, BEGREPER OG DEFINISJONER</t>
  </si>
  <si>
    <t>Hjem</t>
  </si>
  <si>
    <t>Villa</t>
  </si>
  <si>
    <t>Hytte</t>
  </si>
  <si>
    <t>Tab1</t>
  </si>
  <si>
    <t>Tab2</t>
  </si>
  <si>
    <t>Tab3</t>
  </si>
  <si>
    <t>Tab4</t>
  </si>
  <si>
    <t>Tab5</t>
  </si>
  <si>
    <t>Tab6</t>
  </si>
  <si>
    <t>Tab7</t>
  </si>
  <si>
    <t>Tab8</t>
  </si>
  <si>
    <t>Tab9</t>
  </si>
  <si>
    <t>Tab10</t>
  </si>
  <si>
    <t>Tab11</t>
  </si>
  <si>
    <t>Tab13</t>
  </si>
  <si>
    <t>Tab14</t>
  </si>
  <si>
    <t>Tab15</t>
  </si>
  <si>
    <t>Tab16</t>
  </si>
  <si>
    <t>Tab17</t>
  </si>
  <si>
    <t>Tab18</t>
  </si>
  <si>
    <t xml:space="preserve">For mer detaljert beskrivelse av statistikkens innhold henviser vi til </t>
  </si>
  <si>
    <t>Tabell 0.1 Landbasert forsikring i alt, antall meldte skader etter bransje…………………………………………………………………………</t>
  </si>
  <si>
    <t>Tabell 1.1 Motorvogn, antall meldte skader etter kjøretøy………………………………………………….</t>
  </si>
  <si>
    <t>Tabell 1.3 Motorvogn, antall meldte skader etter skadetype………………………………………</t>
  </si>
  <si>
    <t>Tabell 2.1 Brann-kombinert Privat, antall meldte skader etter skadetype…………………………………</t>
  </si>
  <si>
    <t>Tabell 2.1a Brann-kombinert Privat herav Hjem, antall meldte skader  …………………………………………</t>
  </si>
  <si>
    <t>Tabell 2.1b Brann-kombinert Privat herav Villa, antall meldte skader  …………………………………………</t>
  </si>
  <si>
    <t>Tabell 2.1c Brann-kombinert Privat herav Hytte antall meldte skader………………………………………………………………</t>
  </si>
  <si>
    <t>Tabell 3.1 Yrkesskadeforsikring, antall meldte skader etter skadetype…………………………………</t>
  </si>
  <si>
    <t>Tabell 3.3 Trygghetsforsikring, antall meldte skader etter skadetype…………………………………………</t>
  </si>
  <si>
    <t>Tabell 3.5 Ulykkesforsikring, antall meldte skader etter skadetype…………………………………………</t>
  </si>
  <si>
    <t>Tabell 4.1 Reiseforsikring, antall meldte skader etter skadetype…………………………………………………………</t>
  </si>
  <si>
    <t>Tabell 4.3 Fritidsbåtforsikring, antall meldte skader etter skadetype…………………………………………………………</t>
  </si>
  <si>
    <t>Tabell 4.5 Ansvarsforsikring, antall meldte skader etter skadetype …………………………………………………………………….</t>
  </si>
  <si>
    <t>Tabell 0.1 Landbasert forsikring i alt, antall meldte skader etter bransje</t>
  </si>
  <si>
    <t>Tabell 1.1 Motorvogn, antall meldte skader etter kjøretøy</t>
  </si>
  <si>
    <t>Tabell 1.3 Motorvogn, antall meldte skader etter skadetype</t>
  </si>
  <si>
    <t>Tabell 2.1 Brann-kombinert Privat, antall meldte skader etter skadetype</t>
  </si>
  <si>
    <t>Tabell 2.1a Brann-kombinert Privat herav Hjem, antall meldte skader</t>
  </si>
  <si>
    <t>Tabell 2.1b Brann-kombinert Privat herav Villa, antall meldte skader</t>
  </si>
  <si>
    <t>Tabell 2.1c Brann-kombinert Privat herav Hytte, antall meldte skader</t>
  </si>
  <si>
    <t>Tabell 3.1 Yrkesskadeforsikring, antall meldte skader etter skadetype</t>
  </si>
  <si>
    <t>Tabell 3.3 Trygghetsforsikring, antall meldte skader etter skadetype</t>
  </si>
  <si>
    <t>Tabell 3.5 Ulykkesforsikring, antall meldte skader etter skadetype</t>
  </si>
  <si>
    <t>Tabell 4.1 Reiseforsikring, antall meldte skader etter skadetype</t>
  </si>
  <si>
    <t>Tabell 4.3 Fritidsbåtforsikring, antall meldte skader etter skadetype</t>
  </si>
  <si>
    <t>Tabell 4.5 Ansvarsforsikring, antall meldte skader etter skadetype</t>
  </si>
  <si>
    <t>Erstatning</t>
  </si>
  <si>
    <t>Just. erst.</t>
  </si>
  <si>
    <t>KPI</t>
  </si>
  <si>
    <t>Fra tab:</t>
  </si>
  <si>
    <t>Vannskader</t>
  </si>
  <si>
    <t>Fig. 3. Ansl. erstat. etter bransje</t>
  </si>
  <si>
    <t>Tabell 2.3 Brann-kombinert Næring, antall meldte skader etter skadetype</t>
  </si>
  <si>
    <t>Tabell 2.4 Brann-kombinert Næring, anslått erstatning etter skadetype</t>
  </si>
  <si>
    <t>Næring i alt</t>
  </si>
  <si>
    <t>Tabell 2.3 Brann-kombinert Næring, antall meldte skader etter skadetype …………………………………………………………</t>
  </si>
  <si>
    <t>Tabell 2.4 Brann-kombinert Næring, anslått erstatning etter skadetype……………………………………………………………</t>
  </si>
  <si>
    <t>Brann-kombinert, Næring</t>
  </si>
  <si>
    <t>Næring</t>
  </si>
  <si>
    <t>I alt</t>
  </si>
  <si>
    <t>Brann                                                       (inkl avbrudd)</t>
  </si>
  <si>
    <t>Tab12</t>
  </si>
  <si>
    <t>oppslag</t>
  </si>
  <si>
    <t>beregning</t>
  </si>
  <si>
    <t>Brannskader</t>
  </si>
  <si>
    <t>Innbrudd/tyveri/ran</t>
  </si>
  <si>
    <t>Figur 4</t>
  </si>
  <si>
    <t>Figur 10</t>
  </si>
  <si>
    <t>Figur 9</t>
  </si>
  <si>
    <t>Fig. 1. Antall anmeldte skader etter bransje</t>
  </si>
  <si>
    <t>Fig. 2. Antall anmeldte skader etter bransje</t>
  </si>
  <si>
    <t>Figur 5. Antall meldte skader i motorvogn kvartalsvis (i 1000)</t>
  </si>
  <si>
    <t>Fig. 5</t>
  </si>
  <si>
    <t>Fig. 6.  Ansl. erstat. etter skadetype, motorvogn</t>
  </si>
  <si>
    <t>Fig. 7. Antall skader i de Brann-kombinerte bransjer etter skadetype</t>
  </si>
  <si>
    <t>Fig. 8. Anslått erstatning i de Brann-kombinerte bransjer etter skadetype</t>
  </si>
  <si>
    <t>Hittil</t>
  </si>
  <si>
    <t>Hele året</t>
  </si>
  <si>
    <t>Kaskoskader</t>
  </si>
  <si>
    <t>NB. Datagrunnlaget er levert fra Finans Norges medlemsselskaper. Enkelte tall</t>
  </si>
  <si>
    <t>kan bli justert i etterkant dersom et selskap oppdager feil eller mangler ved sine data.</t>
  </si>
  <si>
    <t>Barn</t>
  </si>
  <si>
    <t>Kritisk sykdom</t>
  </si>
  <si>
    <t>Behandling</t>
  </si>
  <si>
    <t>Barneforsikring i alt</t>
  </si>
  <si>
    <t>Medisinsk invaliditet</t>
  </si>
  <si>
    <t>Hjelpestønad</t>
  </si>
  <si>
    <t>Behandlingsutgifter</t>
  </si>
  <si>
    <t>Dagpenger</t>
  </si>
  <si>
    <t>Dødsfall</t>
  </si>
  <si>
    <t>Ombygging av bolig</t>
  </si>
  <si>
    <t>Utvalgte sykdommer</t>
  </si>
  <si>
    <t>Kritisk sykdom i alt</t>
  </si>
  <si>
    <t>Kreft</t>
  </si>
  <si>
    <t>Hjerte- og karsykdommer</t>
  </si>
  <si>
    <t>Hjerneslag</t>
  </si>
  <si>
    <t>Nyresvikt</t>
  </si>
  <si>
    <t>Multippel sklerose (MS)</t>
  </si>
  <si>
    <t>Annen sykdom</t>
  </si>
  <si>
    <t>Behandling i alt</t>
  </si>
  <si>
    <t>Legespesialist/diagnostikk</t>
  </si>
  <si>
    <t>Psykolog/psykiater</t>
  </si>
  <si>
    <t>Annen behandling</t>
  </si>
  <si>
    <t>Tabell 3.7 Barneforsikring, antall meldte skader etter skadetype</t>
  </si>
  <si>
    <t>Tabell 3.8 Barneforsikring, anslått erstatning etter skadetype</t>
  </si>
  <si>
    <t>Tabell 3.9 Kritisk sykdom, antall meldte skader etter skadetype</t>
  </si>
  <si>
    <t>Tabell 3.10 Kritisk sykdom, anslått erstatning etter skadetype</t>
  </si>
  <si>
    <t>Tabell 3.11 Behandlingsforsikring, antall meldte skader etter skadetype</t>
  </si>
  <si>
    <t>Tabell 3.12 Behandlingsforsikring, anslått erstatning etter skadetype</t>
  </si>
  <si>
    <t>Tabell 3.7 Barneforsikring, antall meldte skader etter skadetype…………………………………………</t>
  </si>
  <si>
    <t>Tabell 3.8 Barneforsikring, anslått erstatning etter skadetype………………………………………</t>
  </si>
  <si>
    <t>Tabell 3.9 Kritisk sykdom, antall meldte skader etter skadetype…………………………………………</t>
  </si>
  <si>
    <t>Tabell 3.10 Kritisk sykdom, anslått erstatning etter skadetype………………………………………</t>
  </si>
  <si>
    <t>Tabell 3.11 Behandlingsforsikring, antall meldte skader etter skadetype…………………………………………</t>
  </si>
  <si>
    <t>Tabell 3.12 Behandlingsforsikring, anslått erstatning etter skadetype………………………………………</t>
  </si>
  <si>
    <t>Tab19</t>
  </si>
  <si>
    <t>Tab20</t>
  </si>
  <si>
    <t>Tab21</t>
  </si>
  <si>
    <t>Operasjon</t>
  </si>
  <si>
    <t>Uførhet</t>
  </si>
  <si>
    <t>midt-måneden</t>
  </si>
  <si>
    <t>punkt 4. Prinsipper, begreper og definisjoner på side 27.</t>
  </si>
  <si>
    <t>Fysioterapeut/kiropraktor</t>
  </si>
  <si>
    <t>2017</t>
  </si>
  <si>
    <t>2018</t>
  </si>
  <si>
    <t>2019</t>
  </si>
  <si>
    <t>17-19</t>
  </si>
  <si>
    <t>18-19</t>
  </si>
  <si>
    <t>*</t>
  </si>
  <si>
    <t>Hittil i år</t>
  </si>
  <si>
    <t>Hentes fra tab5:</t>
  </si>
  <si>
    <t>(Snitt hele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</si>
</sst>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_(* #,##0.00_);_(* \(#,##0.00\);_(* &quot;-&quot;??_);_(@_)"/>
    <numFmt numFmtId="166" formatCode="0.0_)"/>
    <numFmt numFmtId="167" formatCode="#,##0.0"/>
    <numFmt numFmtId="168" formatCode="_ * #,##0_ ;_ * \-#,##0_ ;_ * &quot;-&quot;??_ ;_ @_ "/>
    <numFmt numFmtId="169" formatCode="0.0"/>
    <numFmt numFmtId="170" formatCode="0.000"/>
    <numFmt numFmtId="171" formatCode="#,##0.000"/>
  </numFmts>
  <fonts count="43"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Times New Roman"/>
      <family val="1"/>
    </font>
    <font>
      <u/>
      <sz val="12"/>
      <color indexed="12"/>
      <name val="System"/>
      <family val="2"/>
    </font>
    <font>
      <b/>
      <sz val="12"/>
      <name val="Times New Roman"/>
      <family val="1"/>
    </font>
    <font>
      <sz val="9"/>
      <name val="Times New Roman"/>
      <family val="1"/>
    </font>
    <font>
      <b/>
      <sz val="9"/>
      <name val="Times New Roman"/>
      <family val="1"/>
    </font>
    <font>
      <sz val="12"/>
      <name val="Arial"/>
      <family val="2"/>
    </font>
    <font>
      <i/>
      <sz val="9"/>
      <name val="Times New Roman"/>
      <family val="1"/>
    </font>
    <font>
      <b/>
      <sz val="10"/>
      <name val="Times New Roman"/>
      <family val="1"/>
    </font>
    <font>
      <i/>
      <sz val="10"/>
      <name val="Times New Roman"/>
      <family val="1"/>
    </font>
    <font>
      <b/>
      <sz val="16"/>
      <name val="Times New Roman"/>
      <family val="1"/>
    </font>
    <font>
      <sz val="8"/>
      <name val="Times New Roman"/>
      <family val="1"/>
    </font>
    <font>
      <b/>
      <i/>
      <sz val="12"/>
      <name val="Times New Roman"/>
      <family val="1"/>
    </font>
    <font>
      <b/>
      <sz val="10"/>
      <name val="Arial"/>
      <family val="2"/>
    </font>
    <font>
      <sz val="10"/>
      <color indexed="8"/>
      <name val="Arial"/>
      <family val="2"/>
    </font>
    <font>
      <sz val="10"/>
      <color indexed="18"/>
      <name val="Arial"/>
      <family val="2"/>
    </font>
    <font>
      <sz val="14"/>
      <name val="Times New Roman"/>
      <family val="1"/>
    </font>
    <font>
      <sz val="12"/>
      <name val="Times New Roman"/>
      <family val="1"/>
    </font>
    <font>
      <sz val="10"/>
      <name val="Arial"/>
      <family val="2"/>
    </font>
    <font>
      <sz val="10"/>
      <color indexed="9"/>
      <name val="Times New Roman"/>
      <family val="1"/>
    </font>
    <font>
      <i/>
      <sz val="12"/>
      <name val="Times New Roman"/>
      <family val="1"/>
    </font>
    <font>
      <u/>
      <sz val="12"/>
      <color indexed="12"/>
      <name val="Arial"/>
      <family val="2"/>
    </font>
    <font>
      <sz val="10"/>
      <color indexed="23"/>
      <name val="Arial"/>
      <family val="2"/>
    </font>
    <font>
      <sz val="18"/>
      <color indexed="23"/>
      <name val="Times New Roman"/>
      <family val="1"/>
    </font>
    <font>
      <sz val="14"/>
      <color indexed="23"/>
      <name val="Times New Roman"/>
      <family val="1"/>
    </font>
    <font>
      <b/>
      <sz val="28"/>
      <color rgb="FF3B6E8F"/>
      <name val="Cambria"/>
      <family val="1"/>
      <scheme val="major"/>
    </font>
    <font>
      <sz val="20"/>
      <color theme="1"/>
      <name val="Calibri"/>
      <family val="2"/>
      <scheme val="minor"/>
    </font>
    <font>
      <sz val="14"/>
      <color theme="1"/>
      <name val="Calibri"/>
      <family val="2"/>
      <scheme val="minor"/>
    </font>
    <font>
      <b/>
      <sz val="26"/>
      <color rgb="FF3B6E8F"/>
      <name val="Cambria"/>
      <family val="1"/>
      <scheme val="major"/>
    </font>
    <font>
      <b/>
      <sz val="28"/>
      <color rgb="FF54758C"/>
      <name val="Arial"/>
      <family val="2"/>
    </font>
    <font>
      <sz val="26"/>
      <color rgb="FF54758C"/>
      <name val="Arial"/>
      <family val="2"/>
    </font>
    <font>
      <sz val="14"/>
      <name val="Arial"/>
      <family val="2"/>
    </font>
    <font>
      <sz val="14"/>
      <color indexed="22"/>
      <name val="Times New Roman"/>
      <family val="1"/>
    </font>
    <font>
      <u/>
      <sz val="10"/>
      <name val="Arial"/>
      <family val="2"/>
    </font>
    <font>
      <u/>
      <sz val="12"/>
      <name val="System"/>
      <family val="2"/>
    </font>
    <font>
      <sz val="10"/>
      <color theme="0"/>
      <name val="Times New Roman"/>
      <family val="1"/>
    </font>
    <font>
      <b/>
      <sz val="10"/>
      <color theme="0"/>
      <name val="Times New Roman"/>
      <family val="1"/>
    </font>
    <font>
      <b/>
      <sz val="10"/>
      <color theme="0"/>
      <name val="Arial"/>
      <family val="2"/>
    </font>
    <font>
      <sz val="10"/>
      <color theme="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style="thin">
        <color indexed="64"/>
      </left>
      <right/>
      <top/>
      <bottom style="hair">
        <color indexed="64"/>
      </bottom>
      <diagonal/>
    </border>
    <border>
      <left/>
      <right/>
      <top style="hair">
        <color indexed="64"/>
      </top>
      <bottom/>
      <diagonal/>
    </border>
    <border>
      <left style="medium">
        <color indexed="64"/>
      </left>
      <right/>
      <top style="hair">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medium">
        <color indexed="64"/>
      </right>
      <top style="medium">
        <color indexed="64"/>
      </top>
      <bottom/>
      <diagonal/>
    </border>
    <border>
      <left style="medium">
        <color indexed="64"/>
      </left>
      <right/>
      <top style="thin">
        <color indexed="64"/>
      </top>
      <bottom/>
      <diagonal/>
    </border>
  </borders>
  <cellStyleXfs count="15">
    <xf numFmtId="0" fontId="0" fillId="0" borderId="0"/>
    <xf numFmtId="165" fontId="3" fillId="0" borderId="0" applyFon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 fillId="0" borderId="0"/>
    <xf numFmtId="165" fontId="3" fillId="0" borderId="0" applyFont="0" applyFill="0" applyBorder="0" applyAlignment="0" applyProtection="0"/>
    <xf numFmtId="0" fontId="4" fillId="0" borderId="0" applyNumberFormat="0" applyFill="0" applyBorder="0" applyAlignment="0" applyProtection="0">
      <alignment vertical="top"/>
      <protection locked="0"/>
    </xf>
    <xf numFmtId="0" fontId="2" fillId="0" borderId="0"/>
    <xf numFmtId="0" fontId="3" fillId="0" borderId="0"/>
    <xf numFmtId="0" fontId="3" fillId="0" borderId="0"/>
    <xf numFmtId="0" fontId="1" fillId="0" borderId="0"/>
    <xf numFmtId="0" fontId="1" fillId="0" borderId="0"/>
    <xf numFmtId="0" fontId="1" fillId="0" borderId="0"/>
    <xf numFmtId="0" fontId="1" fillId="0" borderId="0"/>
    <xf numFmtId="164" fontId="3" fillId="0" borderId="0" applyFont="0" applyFill="0" applyBorder="0" applyAlignment="0" applyProtection="0"/>
  </cellStyleXfs>
  <cellXfs count="227">
    <xf numFmtId="0" fontId="0" fillId="0" borderId="0" xfId="0"/>
    <xf numFmtId="0" fontId="5" fillId="0" borderId="0" xfId="0" applyFont="1"/>
    <xf numFmtId="0" fontId="5" fillId="0" borderId="0" xfId="0" applyFont="1" applyAlignment="1" applyProtection="1">
      <alignment horizontal="left"/>
    </xf>
    <xf numFmtId="0" fontId="6" fillId="0" borderId="0" xfId="2" applyFont="1" applyAlignment="1" applyProtection="1">
      <alignment horizontal="left"/>
    </xf>
    <xf numFmtId="0" fontId="7" fillId="2" borderId="0" xfId="0" applyFont="1" applyFill="1" applyBorder="1"/>
    <xf numFmtId="166" fontId="8" fillId="0" borderId="0" xfId="0" applyNumberFormat="1" applyFont="1" applyProtection="1"/>
    <xf numFmtId="0" fontId="8" fillId="0" borderId="0" xfId="0" applyFont="1"/>
    <xf numFmtId="0" fontId="9" fillId="2" borderId="1" xfId="0" applyFont="1" applyFill="1" applyBorder="1"/>
    <xf numFmtId="0" fontId="9" fillId="2" borderId="2" xfId="0" applyFont="1" applyFill="1" applyBorder="1" applyAlignment="1">
      <alignment horizontal="center"/>
    </xf>
    <xf numFmtId="0" fontId="9" fillId="2" borderId="3" xfId="0" applyFont="1" applyFill="1" applyBorder="1"/>
    <xf numFmtId="0" fontId="8" fillId="2" borderId="2" xfId="0" applyFont="1" applyFill="1" applyBorder="1"/>
    <xf numFmtId="0" fontId="8" fillId="2" borderId="4" xfId="0" applyFont="1" applyFill="1" applyBorder="1"/>
    <xf numFmtId="0" fontId="9" fillId="2" borderId="5" xfId="0" applyFont="1" applyFill="1" applyBorder="1" applyAlignment="1">
      <alignment horizontal="left"/>
    </xf>
    <xf numFmtId="14" fontId="9" fillId="2" borderId="6" xfId="0" applyNumberFormat="1" applyFont="1" applyFill="1" applyBorder="1" applyAlignment="1">
      <alignment horizontal="right"/>
    </xf>
    <xf numFmtId="1" fontId="9" fillId="2" borderId="7" xfId="0" applyNumberFormat="1" applyFont="1" applyFill="1" applyBorder="1" applyAlignment="1">
      <alignment horizontal="right"/>
    </xf>
    <xf numFmtId="1" fontId="9" fillId="2" borderId="6" xfId="0" applyNumberFormat="1" applyFont="1" applyFill="1" applyBorder="1" applyAlignment="1">
      <alignment horizontal="right"/>
    </xf>
    <xf numFmtId="1" fontId="9" fillId="2" borderId="8" xfId="0" applyNumberFormat="1" applyFont="1" applyFill="1" applyBorder="1" applyAlignment="1">
      <alignment horizontal="right"/>
    </xf>
    <xf numFmtId="14" fontId="9" fillId="2" borderId="7" xfId="0" applyNumberFormat="1" applyFont="1" applyFill="1" applyBorder="1" applyAlignment="1">
      <alignment horizontal="right"/>
    </xf>
    <xf numFmtId="14" fontId="9" fillId="2" borderId="9" xfId="0" applyNumberFormat="1" applyFont="1" applyFill="1" applyBorder="1" applyAlignment="1">
      <alignment horizontal="right"/>
    </xf>
    <xf numFmtId="0" fontId="8" fillId="0" borderId="10" xfId="0" applyFont="1" applyBorder="1"/>
    <xf numFmtId="3" fontId="8" fillId="0" borderId="0" xfId="1" applyNumberFormat="1" applyFont="1" applyProtection="1"/>
    <xf numFmtId="3" fontId="8" fillId="0" borderId="0" xfId="1" applyNumberFormat="1" applyFont="1" applyBorder="1" applyProtection="1"/>
    <xf numFmtId="168" fontId="8" fillId="0" borderId="11" xfId="1" applyNumberFormat="1" applyFont="1" applyBorder="1" applyAlignment="1" applyProtection="1">
      <alignment horizontal="right"/>
    </xf>
    <xf numFmtId="166" fontId="8" fillId="0" borderId="0" xfId="0" applyNumberFormat="1" applyFont="1" applyAlignment="1" applyProtection="1">
      <alignment horizontal="right"/>
    </xf>
    <xf numFmtId="166" fontId="8" fillId="0" borderId="12" xfId="0" applyNumberFormat="1" applyFont="1" applyBorder="1" applyAlignment="1">
      <alignment horizontal="right"/>
    </xf>
    <xf numFmtId="0" fontId="11" fillId="0" borderId="13" xfId="0" applyFont="1" applyBorder="1"/>
    <xf numFmtId="3" fontId="8" fillId="0" borderId="14" xfId="1" applyNumberFormat="1" applyFont="1" applyBorder="1" applyProtection="1"/>
    <xf numFmtId="168" fontId="8" fillId="0" borderId="13" xfId="1" applyNumberFormat="1" applyFont="1" applyBorder="1" applyProtection="1"/>
    <xf numFmtId="166" fontId="8" fillId="0" borderId="14" xfId="0" applyNumberFormat="1" applyFont="1" applyBorder="1" applyAlignment="1" applyProtection="1">
      <alignment horizontal="right"/>
    </xf>
    <xf numFmtId="166" fontId="8" fillId="0" borderId="15" xfId="0" applyNumberFormat="1" applyFont="1" applyBorder="1" applyAlignment="1">
      <alignment horizontal="right"/>
    </xf>
    <xf numFmtId="0" fontId="8" fillId="0" borderId="16" xfId="0" applyFont="1" applyBorder="1"/>
    <xf numFmtId="0" fontId="8" fillId="0" borderId="11" xfId="0" applyFont="1" applyBorder="1"/>
    <xf numFmtId="166" fontId="8" fillId="0" borderId="17" xfId="0" applyNumberFormat="1" applyFont="1" applyBorder="1" applyAlignment="1" applyProtection="1">
      <alignment horizontal="right"/>
    </xf>
    <xf numFmtId="166" fontId="8" fillId="0" borderId="18" xfId="0" applyNumberFormat="1" applyFont="1" applyBorder="1" applyAlignment="1">
      <alignment horizontal="right"/>
    </xf>
    <xf numFmtId="0" fontId="8" fillId="0" borderId="19" xfId="0" applyFont="1" applyBorder="1"/>
    <xf numFmtId="166" fontId="8" fillId="0" borderId="20" xfId="0" applyNumberFormat="1" applyFont="1" applyBorder="1" applyAlignment="1" applyProtection="1">
      <alignment horizontal="right"/>
    </xf>
    <xf numFmtId="3" fontId="8" fillId="0" borderId="21" xfId="1" applyNumberFormat="1" applyFont="1" applyBorder="1" applyProtection="1"/>
    <xf numFmtId="166" fontId="8" fillId="0" borderId="21" xfId="0" applyNumberFormat="1" applyFont="1" applyBorder="1" applyAlignment="1" applyProtection="1">
      <alignment horizontal="right"/>
    </xf>
    <xf numFmtId="166" fontId="8" fillId="0" borderId="0" xfId="0" applyNumberFormat="1" applyFont="1" applyBorder="1" applyAlignment="1" applyProtection="1">
      <alignment horizontal="right"/>
    </xf>
    <xf numFmtId="0" fontId="8" fillId="0" borderId="22" xfId="0" applyFont="1" applyBorder="1"/>
    <xf numFmtId="3" fontId="8" fillId="0" borderId="0" xfId="1" applyNumberFormat="1" applyFont="1"/>
    <xf numFmtId="0" fontId="9" fillId="0" borderId="23" xfId="0" applyFont="1" applyBorder="1"/>
    <xf numFmtId="0" fontId="11" fillId="0" borderId="24" xfId="0" applyFont="1" applyBorder="1"/>
    <xf numFmtId="3" fontId="8" fillId="0" borderId="25" xfId="1" applyNumberFormat="1" applyFont="1" applyBorder="1" applyProtection="1"/>
    <xf numFmtId="168" fontId="8" fillId="0" borderId="24" xfId="1" applyNumberFormat="1" applyFont="1" applyBorder="1" applyProtection="1"/>
    <xf numFmtId="166" fontId="8" fillId="0" borderId="26" xfId="0" applyNumberFormat="1" applyFont="1" applyBorder="1" applyAlignment="1" applyProtection="1">
      <alignment horizontal="right"/>
    </xf>
    <xf numFmtId="166" fontId="8" fillId="0" borderId="27" xfId="0" applyNumberFormat="1" applyFont="1" applyBorder="1" applyAlignment="1">
      <alignment horizontal="right"/>
    </xf>
    <xf numFmtId="0" fontId="12" fillId="0" borderId="0" xfId="0" applyFont="1" applyBorder="1"/>
    <xf numFmtId="0" fontId="13" fillId="0" borderId="0" xfId="0" applyFont="1" applyBorder="1"/>
    <xf numFmtId="168" fontId="5" fillId="0" borderId="0" xfId="1" applyNumberFormat="1" applyFont="1" applyBorder="1" applyProtection="1"/>
    <xf numFmtId="166" fontId="5" fillId="0" borderId="0" xfId="0" applyNumberFormat="1" applyFont="1" applyBorder="1" applyAlignment="1" applyProtection="1">
      <alignment horizontal="right"/>
    </xf>
    <xf numFmtId="166" fontId="5" fillId="0" borderId="0" xfId="0" applyNumberFormat="1" applyFont="1" applyBorder="1" applyAlignment="1">
      <alignment horizontal="right"/>
    </xf>
    <xf numFmtId="0" fontId="5" fillId="0" borderId="6" xfId="0" applyFont="1" applyBorder="1"/>
    <xf numFmtId="0" fontId="15" fillId="0" borderId="0" xfId="0" applyFont="1" applyAlignment="1">
      <alignment horizontal="right"/>
    </xf>
    <xf numFmtId="0" fontId="15" fillId="0" borderId="0" xfId="0" applyFont="1" applyAlignment="1">
      <alignment horizontal="left"/>
    </xf>
    <xf numFmtId="168" fontId="5" fillId="0" borderId="0" xfId="1" applyNumberFormat="1" applyFont="1" applyBorder="1" applyAlignment="1" applyProtection="1">
      <alignment horizontal="center"/>
    </xf>
    <xf numFmtId="0" fontId="8" fillId="0" borderId="23" xfId="0" applyFont="1" applyBorder="1"/>
    <xf numFmtId="166" fontId="8" fillId="0" borderId="25" xfId="0" applyNumberFormat="1" applyFont="1" applyBorder="1" applyAlignment="1" applyProtection="1">
      <alignment horizontal="right"/>
    </xf>
    <xf numFmtId="0" fontId="8" fillId="0" borderId="0" xfId="0" applyFont="1" applyBorder="1"/>
    <xf numFmtId="168" fontId="8" fillId="0" borderId="0" xfId="1" applyNumberFormat="1" applyFont="1" applyBorder="1" applyAlignment="1" applyProtection="1">
      <alignment horizontal="right"/>
    </xf>
    <xf numFmtId="166" fontId="8" fillId="0" borderId="0" xfId="0" applyNumberFormat="1" applyFont="1" applyBorder="1" applyAlignment="1">
      <alignment horizontal="right"/>
    </xf>
    <xf numFmtId="0" fontId="5" fillId="0" borderId="0" xfId="0" applyFont="1" applyBorder="1"/>
    <xf numFmtId="0" fontId="11" fillId="0" borderId="0" xfId="0" applyFont="1" applyBorder="1"/>
    <xf numFmtId="168" fontId="8" fillId="0" borderId="0" xfId="1" applyNumberFormat="1" applyFont="1" applyBorder="1" applyProtection="1"/>
    <xf numFmtId="3" fontId="8" fillId="0" borderId="0" xfId="1" applyNumberFormat="1" applyFont="1" applyBorder="1"/>
    <xf numFmtId="0" fontId="9" fillId="0" borderId="0" xfId="0" applyFont="1" applyBorder="1"/>
    <xf numFmtId="0" fontId="7" fillId="2" borderId="0" xfId="0" applyFont="1" applyFill="1" applyBorder="1" applyAlignment="1"/>
    <xf numFmtId="0" fontId="5" fillId="0" borderId="0" xfId="0" applyFont="1" applyAlignment="1"/>
    <xf numFmtId="0" fontId="17" fillId="0" borderId="0" xfId="0" applyFont="1"/>
    <xf numFmtId="0" fontId="18" fillId="0" borderId="0" xfId="0" applyFont="1"/>
    <xf numFmtId="0" fontId="19" fillId="0" borderId="0" xfId="0" applyFont="1"/>
    <xf numFmtId="1" fontId="19" fillId="0" borderId="0" xfId="0" applyNumberFormat="1" applyFont="1"/>
    <xf numFmtId="1" fontId="0" fillId="0" borderId="0" xfId="0" applyNumberFormat="1"/>
    <xf numFmtId="0" fontId="21" fillId="0" borderId="0" xfId="0" applyFont="1"/>
    <xf numFmtId="0" fontId="21" fillId="0" borderId="0" xfId="0" applyFont="1" applyAlignment="1">
      <alignment horizontal="center"/>
    </xf>
    <xf numFmtId="0" fontId="7" fillId="0" borderId="0" xfId="0" applyFont="1" applyAlignment="1">
      <alignment horizontal="left"/>
    </xf>
    <xf numFmtId="0" fontId="21" fillId="0" borderId="0" xfId="0" applyFont="1" applyAlignment="1">
      <alignment horizontal="left"/>
    </xf>
    <xf numFmtId="0" fontId="5" fillId="0" borderId="0" xfId="0" quotePrefix="1" applyFont="1"/>
    <xf numFmtId="0" fontId="0" fillId="0" borderId="0" xfId="0" applyAlignment="1">
      <alignment horizontal="left"/>
    </xf>
    <xf numFmtId="3" fontId="8" fillId="0" borderId="28" xfId="1" applyNumberFormat="1" applyFont="1" applyBorder="1" applyProtection="1"/>
    <xf numFmtId="167" fontId="8" fillId="0" borderId="0" xfId="1" applyNumberFormat="1" applyFont="1" applyProtection="1"/>
    <xf numFmtId="167" fontId="8" fillId="0" borderId="28" xfId="1" applyNumberFormat="1" applyFont="1" applyBorder="1" applyProtection="1"/>
    <xf numFmtId="167" fontId="8" fillId="0" borderId="14" xfId="1" applyNumberFormat="1" applyFont="1" applyBorder="1" applyProtection="1"/>
    <xf numFmtId="167" fontId="8" fillId="0" borderId="0" xfId="1" applyNumberFormat="1" applyFont="1" applyBorder="1" applyProtection="1"/>
    <xf numFmtId="167" fontId="8" fillId="0" borderId="21" xfId="1" applyNumberFormat="1" applyFont="1" applyBorder="1" applyProtection="1"/>
    <xf numFmtId="167" fontId="8" fillId="0" borderId="0" xfId="1" applyNumberFormat="1" applyFont="1"/>
    <xf numFmtId="167" fontId="8" fillId="0" borderId="25" xfId="1" applyNumberFormat="1" applyFont="1" applyBorder="1" applyProtection="1"/>
    <xf numFmtId="0" fontId="23" fillId="0" borderId="0" xfId="0" applyFont="1"/>
    <xf numFmtId="0" fontId="7" fillId="0" borderId="0" xfId="0" applyFont="1"/>
    <xf numFmtId="0" fontId="22" fillId="0" borderId="0" xfId="0" applyFont="1"/>
    <xf numFmtId="0" fontId="25" fillId="0" borderId="0" xfId="2" applyFont="1" applyAlignment="1" applyProtection="1">
      <alignment horizontal="left"/>
    </xf>
    <xf numFmtId="0" fontId="4" fillId="0" borderId="0" xfId="3" applyAlignment="1" applyProtection="1">
      <alignment horizontal="left"/>
    </xf>
    <xf numFmtId="0" fontId="4" fillId="0" borderId="0" xfId="3" applyAlignment="1" applyProtection="1"/>
    <xf numFmtId="0" fontId="24" fillId="0" borderId="0" xfId="0" applyFont="1"/>
    <xf numFmtId="0" fontId="3" fillId="0" borderId="0" xfId="4"/>
    <xf numFmtId="167" fontId="5" fillId="0" borderId="0" xfId="0" applyNumberFormat="1" applyFont="1"/>
    <xf numFmtId="0" fontId="21" fillId="0" borderId="0" xfId="0" quotePrefix="1" applyFont="1"/>
    <xf numFmtId="3" fontId="8" fillId="0" borderId="0" xfId="1" quotePrefix="1" applyNumberFormat="1" applyFont="1" applyBorder="1" applyProtection="1"/>
    <xf numFmtId="168" fontId="5" fillId="0" borderId="0" xfId="1" quotePrefix="1" applyNumberFormat="1" applyFont="1" applyBorder="1" applyProtection="1"/>
    <xf numFmtId="0" fontId="26" fillId="0" borderId="0" xfId="9" applyFont="1"/>
    <xf numFmtId="0" fontId="3" fillId="0" borderId="0" xfId="9"/>
    <xf numFmtId="0" fontId="0" fillId="0" borderId="0" xfId="9" applyFont="1"/>
    <xf numFmtId="0" fontId="27" fillId="0" borderId="0" xfId="9" applyFont="1" applyAlignment="1">
      <alignment horizontal="right"/>
    </xf>
    <xf numFmtId="0" fontId="29" fillId="0" borderId="0" xfId="9" applyFont="1" applyAlignment="1">
      <alignment horizontal="left"/>
    </xf>
    <xf numFmtId="0" fontId="32" fillId="0" borderId="0" xfId="9" applyFont="1" applyAlignment="1">
      <alignment horizontal="left"/>
    </xf>
    <xf numFmtId="0" fontId="20" fillId="0" borderId="0" xfId="4" applyFont="1" applyAlignment="1">
      <alignment horizontal="left"/>
    </xf>
    <xf numFmtId="0" fontId="10" fillId="0" borderId="0" xfId="9" applyFont="1" applyAlignment="1">
      <alignment horizontal="right"/>
    </xf>
    <xf numFmtId="0" fontId="3" fillId="0" borderId="0" xfId="9" applyAlignment="1">
      <alignment horizontal="right"/>
    </xf>
    <xf numFmtId="0" fontId="30" fillId="0" borderId="0" xfId="9" applyFont="1" applyAlignment="1">
      <alignment horizontal="left"/>
    </xf>
    <xf numFmtId="14" fontId="31" fillId="0" borderId="0" xfId="9" applyNumberFormat="1" applyFont="1" applyAlignment="1">
      <alignment horizontal="left"/>
    </xf>
    <xf numFmtId="0" fontId="31" fillId="0" borderId="0" xfId="9" applyFont="1" applyAlignment="1">
      <alignment horizontal="left"/>
    </xf>
    <xf numFmtId="0" fontId="33" fillId="0" borderId="0" xfId="4" applyFont="1" applyAlignment="1">
      <alignment vertical="center"/>
    </xf>
    <xf numFmtId="0" fontId="34" fillId="0" borderId="0" xfId="4" applyFont="1" applyAlignment="1">
      <alignment vertical="center"/>
    </xf>
    <xf numFmtId="0" fontId="35" fillId="0" borderId="0" xfId="4" applyFont="1"/>
    <xf numFmtId="14" fontId="28" fillId="0" borderId="0" xfId="9" applyNumberFormat="1" applyFont="1"/>
    <xf numFmtId="14" fontId="36" fillId="0" borderId="0" xfId="9" applyNumberFormat="1" applyFont="1" applyAlignment="1">
      <alignment horizontal="right"/>
    </xf>
    <xf numFmtId="0" fontId="5" fillId="0" borderId="0" xfId="4" applyFont="1"/>
    <xf numFmtId="0" fontId="5" fillId="0" borderId="0" xfId="4" applyFont="1" applyAlignment="1" applyProtection="1">
      <alignment horizontal="left"/>
    </xf>
    <xf numFmtId="0" fontId="7" fillId="2" borderId="0" xfId="4" applyFont="1" applyFill="1" applyBorder="1"/>
    <xf numFmtId="166" fontId="8" fillId="0" borderId="0" xfId="4" applyNumberFormat="1" applyFont="1" applyProtection="1"/>
    <xf numFmtId="0" fontId="8" fillId="0" borderId="0" xfId="4" applyFont="1"/>
    <xf numFmtId="0" fontId="9" fillId="2" borderId="1" xfId="4" applyFont="1" applyFill="1" applyBorder="1"/>
    <xf numFmtId="0" fontId="9" fillId="2" borderId="2" xfId="4" applyFont="1" applyFill="1" applyBorder="1" applyAlignment="1">
      <alignment horizontal="center"/>
    </xf>
    <xf numFmtId="0" fontId="9" fillId="2" borderId="3" xfId="4" applyFont="1" applyFill="1" applyBorder="1"/>
    <xf numFmtId="0" fontId="8" fillId="2" borderId="2" xfId="4" applyFont="1" applyFill="1" applyBorder="1"/>
    <xf numFmtId="0" fontId="8" fillId="2" borderId="4" xfId="4" applyFont="1" applyFill="1" applyBorder="1"/>
    <xf numFmtId="0" fontId="9" fillId="2" borderId="5" xfId="4" applyFont="1" applyFill="1" applyBorder="1" applyAlignment="1">
      <alignment horizontal="left"/>
    </xf>
    <xf numFmtId="14" fontId="9" fillId="2" borderId="6" xfId="4" applyNumberFormat="1" applyFont="1" applyFill="1" applyBorder="1" applyAlignment="1">
      <alignment horizontal="right"/>
    </xf>
    <xf numFmtId="1" fontId="9" fillId="2" borderId="7" xfId="4" applyNumberFormat="1" applyFont="1" applyFill="1" applyBorder="1" applyAlignment="1">
      <alignment horizontal="right"/>
    </xf>
    <xf numFmtId="1" fontId="9" fillId="2" borderId="6" xfId="4" applyNumberFormat="1" applyFont="1" applyFill="1" applyBorder="1" applyAlignment="1">
      <alignment horizontal="right"/>
    </xf>
    <xf numFmtId="1" fontId="9" fillId="2" borderId="8" xfId="4" applyNumberFormat="1" applyFont="1" applyFill="1" applyBorder="1" applyAlignment="1">
      <alignment horizontal="right"/>
    </xf>
    <xf numFmtId="14" fontId="9" fillId="2" borderId="7" xfId="4" applyNumberFormat="1" applyFont="1" applyFill="1" applyBorder="1" applyAlignment="1">
      <alignment horizontal="right"/>
    </xf>
    <xf numFmtId="14" fontId="9" fillId="2" borderId="9" xfId="4" applyNumberFormat="1" applyFont="1" applyFill="1" applyBorder="1" applyAlignment="1">
      <alignment horizontal="right"/>
    </xf>
    <xf numFmtId="0" fontId="8" fillId="0" borderId="10" xfId="4" applyFont="1" applyBorder="1"/>
    <xf numFmtId="166" fontId="8" fillId="0" borderId="0" xfId="4" applyNumberFormat="1" applyFont="1" applyAlignment="1" applyProtection="1">
      <alignment horizontal="right"/>
    </xf>
    <xf numFmtId="166" fontId="8" fillId="0" borderId="12" xfId="4" applyNumberFormat="1" applyFont="1" applyBorder="1" applyAlignment="1">
      <alignment horizontal="right"/>
    </xf>
    <xf numFmtId="0" fontId="11" fillId="0" borderId="13" xfId="4" applyFont="1" applyBorder="1"/>
    <xf numFmtId="166" fontId="8" fillId="0" borderId="14" xfId="4" applyNumberFormat="1" applyFont="1" applyBorder="1" applyAlignment="1" applyProtection="1">
      <alignment horizontal="right"/>
    </xf>
    <xf numFmtId="166" fontId="8" fillId="0" borderId="15" xfId="4" applyNumberFormat="1" applyFont="1" applyBorder="1" applyAlignment="1">
      <alignment horizontal="right"/>
    </xf>
    <xf numFmtId="0" fontId="8" fillId="0" borderId="16" xfId="4" applyFont="1" applyBorder="1"/>
    <xf numFmtId="0" fontId="8" fillId="0" borderId="11" xfId="4" applyFont="1" applyBorder="1"/>
    <xf numFmtId="166" fontId="8" fillId="0" borderId="17" xfId="4" applyNumberFormat="1" applyFont="1" applyBorder="1" applyAlignment="1" applyProtection="1">
      <alignment horizontal="right"/>
    </xf>
    <xf numFmtId="166" fontId="8" fillId="0" borderId="18" xfId="4" applyNumberFormat="1" applyFont="1" applyBorder="1" applyAlignment="1">
      <alignment horizontal="right"/>
    </xf>
    <xf numFmtId="0" fontId="8" fillId="0" borderId="19" xfId="4" applyFont="1" applyBorder="1"/>
    <xf numFmtId="166" fontId="8" fillId="0" borderId="20" xfId="4" applyNumberFormat="1" applyFont="1" applyBorder="1" applyAlignment="1" applyProtection="1">
      <alignment horizontal="right"/>
    </xf>
    <xf numFmtId="166" fontId="8" fillId="0" borderId="21" xfId="4" applyNumberFormat="1" applyFont="1" applyBorder="1" applyAlignment="1" applyProtection="1">
      <alignment horizontal="right"/>
    </xf>
    <xf numFmtId="166" fontId="8" fillId="0" borderId="0" xfId="4" applyNumberFormat="1" applyFont="1" applyBorder="1" applyAlignment="1" applyProtection="1">
      <alignment horizontal="right"/>
    </xf>
    <xf numFmtId="0" fontId="8" fillId="0" borderId="22" xfId="4" applyFont="1" applyBorder="1"/>
    <xf numFmtId="0" fontId="5" fillId="0" borderId="0" xfId="4" applyFont="1" applyBorder="1"/>
    <xf numFmtId="0" fontId="8" fillId="0" borderId="23" xfId="4" applyFont="1" applyBorder="1"/>
    <xf numFmtId="0" fontId="11" fillId="0" borderId="24" xfId="4" applyFont="1" applyBorder="1"/>
    <xf numFmtId="166" fontId="8" fillId="0" borderId="25" xfId="4" applyNumberFormat="1" applyFont="1" applyBorder="1" applyAlignment="1" applyProtection="1">
      <alignment horizontal="right"/>
    </xf>
    <xf numFmtId="166" fontId="8" fillId="0" borderId="27" xfId="4" applyNumberFormat="1" applyFont="1" applyBorder="1" applyAlignment="1">
      <alignment horizontal="right"/>
    </xf>
    <xf numFmtId="0" fontId="8" fillId="0" borderId="0" xfId="4" applyFont="1" applyBorder="1"/>
    <xf numFmtId="166" fontId="8" fillId="0" borderId="0" xfId="4" applyNumberFormat="1" applyFont="1" applyBorder="1" applyAlignment="1">
      <alignment horizontal="right"/>
    </xf>
    <xf numFmtId="0" fontId="9" fillId="0" borderId="0" xfId="4" applyFont="1" applyBorder="1"/>
    <xf numFmtId="0" fontId="11" fillId="0" borderId="0" xfId="4" applyFont="1" applyBorder="1"/>
    <xf numFmtId="0" fontId="12" fillId="0" borderId="0" xfId="4" applyFont="1" applyBorder="1"/>
    <xf numFmtId="0" fontId="13" fillId="0" borderId="0" xfId="4" applyFont="1" applyBorder="1"/>
    <xf numFmtId="166" fontId="5" fillId="0" borderId="0" xfId="4" applyNumberFormat="1" applyFont="1" applyBorder="1" applyAlignment="1" applyProtection="1">
      <alignment horizontal="right"/>
    </xf>
    <xf numFmtId="166" fontId="5" fillId="0" borderId="0" xfId="4" applyNumberFormat="1" applyFont="1" applyBorder="1" applyAlignment="1">
      <alignment horizontal="right"/>
    </xf>
    <xf numFmtId="0" fontId="5" fillId="0" borderId="6" xfId="4" applyFont="1" applyBorder="1"/>
    <xf numFmtId="0" fontId="15" fillId="0" borderId="0" xfId="4" applyFont="1" applyAlignment="1">
      <alignment horizontal="left"/>
    </xf>
    <xf numFmtId="0" fontId="15" fillId="0" borderId="0" xfId="4" applyFont="1" applyAlignment="1">
      <alignment horizontal="right"/>
    </xf>
    <xf numFmtId="0" fontId="9" fillId="2" borderId="2" xfId="0" applyFont="1" applyFill="1" applyBorder="1" applyAlignment="1">
      <alignment horizontal="center"/>
    </xf>
    <xf numFmtId="0" fontId="9" fillId="2" borderId="29" xfId="0" applyFont="1" applyFill="1" applyBorder="1" applyAlignment="1">
      <alignment horizontal="center"/>
    </xf>
    <xf numFmtId="0" fontId="7" fillId="0" borderId="30" xfId="0" applyFont="1" applyBorder="1" applyAlignment="1">
      <alignment vertical="top"/>
    </xf>
    <xf numFmtId="0" fontId="9" fillId="2" borderId="3" xfId="0" applyFont="1" applyFill="1" applyBorder="1" applyAlignment="1">
      <alignment horizontal="center"/>
    </xf>
    <xf numFmtId="0" fontId="7" fillId="0" borderId="19" xfId="0" applyFont="1" applyBorder="1" applyAlignment="1">
      <alignment vertical="top"/>
    </xf>
    <xf numFmtId="0" fontId="37" fillId="0" borderId="0" xfId="3" applyFont="1" applyAlignment="1" applyProtection="1"/>
    <xf numFmtId="0" fontId="38" fillId="0" borderId="0" xfId="2" applyFont="1" applyAlignment="1" applyProtection="1">
      <alignment horizontal="left"/>
    </xf>
    <xf numFmtId="0" fontId="5" fillId="3" borderId="0" xfId="0" applyFont="1" applyFill="1"/>
    <xf numFmtId="0" fontId="12" fillId="3" borderId="0" xfId="0" applyFont="1" applyFill="1" applyAlignment="1">
      <alignment horizontal="right"/>
    </xf>
    <xf numFmtId="0" fontId="17" fillId="3" borderId="0" xfId="0" applyFont="1" applyFill="1"/>
    <xf numFmtId="0" fontId="3" fillId="3" borderId="0" xfId="0" applyFont="1" applyFill="1"/>
    <xf numFmtId="0" fontId="12" fillId="3" borderId="0" xfId="0" applyFont="1" applyFill="1"/>
    <xf numFmtId="0" fontId="12" fillId="3" borderId="0" xfId="0" quotePrefix="1" applyFont="1" applyFill="1"/>
    <xf numFmtId="0" fontId="5" fillId="3" borderId="0" xfId="0" applyFont="1" applyFill="1" applyAlignment="1">
      <alignment horizontal="right"/>
    </xf>
    <xf numFmtId="167" fontId="5" fillId="3" borderId="0" xfId="0" applyNumberFormat="1" applyFont="1" applyFill="1"/>
    <xf numFmtId="3" fontId="5" fillId="3" borderId="0" xfId="0" applyNumberFormat="1" applyFont="1" applyFill="1"/>
    <xf numFmtId="170" fontId="3" fillId="3" borderId="0" xfId="0" applyNumberFormat="1" applyFont="1" applyFill="1"/>
    <xf numFmtId="167" fontId="3" fillId="3" borderId="0" xfId="0" applyNumberFormat="1" applyFont="1" applyFill="1"/>
    <xf numFmtId="170" fontId="5" fillId="3" borderId="0" xfId="0" applyNumberFormat="1" applyFont="1" applyFill="1"/>
    <xf numFmtId="3" fontId="5" fillId="3" borderId="0" xfId="0" applyNumberFormat="1" applyFont="1" applyFill="1" applyBorder="1"/>
    <xf numFmtId="167" fontId="5" fillId="3" borderId="0" xfId="0" applyNumberFormat="1" applyFont="1" applyFill="1" applyBorder="1"/>
    <xf numFmtId="171" fontId="5" fillId="3" borderId="0" xfId="0" applyNumberFormat="1" applyFont="1" applyFill="1"/>
    <xf numFmtId="1" fontId="5" fillId="3" borderId="0" xfId="0" applyNumberFormat="1" applyFont="1" applyFill="1"/>
    <xf numFmtId="169" fontId="5" fillId="3" borderId="0" xfId="0" applyNumberFormat="1" applyFont="1" applyFill="1"/>
    <xf numFmtId="0" fontId="39" fillId="3" borderId="0" xfId="0" applyFont="1" applyFill="1"/>
    <xf numFmtId="0" fontId="40" fillId="3" borderId="0" xfId="0" applyFont="1" applyFill="1" applyAlignment="1">
      <alignment horizontal="right"/>
    </xf>
    <xf numFmtId="0" fontId="41" fillId="3" borderId="0" xfId="0" applyFont="1" applyFill="1"/>
    <xf numFmtId="0" fontId="42" fillId="3" borderId="0" xfId="0" applyFont="1" applyFill="1"/>
    <xf numFmtId="0" fontId="39" fillId="3" borderId="0" xfId="0" applyFont="1" applyFill="1" applyAlignment="1">
      <alignment horizontal="right"/>
    </xf>
    <xf numFmtId="1" fontId="42" fillId="3" borderId="0" xfId="0" applyNumberFormat="1" applyFont="1" applyFill="1"/>
    <xf numFmtId="169" fontId="42" fillId="3" borderId="0" xfId="0" applyNumberFormat="1" applyFont="1" applyFill="1"/>
    <xf numFmtId="170" fontId="42" fillId="3" borderId="0" xfId="0" applyNumberFormat="1" applyFont="1" applyFill="1"/>
    <xf numFmtId="167" fontId="42" fillId="3" borderId="0" xfId="0" applyNumberFormat="1" applyFont="1" applyFill="1"/>
    <xf numFmtId="3" fontId="42" fillId="3" borderId="0" xfId="0" applyNumberFormat="1" applyFont="1" applyFill="1"/>
    <xf numFmtId="167" fontId="39" fillId="3" borderId="0" xfId="0" applyNumberFormat="1" applyFont="1" applyFill="1"/>
    <xf numFmtId="3" fontId="39" fillId="3" borderId="0" xfId="0" applyNumberFormat="1" applyFont="1" applyFill="1"/>
    <xf numFmtId="168" fontId="42" fillId="3" borderId="0" xfId="1" applyNumberFormat="1" applyFont="1" applyFill="1"/>
    <xf numFmtId="167" fontId="42" fillId="3" borderId="0" xfId="1" applyNumberFormat="1" applyFont="1" applyFill="1"/>
    <xf numFmtId="3" fontId="39" fillId="3" borderId="0" xfId="0" applyNumberFormat="1" applyFont="1" applyFill="1" applyBorder="1"/>
    <xf numFmtId="169" fontId="39" fillId="3" borderId="0" xfId="0" applyNumberFormat="1" applyFont="1" applyFill="1"/>
    <xf numFmtId="1" fontId="39" fillId="3" borderId="0" xfId="0" applyNumberFormat="1" applyFont="1" applyFill="1"/>
    <xf numFmtId="0" fontId="39" fillId="0" borderId="0" xfId="0" applyFont="1"/>
    <xf numFmtId="14" fontId="20" fillId="0" borderId="0" xfId="9" applyNumberFormat="1" applyFont="1" applyAlignment="1">
      <alignment horizontal="center"/>
    </xf>
    <xf numFmtId="0" fontId="14" fillId="0" borderId="28" xfId="0" applyFont="1" applyBorder="1" applyAlignment="1">
      <alignment horizontal="right"/>
    </xf>
    <xf numFmtId="0" fontId="14" fillId="0" borderId="0" xfId="0" applyFont="1" applyAlignment="1">
      <alignment horizontal="right"/>
    </xf>
    <xf numFmtId="0" fontId="7" fillId="2" borderId="0" xfId="0" applyFont="1" applyFill="1" applyBorder="1" applyAlignment="1">
      <alignment horizontal="left" vertical="top"/>
    </xf>
    <xf numFmtId="0" fontId="14" fillId="0" borderId="0" xfId="0" applyFont="1" applyBorder="1" applyAlignment="1">
      <alignment horizontal="left"/>
    </xf>
    <xf numFmtId="0" fontId="14" fillId="0" borderId="0" xfId="0" applyFont="1" applyBorder="1" applyAlignment="1">
      <alignment horizontal="right"/>
    </xf>
    <xf numFmtId="0" fontId="9" fillId="2" borderId="2" xfId="0" applyFont="1" applyFill="1" applyBorder="1" applyAlignment="1">
      <alignment horizontal="center"/>
    </xf>
    <xf numFmtId="0" fontId="9" fillId="2" borderId="29" xfId="0" applyFont="1" applyFill="1" applyBorder="1" applyAlignment="1">
      <alignment horizontal="center"/>
    </xf>
    <xf numFmtId="0" fontId="7" fillId="0" borderId="30" xfId="0" applyFont="1" applyBorder="1" applyAlignment="1">
      <alignment vertical="top"/>
    </xf>
    <xf numFmtId="0" fontId="10" fillId="0" borderId="19" xfId="0" applyFont="1" applyBorder="1" applyAlignment="1">
      <alignment vertical="top"/>
    </xf>
    <xf numFmtId="0" fontId="9" fillId="2" borderId="3" xfId="0" applyFont="1" applyFill="1" applyBorder="1" applyAlignment="1">
      <alignment horizontal="center"/>
    </xf>
    <xf numFmtId="0" fontId="9" fillId="2" borderId="4" xfId="0" applyFont="1" applyFill="1" applyBorder="1" applyAlignment="1">
      <alignment horizontal="center"/>
    </xf>
    <xf numFmtId="0" fontId="10" fillId="0" borderId="23" xfId="0" applyFont="1" applyBorder="1" applyAlignment="1">
      <alignment vertical="top"/>
    </xf>
    <xf numFmtId="0" fontId="14" fillId="0" borderId="0" xfId="4" applyFont="1" applyBorder="1" applyAlignment="1">
      <alignment horizontal="right"/>
    </xf>
    <xf numFmtId="0" fontId="14" fillId="0" borderId="0" xfId="4" applyFont="1" applyAlignment="1">
      <alignment horizontal="right"/>
    </xf>
    <xf numFmtId="0" fontId="9" fillId="2" borderId="2" xfId="4" applyFont="1" applyFill="1" applyBorder="1" applyAlignment="1">
      <alignment horizontal="center"/>
    </xf>
    <xf numFmtId="0" fontId="9" fillId="2" borderId="29" xfId="4" applyFont="1" applyFill="1" applyBorder="1" applyAlignment="1">
      <alignment horizontal="center"/>
    </xf>
    <xf numFmtId="0" fontId="7" fillId="0" borderId="30" xfId="4" applyFont="1" applyBorder="1" applyAlignment="1">
      <alignment vertical="top"/>
    </xf>
    <xf numFmtId="0" fontId="10" fillId="0" borderId="19" xfId="4" applyFont="1" applyBorder="1" applyAlignment="1">
      <alignment vertical="top"/>
    </xf>
    <xf numFmtId="0" fontId="9" fillId="2" borderId="3" xfId="4" applyFont="1" applyFill="1" applyBorder="1" applyAlignment="1">
      <alignment horizontal="center"/>
    </xf>
    <xf numFmtId="0" fontId="9" fillId="2" borderId="4" xfId="4" applyFont="1" applyFill="1" applyBorder="1" applyAlignment="1">
      <alignment horizontal="center"/>
    </xf>
  </cellXfs>
  <cellStyles count="15">
    <cellStyle name="Comma" xfId="1" builtinId="3"/>
    <cellStyle name="Comma 2" xfId="5" xr:uid="{00000000-0005-0000-0000-000000000000}"/>
    <cellStyle name="Hyperkobling_Test_skadestat_tabeller" xfId="2" xr:uid="{00000000-0005-0000-0000-000002000000}"/>
    <cellStyle name="Hyperlink" xfId="3" builtinId="8"/>
    <cellStyle name="Hyperlink 2" xfId="6" xr:uid="{00000000-0005-0000-0000-000003000000}"/>
    <cellStyle name="Normal" xfId="0" builtinId="0"/>
    <cellStyle name="Normal 2" xfId="4" xr:uid="{00000000-0005-0000-0000-000006000000}"/>
    <cellStyle name="Normal 2 2" xfId="9" xr:uid="{00000000-0005-0000-0000-000007000000}"/>
    <cellStyle name="Normal 3" xfId="8"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7" xr:uid="{00000000-0005-0000-0000-00000D000000}"/>
    <cellStyle name="Tusenskille 2" xfId="14"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3524659460671"/>
          <c:y val="3.7594076974851641E-2"/>
          <c:w val="0.81081147956763977"/>
          <c:h val="0.79198188827020743"/>
        </c:manualLayout>
      </c:layout>
      <c:lineChart>
        <c:grouping val="standard"/>
        <c:varyColors val="0"/>
        <c:ser>
          <c:idx val="0"/>
          <c:order val="0"/>
          <c:tx>
            <c:strRef>
              <c:f>'Tab2'!$C$70</c:f>
              <c:strCache>
                <c:ptCount val="1"/>
                <c:pt idx="0">
                  <c:v>Motorvogn i alt</c:v>
                </c:pt>
              </c:strCache>
            </c:strRef>
          </c:tx>
          <c:spPr>
            <a:ln w="25400">
              <a:solidFill>
                <a:srgbClr val="000080"/>
              </a:solidFill>
              <a:prstDash val="solid"/>
            </a:ln>
          </c:spPr>
          <c:marker>
            <c:symbol val="none"/>
          </c:marker>
          <c:cat>
            <c:numRef>
              <c:f>'Tab2'!$B$71:$B$215</c:f>
              <c:numCache>
                <c:formatCode>General</c:formatCode>
                <c:ptCount val="145"/>
                <c:pt idx="0">
                  <c:v>1983</c:v>
                </c:pt>
                <c:pt idx="4">
                  <c:v>1984</c:v>
                </c:pt>
                <c:pt idx="8">
                  <c:v>1985</c:v>
                </c:pt>
                <c:pt idx="12">
                  <c:v>1986</c:v>
                </c:pt>
                <c:pt idx="16">
                  <c:v>1987</c:v>
                </c:pt>
                <c:pt idx="20">
                  <c:v>1988</c:v>
                </c:pt>
                <c:pt idx="24">
                  <c:v>1989</c:v>
                </c:pt>
                <c:pt idx="28">
                  <c:v>1990</c:v>
                </c:pt>
                <c:pt idx="32">
                  <c:v>1991</c:v>
                </c:pt>
                <c:pt idx="36">
                  <c:v>1992</c:v>
                </c:pt>
                <c:pt idx="40">
                  <c:v>1993</c:v>
                </c:pt>
                <c:pt idx="44">
                  <c:v>1994</c:v>
                </c:pt>
                <c:pt idx="48">
                  <c:v>1995</c:v>
                </c:pt>
                <c:pt idx="52">
                  <c:v>1996</c:v>
                </c:pt>
                <c:pt idx="56">
                  <c:v>1997</c:v>
                </c:pt>
                <c:pt idx="60">
                  <c:v>1998</c:v>
                </c:pt>
                <c:pt idx="64">
                  <c:v>1999</c:v>
                </c:pt>
                <c:pt idx="68">
                  <c:v>2000</c:v>
                </c:pt>
                <c:pt idx="72">
                  <c:v>2001</c:v>
                </c:pt>
                <c:pt idx="76">
                  <c:v>2002</c:v>
                </c:pt>
                <c:pt idx="80">
                  <c:v>2003</c:v>
                </c:pt>
                <c:pt idx="84">
                  <c:v>2004</c:v>
                </c:pt>
                <c:pt idx="88">
                  <c:v>2005</c:v>
                </c:pt>
                <c:pt idx="92">
                  <c:v>2006</c:v>
                </c:pt>
                <c:pt idx="96">
                  <c:v>2007</c:v>
                </c:pt>
                <c:pt idx="100">
                  <c:v>2008</c:v>
                </c:pt>
                <c:pt idx="104">
                  <c:v>2009</c:v>
                </c:pt>
                <c:pt idx="108">
                  <c:v>2010</c:v>
                </c:pt>
                <c:pt idx="112">
                  <c:v>2011</c:v>
                </c:pt>
                <c:pt idx="116">
                  <c:v>2012</c:v>
                </c:pt>
                <c:pt idx="120">
                  <c:v>2013</c:v>
                </c:pt>
                <c:pt idx="124">
                  <c:v>2014</c:v>
                </c:pt>
                <c:pt idx="128">
                  <c:v>2015</c:v>
                </c:pt>
                <c:pt idx="132">
                  <c:v>2016</c:v>
                </c:pt>
                <c:pt idx="136">
                  <c:v>2017</c:v>
                </c:pt>
                <c:pt idx="140">
                  <c:v>2018</c:v>
                </c:pt>
                <c:pt idx="144">
                  <c:v>2019</c:v>
                </c:pt>
              </c:numCache>
            </c:numRef>
          </c:cat>
          <c:val>
            <c:numRef>
              <c:f>'Tab2'!$C$71:$C$215</c:f>
              <c:numCache>
                <c:formatCode>General</c:formatCode>
                <c:ptCount val="145"/>
                <c:pt idx="0">
                  <c:v>97</c:v>
                </c:pt>
                <c:pt idx="1">
                  <c:v>78.8</c:v>
                </c:pt>
                <c:pt idx="2">
                  <c:v>84.8</c:v>
                </c:pt>
                <c:pt idx="3">
                  <c:v>91.2</c:v>
                </c:pt>
                <c:pt idx="4">
                  <c:v>112.2</c:v>
                </c:pt>
                <c:pt idx="5">
                  <c:v>81.8</c:v>
                </c:pt>
                <c:pt idx="6">
                  <c:v>90.4</c:v>
                </c:pt>
                <c:pt idx="7">
                  <c:v>92.9</c:v>
                </c:pt>
                <c:pt idx="8">
                  <c:v>123.4</c:v>
                </c:pt>
                <c:pt idx="9">
                  <c:v>102</c:v>
                </c:pt>
                <c:pt idx="10">
                  <c:v>108.4</c:v>
                </c:pt>
                <c:pt idx="11">
                  <c:v>109.6</c:v>
                </c:pt>
                <c:pt idx="12">
                  <c:v>141</c:v>
                </c:pt>
                <c:pt idx="13">
                  <c:v>120.5</c:v>
                </c:pt>
                <c:pt idx="14">
                  <c:v>115.7</c:v>
                </c:pt>
                <c:pt idx="15">
                  <c:v>114.4</c:v>
                </c:pt>
                <c:pt idx="16">
                  <c:v>152.19999999999999</c:v>
                </c:pt>
                <c:pt idx="17">
                  <c:v>109.2</c:v>
                </c:pt>
                <c:pt idx="18">
                  <c:v>110.1</c:v>
                </c:pt>
                <c:pt idx="19">
                  <c:v>112</c:v>
                </c:pt>
                <c:pt idx="20">
                  <c:v>134.1</c:v>
                </c:pt>
                <c:pt idx="21">
                  <c:v>113.7</c:v>
                </c:pt>
                <c:pt idx="22">
                  <c:v>116.3</c:v>
                </c:pt>
                <c:pt idx="23">
                  <c:v>115.2</c:v>
                </c:pt>
                <c:pt idx="24">
                  <c:v>106.6</c:v>
                </c:pt>
                <c:pt idx="25">
                  <c:v>98</c:v>
                </c:pt>
                <c:pt idx="26">
                  <c:v>96.9</c:v>
                </c:pt>
                <c:pt idx="27">
                  <c:v>93.4</c:v>
                </c:pt>
                <c:pt idx="28">
                  <c:v>99.4</c:v>
                </c:pt>
                <c:pt idx="29">
                  <c:v>88.6</c:v>
                </c:pt>
                <c:pt idx="30">
                  <c:v>88.2</c:v>
                </c:pt>
                <c:pt idx="31">
                  <c:v>84.8</c:v>
                </c:pt>
                <c:pt idx="32">
                  <c:v>97.5</c:v>
                </c:pt>
                <c:pt idx="33">
                  <c:v>93.9</c:v>
                </c:pt>
                <c:pt idx="34">
                  <c:v>90.2</c:v>
                </c:pt>
                <c:pt idx="35">
                  <c:v>92.6</c:v>
                </c:pt>
                <c:pt idx="36">
                  <c:v>102</c:v>
                </c:pt>
                <c:pt idx="37">
                  <c:v>92.2</c:v>
                </c:pt>
                <c:pt idx="38">
                  <c:v>93.3</c:v>
                </c:pt>
                <c:pt idx="39">
                  <c:v>90.8</c:v>
                </c:pt>
                <c:pt idx="40">
                  <c:v>112.6</c:v>
                </c:pt>
                <c:pt idx="41">
                  <c:v>93</c:v>
                </c:pt>
                <c:pt idx="42">
                  <c:v>87.500000000000028</c:v>
                </c:pt>
                <c:pt idx="43">
                  <c:v>120.09999999999994</c:v>
                </c:pt>
                <c:pt idx="44">
                  <c:v>138.4</c:v>
                </c:pt>
                <c:pt idx="45">
                  <c:v>114.5</c:v>
                </c:pt>
                <c:pt idx="46">
                  <c:v>112.79999999999998</c:v>
                </c:pt>
                <c:pt idx="47">
                  <c:v>114.49999999999997</c:v>
                </c:pt>
                <c:pt idx="48">
                  <c:v>137.19999999999999</c:v>
                </c:pt>
                <c:pt idx="49">
                  <c:v>111</c:v>
                </c:pt>
                <c:pt idx="50">
                  <c:v>115.90000000000003</c:v>
                </c:pt>
                <c:pt idx="51">
                  <c:v>118.79999999999995</c:v>
                </c:pt>
                <c:pt idx="52">
                  <c:v>143.9</c:v>
                </c:pt>
                <c:pt idx="53">
                  <c:v>131.6</c:v>
                </c:pt>
                <c:pt idx="54">
                  <c:v>112</c:v>
                </c:pt>
                <c:pt idx="55">
                  <c:v>132.50000000000003</c:v>
                </c:pt>
                <c:pt idx="56">
                  <c:v>142.6</c:v>
                </c:pt>
                <c:pt idx="57">
                  <c:v>141.79999999999998</c:v>
                </c:pt>
                <c:pt idx="58">
                  <c:v>135.40000000000006</c:v>
                </c:pt>
                <c:pt idx="59">
                  <c:v>130.59999999999994</c:v>
                </c:pt>
                <c:pt idx="60">
                  <c:v>150</c:v>
                </c:pt>
                <c:pt idx="61">
                  <c:v>139.80000000000001</c:v>
                </c:pt>
                <c:pt idx="62">
                  <c:v>128.09999999999997</c:v>
                </c:pt>
                <c:pt idx="63">
                  <c:v>141.80000000000007</c:v>
                </c:pt>
                <c:pt idx="64">
                  <c:v>154.19999999999999</c:v>
                </c:pt>
                <c:pt idx="65">
                  <c:v>159.30000000000001</c:v>
                </c:pt>
                <c:pt idx="66">
                  <c:v>146.30000000000001</c:v>
                </c:pt>
                <c:pt idx="67">
                  <c:v>141.90000000000003</c:v>
                </c:pt>
                <c:pt idx="68">
                  <c:v>169.1</c:v>
                </c:pt>
                <c:pt idx="69">
                  <c:v>151.50000000000003</c:v>
                </c:pt>
                <c:pt idx="70">
                  <c:v>139</c:v>
                </c:pt>
                <c:pt idx="71">
                  <c:v>135.10000000000002</c:v>
                </c:pt>
                <c:pt idx="72">
                  <c:v>158.5</c:v>
                </c:pt>
                <c:pt idx="73">
                  <c:v>140.45999999999998</c:v>
                </c:pt>
                <c:pt idx="74">
                  <c:v>134.24</c:v>
                </c:pt>
                <c:pt idx="75">
                  <c:v>137.49520000000001</c:v>
                </c:pt>
                <c:pt idx="76">
                  <c:v>155.81399999999999</c:v>
                </c:pt>
                <c:pt idx="77">
                  <c:v>146.54300000000003</c:v>
                </c:pt>
                <c:pt idx="78">
                  <c:v>146.23099999999999</c:v>
                </c:pt>
                <c:pt idx="79">
                  <c:v>137.96699999999993</c:v>
                </c:pt>
                <c:pt idx="80" formatCode="0.000">
                  <c:v>165.679</c:v>
                </c:pt>
                <c:pt idx="81" formatCode="0.000">
                  <c:v>135.02099999999999</c:v>
                </c:pt>
                <c:pt idx="82" formatCode="0.000">
                  <c:v>134.11099999999999</c:v>
                </c:pt>
                <c:pt idx="83" formatCode="0.000">
                  <c:v>142.01299999999998</c:v>
                </c:pt>
                <c:pt idx="84" formatCode="0.000">
                  <c:v>168.309</c:v>
                </c:pt>
                <c:pt idx="85" formatCode="0.000">
                  <c:v>140.26700000000002</c:v>
                </c:pt>
                <c:pt idx="86" formatCode="0.000">
                  <c:v>137.76999999999998</c:v>
                </c:pt>
                <c:pt idx="87" formatCode="0.000">
                  <c:v>137.68499999999995</c:v>
                </c:pt>
                <c:pt idx="88" formatCode="0.000">
                  <c:v>147.31100000000001</c:v>
                </c:pt>
                <c:pt idx="89" formatCode="0.000">
                  <c:v>143.51699999999997</c:v>
                </c:pt>
                <c:pt idx="90" formatCode="0.000">
                  <c:v>134.78300000000002</c:v>
                </c:pt>
                <c:pt idx="91" formatCode="0.000">
                  <c:v>137.37</c:v>
                </c:pt>
                <c:pt idx="92" formatCode="0.000">
                  <c:v>155.21299999999999</c:v>
                </c:pt>
                <c:pt idx="93" formatCode="0.000">
                  <c:v>147.44399999999999</c:v>
                </c:pt>
                <c:pt idx="94" formatCode="0.000">
                  <c:v>143.45100000000002</c:v>
                </c:pt>
                <c:pt idx="95" formatCode="0.000">
                  <c:v>148.56090999999998</c:v>
                </c:pt>
                <c:pt idx="96" formatCode="0.000">
                  <c:v>158.09976</c:v>
                </c:pt>
                <c:pt idx="97" formatCode="0.000">
                  <c:v>161.61276000000004</c:v>
                </c:pt>
                <c:pt idx="98" formatCode="0.000">
                  <c:v>135.82058024999998</c:v>
                </c:pt>
                <c:pt idx="99" formatCode="0.000">
                  <c:v>149.79139924999998</c:v>
                </c:pt>
                <c:pt idx="100" formatCode="0.000">
                  <c:v>164.64169099999998</c:v>
                </c:pt>
                <c:pt idx="101" formatCode="0.000">
                  <c:v>197.28657850000002</c:v>
                </c:pt>
                <c:pt idx="102" formatCode="0.000">
                  <c:v>159.71767174999997</c:v>
                </c:pt>
                <c:pt idx="103" formatCode="0.000">
                  <c:v>170.05706974999998</c:v>
                </c:pt>
                <c:pt idx="104" formatCode="0.000">
                  <c:v>191.37959499999999</c:v>
                </c:pt>
                <c:pt idx="105" formatCode="0.000">
                  <c:v>178.90604250000001</c:v>
                </c:pt>
                <c:pt idx="106" formatCode="0.000">
                  <c:v>160.23377500000004</c:v>
                </c:pt>
                <c:pt idx="107" formatCode="0.000">
                  <c:v>179.8571388695641</c:v>
                </c:pt>
                <c:pt idx="108" formatCode="0.000">
                  <c:v>204.63648875000001</c:v>
                </c:pt>
                <c:pt idx="109" formatCode="0.000">
                  <c:v>188.95691625000001</c:v>
                </c:pt>
                <c:pt idx="110" formatCode="0.000">
                  <c:v>172.07737875000004</c:v>
                </c:pt>
                <c:pt idx="111" formatCode="0.000">
                  <c:v>192.96143124999992</c:v>
                </c:pt>
                <c:pt idx="112" formatCode="0.000">
                  <c:v>204.00503875000001</c:v>
                </c:pt>
                <c:pt idx="113" formatCode="0.000">
                  <c:v>188.74104374999999</c:v>
                </c:pt>
                <c:pt idx="114" formatCode="0.000">
                  <c:v>169.93391749999995</c:v>
                </c:pt>
                <c:pt idx="115" formatCode="0.000">
                  <c:v>202.17554500000006</c:v>
                </c:pt>
                <c:pt idx="116" formatCode="0.000">
                  <c:v>195.82938625</c:v>
                </c:pt>
                <c:pt idx="117" formatCode="0.000">
                  <c:v>182.75061374999999</c:v>
                </c:pt>
                <c:pt idx="118" formatCode="0.000">
                  <c:v>165.72960875000007</c:v>
                </c:pt>
                <c:pt idx="119" formatCode="0.000">
                  <c:v>166.80539124999996</c:v>
                </c:pt>
                <c:pt idx="120" formatCode="0.000">
                  <c:v>199.180995</c:v>
                </c:pt>
                <c:pt idx="121" formatCode="0.000">
                  <c:v>205.01500500000003</c:v>
                </c:pt>
                <c:pt idx="122" formatCode="0.000">
                  <c:v>172.04383408071794</c:v>
                </c:pt>
                <c:pt idx="123" formatCode="0.000">
                  <c:v>204.099832585949</c:v>
                </c:pt>
                <c:pt idx="124" formatCode="0.000">
                  <c:v>196.17699999999999</c:v>
                </c:pt>
                <c:pt idx="125" formatCode="0.000">
                  <c:v>197.965</c:v>
                </c:pt>
                <c:pt idx="126" formatCode="0.000">
                  <c:v>192.10452006852</c:v>
                </c:pt>
                <c:pt idx="127" formatCode="0.000">
                  <c:v>196.808833167682</c:v>
                </c:pt>
                <c:pt idx="128" formatCode="0.000">
                  <c:v>219.418599054541</c:v>
                </c:pt>
                <c:pt idx="129" formatCode="0.000">
                  <c:v>188.69592411436798</c:v>
                </c:pt>
                <c:pt idx="130" formatCode="0.000">
                  <c:v>180.38826158445403</c:v>
                </c:pt>
                <c:pt idx="131" formatCode="0.000">
                  <c:v>195.22963867497901</c:v>
                </c:pt>
                <c:pt idx="132" formatCode="0.000">
                  <c:v>217.297581707322</c:v>
                </c:pt>
                <c:pt idx="133" formatCode="0.000">
                  <c:v>210.94903078835901</c:v>
                </c:pt>
                <c:pt idx="134" formatCode="0.000">
                  <c:v>193.64755294266695</c:v>
                </c:pt>
                <c:pt idx="135" formatCode="0.000">
                  <c:v>194.66297676649504</c:v>
                </c:pt>
                <c:pt idx="136" formatCode="0.000">
                  <c:v>227.02914608932699</c:v>
                </c:pt>
                <c:pt idx="137">
                  <c:v>200.76722202181199</c:v>
                </c:pt>
                <c:pt idx="138">
                  <c:v>195.05863188886104</c:v>
                </c:pt>
                <c:pt idx="139">
                  <c:v>225.423</c:v>
                </c:pt>
                <c:pt idx="140">
                  <c:v>241.52799999999999</c:v>
                </c:pt>
                <c:pt idx="141">
                  <c:v>226.77080239162902</c:v>
                </c:pt>
                <c:pt idx="142">
                  <c:v>230.04425590433516</c:v>
                </c:pt>
                <c:pt idx="143">
                  <c:v>212.66674917787782</c:v>
                </c:pt>
                <c:pt idx="144">
                  <c:v>242.05576995515696</c:v>
                </c:pt>
              </c:numCache>
            </c:numRef>
          </c:val>
          <c:smooth val="0"/>
          <c:extLst>
            <c:ext xmlns:c16="http://schemas.microsoft.com/office/drawing/2014/chart" uri="{C3380CC4-5D6E-409C-BE32-E72D297353CC}">
              <c16:uniqueId val="{00000000-A323-4438-AB76-3A3BD5C6F162}"/>
            </c:ext>
          </c:extLst>
        </c:ser>
        <c:ser>
          <c:idx val="1"/>
          <c:order val="1"/>
          <c:tx>
            <c:strRef>
              <c:f>'Tab2'!$D$70</c:f>
              <c:strCache>
                <c:ptCount val="1"/>
                <c:pt idx="0">
                  <c:v>Personbil</c:v>
                </c:pt>
              </c:strCache>
            </c:strRef>
          </c:tx>
          <c:spPr>
            <a:ln w="25400">
              <a:solidFill>
                <a:srgbClr val="000000"/>
              </a:solidFill>
              <a:prstDash val="sysDash"/>
            </a:ln>
          </c:spPr>
          <c:marker>
            <c:symbol val="none"/>
          </c:marker>
          <c:cat>
            <c:numRef>
              <c:f>'Tab2'!$B$71:$B$215</c:f>
              <c:numCache>
                <c:formatCode>General</c:formatCode>
                <c:ptCount val="145"/>
                <c:pt idx="0">
                  <c:v>1983</c:v>
                </c:pt>
                <c:pt idx="4">
                  <c:v>1984</c:v>
                </c:pt>
                <c:pt idx="8">
                  <c:v>1985</c:v>
                </c:pt>
                <c:pt idx="12">
                  <c:v>1986</c:v>
                </c:pt>
                <c:pt idx="16">
                  <c:v>1987</c:v>
                </c:pt>
                <c:pt idx="20">
                  <c:v>1988</c:v>
                </c:pt>
                <c:pt idx="24">
                  <c:v>1989</c:v>
                </c:pt>
                <c:pt idx="28">
                  <c:v>1990</c:v>
                </c:pt>
                <c:pt idx="32">
                  <c:v>1991</c:v>
                </c:pt>
                <c:pt idx="36">
                  <c:v>1992</c:v>
                </c:pt>
                <c:pt idx="40">
                  <c:v>1993</c:v>
                </c:pt>
                <c:pt idx="44">
                  <c:v>1994</c:v>
                </c:pt>
                <c:pt idx="48">
                  <c:v>1995</c:v>
                </c:pt>
                <c:pt idx="52">
                  <c:v>1996</c:v>
                </c:pt>
                <c:pt idx="56">
                  <c:v>1997</c:v>
                </c:pt>
                <c:pt idx="60">
                  <c:v>1998</c:v>
                </c:pt>
                <c:pt idx="64">
                  <c:v>1999</c:v>
                </c:pt>
                <c:pt idx="68">
                  <c:v>2000</c:v>
                </c:pt>
                <c:pt idx="72">
                  <c:v>2001</c:v>
                </c:pt>
                <c:pt idx="76">
                  <c:v>2002</c:v>
                </c:pt>
                <c:pt idx="80">
                  <c:v>2003</c:v>
                </c:pt>
                <c:pt idx="84">
                  <c:v>2004</c:v>
                </c:pt>
                <c:pt idx="88">
                  <c:v>2005</c:v>
                </c:pt>
                <c:pt idx="92">
                  <c:v>2006</c:v>
                </c:pt>
                <c:pt idx="96">
                  <c:v>2007</c:v>
                </c:pt>
                <c:pt idx="100">
                  <c:v>2008</c:v>
                </c:pt>
                <c:pt idx="104">
                  <c:v>2009</c:v>
                </c:pt>
                <c:pt idx="108">
                  <c:v>2010</c:v>
                </c:pt>
                <c:pt idx="112">
                  <c:v>2011</c:v>
                </c:pt>
                <c:pt idx="116">
                  <c:v>2012</c:v>
                </c:pt>
                <c:pt idx="120">
                  <c:v>2013</c:v>
                </c:pt>
                <c:pt idx="124">
                  <c:v>2014</c:v>
                </c:pt>
                <c:pt idx="128">
                  <c:v>2015</c:v>
                </c:pt>
                <c:pt idx="132">
                  <c:v>2016</c:v>
                </c:pt>
                <c:pt idx="136">
                  <c:v>2017</c:v>
                </c:pt>
                <c:pt idx="140">
                  <c:v>2018</c:v>
                </c:pt>
                <c:pt idx="144">
                  <c:v>2019</c:v>
                </c:pt>
              </c:numCache>
            </c:numRef>
          </c:cat>
          <c:val>
            <c:numRef>
              <c:f>'Tab2'!$D$71:$D$215</c:f>
              <c:numCache>
                <c:formatCode>General</c:formatCode>
                <c:ptCount val="145"/>
                <c:pt idx="0">
                  <c:v>78.3</c:v>
                </c:pt>
                <c:pt idx="1">
                  <c:v>61.3</c:v>
                </c:pt>
                <c:pt idx="2">
                  <c:v>63</c:v>
                </c:pt>
                <c:pt idx="3">
                  <c:v>70.8</c:v>
                </c:pt>
                <c:pt idx="4">
                  <c:v>90.4</c:v>
                </c:pt>
                <c:pt idx="5">
                  <c:v>64.400000000000006</c:v>
                </c:pt>
                <c:pt idx="6">
                  <c:v>71.099999999999994</c:v>
                </c:pt>
                <c:pt idx="7">
                  <c:v>73.900000000000006</c:v>
                </c:pt>
                <c:pt idx="8">
                  <c:v>100.8</c:v>
                </c:pt>
                <c:pt idx="9">
                  <c:v>81.099999999999994</c:v>
                </c:pt>
                <c:pt idx="10">
                  <c:v>86</c:v>
                </c:pt>
                <c:pt idx="11">
                  <c:v>87.1</c:v>
                </c:pt>
                <c:pt idx="12">
                  <c:v>115.2</c:v>
                </c:pt>
                <c:pt idx="13">
                  <c:v>93.2</c:v>
                </c:pt>
                <c:pt idx="14">
                  <c:v>91.1</c:v>
                </c:pt>
                <c:pt idx="15">
                  <c:v>90.8</c:v>
                </c:pt>
                <c:pt idx="16">
                  <c:v>121.3</c:v>
                </c:pt>
                <c:pt idx="17">
                  <c:v>86.1</c:v>
                </c:pt>
                <c:pt idx="18">
                  <c:v>87.3</c:v>
                </c:pt>
                <c:pt idx="19">
                  <c:v>89.8</c:v>
                </c:pt>
                <c:pt idx="20">
                  <c:v>107.5</c:v>
                </c:pt>
                <c:pt idx="21">
                  <c:v>90</c:v>
                </c:pt>
                <c:pt idx="22">
                  <c:v>93.1</c:v>
                </c:pt>
                <c:pt idx="23">
                  <c:v>93.4</c:v>
                </c:pt>
                <c:pt idx="24">
                  <c:v>86.4</c:v>
                </c:pt>
                <c:pt idx="25">
                  <c:v>79.599999999999994</c:v>
                </c:pt>
                <c:pt idx="26">
                  <c:v>79</c:v>
                </c:pt>
                <c:pt idx="27">
                  <c:v>76.8</c:v>
                </c:pt>
                <c:pt idx="28">
                  <c:v>81.3</c:v>
                </c:pt>
                <c:pt idx="29">
                  <c:v>73.099999999999994</c:v>
                </c:pt>
                <c:pt idx="30">
                  <c:v>72.5</c:v>
                </c:pt>
                <c:pt idx="31">
                  <c:v>70.2</c:v>
                </c:pt>
                <c:pt idx="32">
                  <c:v>82.4</c:v>
                </c:pt>
                <c:pt idx="33">
                  <c:v>78</c:v>
                </c:pt>
                <c:pt idx="34">
                  <c:v>76.099999999999994</c:v>
                </c:pt>
                <c:pt idx="35">
                  <c:v>78.099999999999994</c:v>
                </c:pt>
                <c:pt idx="36">
                  <c:v>87.1</c:v>
                </c:pt>
                <c:pt idx="37">
                  <c:v>78.900000000000006</c:v>
                </c:pt>
                <c:pt idx="38">
                  <c:v>79.900000000000006</c:v>
                </c:pt>
                <c:pt idx="39">
                  <c:v>77.599999999999994</c:v>
                </c:pt>
                <c:pt idx="40">
                  <c:v>96.5</c:v>
                </c:pt>
                <c:pt idx="41">
                  <c:v>80.099999999999994</c:v>
                </c:pt>
                <c:pt idx="42">
                  <c:v>73.599999999999994</c:v>
                </c:pt>
                <c:pt idx="43">
                  <c:v>106.60000000000005</c:v>
                </c:pt>
                <c:pt idx="44">
                  <c:v>120</c:v>
                </c:pt>
                <c:pt idx="45">
                  <c:v>98.1</c:v>
                </c:pt>
                <c:pt idx="46">
                  <c:v>98.799999999999983</c:v>
                </c:pt>
                <c:pt idx="47">
                  <c:v>100.20000000000005</c:v>
                </c:pt>
                <c:pt idx="48">
                  <c:v>119.3</c:v>
                </c:pt>
                <c:pt idx="49">
                  <c:v>95.399999999999991</c:v>
                </c:pt>
                <c:pt idx="50">
                  <c:v>100.99999999999999</c:v>
                </c:pt>
                <c:pt idx="51">
                  <c:v>104.40000000000005</c:v>
                </c:pt>
                <c:pt idx="52">
                  <c:v>126.9</c:v>
                </c:pt>
                <c:pt idx="53">
                  <c:v>115.69999999999999</c:v>
                </c:pt>
                <c:pt idx="54">
                  <c:v>96.700000000000017</c:v>
                </c:pt>
                <c:pt idx="55">
                  <c:v>113.1</c:v>
                </c:pt>
                <c:pt idx="56">
                  <c:v>124.8</c:v>
                </c:pt>
                <c:pt idx="57">
                  <c:v>122.50000000000001</c:v>
                </c:pt>
                <c:pt idx="58">
                  <c:v>117.3</c:v>
                </c:pt>
                <c:pt idx="59">
                  <c:v>113.7</c:v>
                </c:pt>
                <c:pt idx="60">
                  <c:v>131.9</c:v>
                </c:pt>
                <c:pt idx="61">
                  <c:v>122</c:v>
                </c:pt>
                <c:pt idx="62">
                  <c:v>112.1</c:v>
                </c:pt>
                <c:pt idx="63">
                  <c:v>125.60000000000002</c:v>
                </c:pt>
                <c:pt idx="64">
                  <c:v>137.1</c:v>
                </c:pt>
                <c:pt idx="65">
                  <c:v>140.70000000000002</c:v>
                </c:pt>
                <c:pt idx="66">
                  <c:v>128.69999999999999</c:v>
                </c:pt>
                <c:pt idx="67">
                  <c:v>126.39999999999998</c:v>
                </c:pt>
                <c:pt idx="68">
                  <c:v>150.9</c:v>
                </c:pt>
                <c:pt idx="69">
                  <c:v>133.4</c:v>
                </c:pt>
                <c:pt idx="70">
                  <c:v>123.5</c:v>
                </c:pt>
                <c:pt idx="71">
                  <c:v>121.40000000000003</c:v>
                </c:pt>
                <c:pt idx="72">
                  <c:v>143.1</c:v>
                </c:pt>
                <c:pt idx="73">
                  <c:v>125.70000000000002</c:v>
                </c:pt>
                <c:pt idx="74">
                  <c:v>119.19999999999999</c:v>
                </c:pt>
                <c:pt idx="75">
                  <c:v>124.07220000000007</c:v>
                </c:pt>
                <c:pt idx="76">
                  <c:v>141.72399999999999</c:v>
                </c:pt>
                <c:pt idx="77">
                  <c:v>133.19</c:v>
                </c:pt>
                <c:pt idx="78">
                  <c:v>127.14100000000002</c:v>
                </c:pt>
                <c:pt idx="79">
                  <c:v>124.64100000000002</c:v>
                </c:pt>
                <c:pt idx="80">
                  <c:v>150.81100000000001</c:v>
                </c:pt>
                <c:pt idx="81">
                  <c:v>121.10099999999997</c:v>
                </c:pt>
                <c:pt idx="82">
                  <c:v>119.49100000000004</c:v>
                </c:pt>
                <c:pt idx="83">
                  <c:v>125.95899999999995</c:v>
                </c:pt>
                <c:pt idx="84">
                  <c:v>153.04300000000001</c:v>
                </c:pt>
                <c:pt idx="85">
                  <c:v>125.56799999999998</c:v>
                </c:pt>
                <c:pt idx="86">
                  <c:v>123.12100000000004</c:v>
                </c:pt>
                <c:pt idx="87">
                  <c:v>124.50600000000003</c:v>
                </c:pt>
                <c:pt idx="88">
                  <c:v>133.756</c:v>
                </c:pt>
                <c:pt idx="89">
                  <c:v>128.79</c:v>
                </c:pt>
                <c:pt idx="90">
                  <c:v>120.57100000000003</c:v>
                </c:pt>
                <c:pt idx="91">
                  <c:v>124.38200000000001</c:v>
                </c:pt>
                <c:pt idx="92">
                  <c:v>139.72800000000001</c:v>
                </c:pt>
                <c:pt idx="93">
                  <c:v>129.572</c:v>
                </c:pt>
                <c:pt idx="94">
                  <c:v>126.00599999999997</c:v>
                </c:pt>
                <c:pt idx="95">
                  <c:v>131.19532799999996</c:v>
                </c:pt>
                <c:pt idx="96">
                  <c:v>141.08400800000001</c:v>
                </c:pt>
                <c:pt idx="97">
                  <c:v>142.897008</c:v>
                </c:pt>
                <c:pt idx="98">
                  <c:v>119.75308425000003</c:v>
                </c:pt>
                <c:pt idx="99">
                  <c:v>133.49839924999998</c:v>
                </c:pt>
                <c:pt idx="100">
                  <c:v>148.61369099999999</c:v>
                </c:pt>
                <c:pt idx="101">
                  <c:v>175.71357850000001</c:v>
                </c:pt>
                <c:pt idx="102">
                  <c:v>141.40667174999999</c:v>
                </c:pt>
                <c:pt idx="103">
                  <c:v>152.54014889999991</c:v>
                </c:pt>
                <c:pt idx="104">
                  <c:v>172.55938714999999</c:v>
                </c:pt>
                <c:pt idx="105">
                  <c:v>160.765232725</c:v>
                </c:pt>
                <c:pt idx="106">
                  <c:v>142.31202375000004</c:v>
                </c:pt>
                <c:pt idx="107">
                  <c:v>163.53199924456408</c:v>
                </c:pt>
                <c:pt idx="108">
                  <c:v>186.506571025</c:v>
                </c:pt>
                <c:pt idx="109">
                  <c:v>170.46253197500002</c:v>
                </c:pt>
                <c:pt idx="110">
                  <c:v>154.15607493749997</c:v>
                </c:pt>
                <c:pt idx="111">
                  <c:v>174.39946771249993</c:v>
                </c:pt>
                <c:pt idx="112">
                  <c:v>184.8599929625</c:v>
                </c:pt>
                <c:pt idx="113">
                  <c:v>171.33320521249996</c:v>
                </c:pt>
                <c:pt idx="114">
                  <c:v>151.69380182500004</c:v>
                </c:pt>
                <c:pt idx="115">
                  <c:v>178.91908595000001</c:v>
                </c:pt>
                <c:pt idx="116">
                  <c:v>177.0717714875</c:v>
                </c:pt>
                <c:pt idx="117">
                  <c:v>165.12822851249999</c:v>
                </c:pt>
                <c:pt idx="118">
                  <c:v>148.24155396250001</c:v>
                </c:pt>
                <c:pt idx="119">
                  <c:v>151.72844603749996</c:v>
                </c:pt>
                <c:pt idx="120">
                  <c:v>183.65288545000001</c:v>
                </c:pt>
                <c:pt idx="121">
                  <c:v>185.63411454999996</c:v>
                </c:pt>
                <c:pt idx="122">
                  <c:v>153.21019910313902</c:v>
                </c:pt>
                <c:pt idx="123">
                  <c:v>188.07946756352794</c:v>
                </c:pt>
                <c:pt idx="124">
                  <c:v>179.55199999999999</c:v>
                </c:pt>
                <c:pt idx="125">
                  <c:v>179.76700000000002</c:v>
                </c:pt>
                <c:pt idx="126">
                  <c:v>173.47352006851992</c:v>
                </c:pt>
                <c:pt idx="127">
                  <c:v>184.73883316768206</c:v>
                </c:pt>
                <c:pt idx="128">
                  <c:v>202.59159905454101</c:v>
                </c:pt>
                <c:pt idx="129">
                  <c:v>171.45081948058601</c:v>
                </c:pt>
                <c:pt idx="130">
                  <c:v>162.29720926756397</c:v>
                </c:pt>
                <c:pt idx="131">
                  <c:v>179.89113138755602</c:v>
                </c:pt>
                <c:pt idx="132">
                  <c:v>201.19677375494101</c:v>
                </c:pt>
                <c:pt idx="133">
                  <c:v>192.89311593057502</c:v>
                </c:pt>
                <c:pt idx="134">
                  <c:v>175.641874720337</c:v>
                </c:pt>
                <c:pt idx="135">
                  <c:v>178.45454935802093</c:v>
                </c:pt>
                <c:pt idx="136">
                  <c:v>210.737716871462</c:v>
                </c:pt>
                <c:pt idx="137">
                  <c:v>183.70797761744905</c:v>
                </c:pt>
                <c:pt idx="138">
                  <c:v>176.76630551108894</c:v>
                </c:pt>
                <c:pt idx="139">
                  <c:v>208.21799999999996</c:v>
                </c:pt>
                <c:pt idx="140">
                  <c:v>222.678</c:v>
                </c:pt>
                <c:pt idx="141">
                  <c:v>208.83864191330298</c:v>
                </c:pt>
                <c:pt idx="142">
                  <c:v>207.39460472346803</c:v>
                </c:pt>
                <c:pt idx="143">
                  <c:v>195.66619934230232</c:v>
                </c:pt>
                <c:pt idx="144">
                  <c:v>223.58363596412556</c:v>
                </c:pt>
              </c:numCache>
            </c:numRef>
          </c:val>
          <c:smooth val="0"/>
          <c:extLst>
            <c:ext xmlns:c16="http://schemas.microsoft.com/office/drawing/2014/chart" uri="{C3380CC4-5D6E-409C-BE32-E72D297353CC}">
              <c16:uniqueId val="{00000001-A323-4438-AB76-3A3BD5C6F162}"/>
            </c:ext>
          </c:extLst>
        </c:ser>
        <c:dLbls>
          <c:showLegendKey val="0"/>
          <c:showVal val="0"/>
          <c:showCatName val="0"/>
          <c:showSerName val="0"/>
          <c:showPercent val="0"/>
          <c:showBubbleSize val="0"/>
        </c:dLbls>
        <c:smooth val="0"/>
        <c:axId val="266180480"/>
        <c:axId val="266182016"/>
      </c:lineChart>
      <c:catAx>
        <c:axId val="266180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3000000" vert="horz"/>
          <a:lstStyle/>
          <a:p>
            <a:pPr>
              <a:defRPr sz="800" b="0" i="0" u="none" strike="noStrike" baseline="0">
                <a:solidFill>
                  <a:srgbClr val="000000"/>
                </a:solidFill>
                <a:latin typeface="Arial"/>
                <a:ea typeface="Arial"/>
                <a:cs typeface="Arial"/>
              </a:defRPr>
            </a:pPr>
            <a:endParaRPr lang="nb-NO"/>
          </a:p>
        </c:txPr>
        <c:crossAx val="266182016"/>
        <c:crosses val="autoZero"/>
        <c:auto val="1"/>
        <c:lblAlgn val="ctr"/>
        <c:lblOffset val="100"/>
        <c:tickLblSkip val="1"/>
        <c:tickMarkSkip val="1"/>
        <c:noMultiLvlLbl val="0"/>
      </c:catAx>
      <c:valAx>
        <c:axId val="266182016"/>
        <c:scaling>
          <c:orientation val="minMax"/>
        </c:scaling>
        <c:delete val="0"/>
        <c:axPos val="l"/>
        <c:majorGridlines>
          <c:spPr>
            <a:ln>
              <a:prstDash val="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66180480"/>
        <c:crosses val="autoZero"/>
        <c:crossBetween val="between"/>
      </c:valAx>
      <c:spPr>
        <a:noFill/>
        <a:ln w="12700">
          <a:solidFill>
            <a:srgbClr val="808080"/>
          </a:solidFill>
          <a:prstDash val="solid"/>
        </a:ln>
      </c:spPr>
    </c:plotArea>
    <c:legend>
      <c:legendPos val="r"/>
      <c:layout>
        <c:manualLayout>
          <c:xMode val="edge"/>
          <c:yMode val="edge"/>
          <c:x val="0.59154731503155356"/>
          <c:y val="0.60632894572388973"/>
          <c:w val="0.26013531247783173"/>
          <c:h val="0.1228072806688637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575"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2566614958665"/>
          <c:y val="4.7126376644779866E-2"/>
          <c:w val="0.72887760912680744"/>
          <c:h val="0.81417322834645667"/>
        </c:manualLayout>
      </c:layout>
      <c:lineChart>
        <c:grouping val="standard"/>
        <c:varyColors val="0"/>
        <c:ser>
          <c:idx val="0"/>
          <c:order val="0"/>
          <c:tx>
            <c:strRef>
              <c:f>'Tab2'!$M$70</c:f>
              <c:strCache>
                <c:ptCount val="1"/>
                <c:pt idx="0">
                  <c:v>Erstatning</c:v>
                </c:pt>
              </c:strCache>
            </c:strRef>
          </c:tx>
          <c:spPr>
            <a:ln w="50800"/>
          </c:spPr>
          <c:marker>
            <c:symbol val="none"/>
          </c:marker>
          <c:cat>
            <c:numRef>
              <c:f>'Tab2'!$K$103:$K$215</c:f>
              <c:numCache>
                <c:formatCode>General</c:formatCode>
                <c:ptCount val="113"/>
                <c:pt idx="0">
                  <c:v>1991</c:v>
                </c:pt>
                <c:pt idx="4">
                  <c:v>1992</c:v>
                </c:pt>
                <c:pt idx="8">
                  <c:v>1993</c:v>
                </c:pt>
                <c:pt idx="12">
                  <c:v>1994</c:v>
                </c:pt>
                <c:pt idx="16">
                  <c:v>1995</c:v>
                </c:pt>
                <c:pt idx="20">
                  <c:v>1996</c:v>
                </c:pt>
                <c:pt idx="24">
                  <c:v>1997</c:v>
                </c:pt>
                <c:pt idx="28">
                  <c:v>1998</c:v>
                </c:pt>
                <c:pt idx="32">
                  <c:v>1999</c:v>
                </c:pt>
                <c:pt idx="36">
                  <c:v>2000</c:v>
                </c:pt>
                <c:pt idx="40">
                  <c:v>2001</c:v>
                </c:pt>
                <c:pt idx="44">
                  <c:v>2002</c:v>
                </c:pt>
                <c:pt idx="48">
                  <c:v>2003</c:v>
                </c:pt>
                <c:pt idx="52">
                  <c:v>2004</c:v>
                </c:pt>
                <c:pt idx="56">
                  <c:v>2005</c:v>
                </c:pt>
                <c:pt idx="60">
                  <c:v>2006</c:v>
                </c:pt>
                <c:pt idx="64">
                  <c:v>2007</c:v>
                </c:pt>
                <c:pt idx="68">
                  <c:v>2008</c:v>
                </c:pt>
                <c:pt idx="72">
                  <c:v>2009</c:v>
                </c:pt>
                <c:pt idx="76">
                  <c:v>2010</c:v>
                </c:pt>
                <c:pt idx="80">
                  <c:v>2011</c:v>
                </c:pt>
                <c:pt idx="84">
                  <c:v>2012</c:v>
                </c:pt>
                <c:pt idx="88">
                  <c:v>2013</c:v>
                </c:pt>
                <c:pt idx="92">
                  <c:v>2014</c:v>
                </c:pt>
                <c:pt idx="96">
                  <c:v>2015</c:v>
                </c:pt>
                <c:pt idx="100">
                  <c:v>2016</c:v>
                </c:pt>
                <c:pt idx="104">
                  <c:v>2017</c:v>
                </c:pt>
                <c:pt idx="108">
                  <c:v>2018</c:v>
                </c:pt>
                <c:pt idx="112">
                  <c:v>2019</c:v>
                </c:pt>
              </c:numCache>
            </c:numRef>
          </c:cat>
          <c:val>
            <c:numRef>
              <c:f>'Tab2'!$T$103:$T$215</c:f>
              <c:numCache>
                <c:formatCode>#\ ##0.0</c:formatCode>
                <c:ptCount val="113"/>
                <c:pt idx="0">
                  <c:v>248.09206042884986</c:v>
                </c:pt>
                <c:pt idx="1">
                  <c:v>308.67089876828322</c:v>
                </c:pt>
                <c:pt idx="2">
                  <c:v>358.74456697459584</c:v>
                </c:pt>
                <c:pt idx="3">
                  <c:v>321.30593738067961</c:v>
                </c:pt>
                <c:pt idx="4">
                  <c:v>312.77383809523803</c:v>
                </c:pt>
                <c:pt idx="5">
                  <c:v>285.78801730624525</c:v>
                </c:pt>
                <c:pt idx="6">
                  <c:v>374.52431980458465</c:v>
                </c:pt>
                <c:pt idx="7">
                  <c:v>185.7492758491974</c:v>
                </c:pt>
                <c:pt idx="8">
                  <c:v>296.32074053452112</c:v>
                </c:pt>
                <c:pt idx="9">
                  <c:v>319.27381791483111</c:v>
                </c:pt>
                <c:pt idx="10">
                  <c:v>362.98829470198666</c:v>
                </c:pt>
                <c:pt idx="11">
                  <c:v>274.08532051282049</c:v>
                </c:pt>
                <c:pt idx="12">
                  <c:v>269.42003846153841</c:v>
                </c:pt>
                <c:pt idx="13">
                  <c:v>324.4075354416575</c:v>
                </c:pt>
                <c:pt idx="14">
                  <c:v>361.85062251176265</c:v>
                </c:pt>
                <c:pt idx="15">
                  <c:v>351.05491720662337</c:v>
                </c:pt>
                <c:pt idx="16">
                  <c:v>297.23690756602423</c:v>
                </c:pt>
                <c:pt idx="17">
                  <c:v>343.84764789231309</c:v>
                </c:pt>
                <c:pt idx="18">
                  <c:v>361.08836875664167</c:v>
                </c:pt>
                <c:pt idx="19">
                  <c:v>330.65063248766762</c:v>
                </c:pt>
                <c:pt idx="20">
                  <c:v>319.66096602972397</c:v>
                </c:pt>
                <c:pt idx="21">
                  <c:v>350.91407816333674</c:v>
                </c:pt>
                <c:pt idx="22">
                  <c:v>370.24264572425824</c:v>
                </c:pt>
                <c:pt idx="23">
                  <c:v>296.00076150917289</c:v>
                </c:pt>
                <c:pt idx="24">
                  <c:v>292.64695786228157</c:v>
                </c:pt>
                <c:pt idx="25">
                  <c:v>348.55912316615473</c:v>
                </c:pt>
                <c:pt idx="26">
                  <c:v>308.51982940975785</c:v>
                </c:pt>
                <c:pt idx="27">
                  <c:v>285.21514735772337</c:v>
                </c:pt>
                <c:pt idx="28">
                  <c:v>283.08818731117822</c:v>
                </c:pt>
                <c:pt idx="29">
                  <c:v>310.54307255098627</c:v>
                </c:pt>
                <c:pt idx="30">
                  <c:v>318.43588510354039</c:v>
                </c:pt>
                <c:pt idx="31">
                  <c:v>309.86831181727894</c:v>
                </c:pt>
                <c:pt idx="32">
                  <c:v>243.43202498356339</c:v>
                </c:pt>
                <c:pt idx="33">
                  <c:v>295.38037018917146</c:v>
                </c:pt>
                <c:pt idx="34">
                  <c:v>339.4715191740413</c:v>
                </c:pt>
                <c:pt idx="35">
                  <c:v>281.56216747181952</c:v>
                </c:pt>
                <c:pt idx="36">
                  <c:v>287.00850860420644</c:v>
                </c:pt>
                <c:pt idx="37">
                  <c:v>266.16743577545191</c:v>
                </c:pt>
                <c:pt idx="38">
                  <c:v>279.1969721430832</c:v>
                </c:pt>
                <c:pt idx="39">
                  <c:v>305.23088327091131</c:v>
                </c:pt>
                <c:pt idx="40">
                  <c:v>229.53058579335789</c:v>
                </c:pt>
                <c:pt idx="41">
                  <c:v>263.26280261557173</c:v>
                </c:pt>
                <c:pt idx="42">
                  <c:v>222.3129895158803</c:v>
                </c:pt>
                <c:pt idx="43">
                  <c:v>360.5722247776755</c:v>
                </c:pt>
                <c:pt idx="44">
                  <c:v>274.52815949984745</c:v>
                </c:pt>
                <c:pt idx="45">
                  <c:v>321.85144696969689</c:v>
                </c:pt>
                <c:pt idx="46">
                  <c:v>255.23902828467152</c:v>
                </c:pt>
                <c:pt idx="47">
                  <c:v>264.99642642642652</c:v>
                </c:pt>
                <c:pt idx="48">
                  <c:v>242.11836823734725</c:v>
                </c:pt>
                <c:pt idx="49">
                  <c:v>274.35015731671115</c:v>
                </c:pt>
                <c:pt idx="50">
                  <c:v>255.81921954125701</c:v>
                </c:pt>
                <c:pt idx="51">
                  <c:v>297.45316311426888</c:v>
                </c:pt>
                <c:pt idx="52">
                  <c:v>240.8980121373593</c:v>
                </c:pt>
                <c:pt idx="53">
                  <c:v>305.38261610817159</c:v>
                </c:pt>
                <c:pt idx="54">
                  <c:v>215.75897345132728</c:v>
                </c:pt>
                <c:pt idx="55">
                  <c:v>216.65938157894746</c:v>
                </c:pt>
                <c:pt idx="56">
                  <c:v>212.96376575784222</c:v>
                </c:pt>
                <c:pt idx="57">
                  <c:v>200.71444589120375</c:v>
                </c:pt>
                <c:pt idx="58">
                  <c:v>201.54748045178096</c:v>
                </c:pt>
                <c:pt idx="59">
                  <c:v>185.60583333333338</c:v>
                </c:pt>
                <c:pt idx="60">
                  <c:v>195.83381646655229</c:v>
                </c:pt>
                <c:pt idx="61">
                  <c:v>226.46798558100079</c:v>
                </c:pt>
                <c:pt idx="62">
                  <c:v>215.9930136402387</c:v>
                </c:pt>
                <c:pt idx="63">
                  <c:v>183.6023711484593</c:v>
                </c:pt>
                <c:pt idx="64">
                  <c:v>216.01248510638294</c:v>
                </c:pt>
                <c:pt idx="65">
                  <c:v>206.34901380670607</c:v>
                </c:pt>
                <c:pt idx="66">
                  <c:v>196.79926004527439</c:v>
                </c:pt>
                <c:pt idx="67">
                  <c:v>179.23488410596033</c:v>
                </c:pt>
                <c:pt idx="68">
                  <c:v>199.13559338255396</c:v>
                </c:pt>
                <c:pt idx="69">
                  <c:v>234.14362295081966</c:v>
                </c:pt>
                <c:pt idx="70">
                  <c:v>229.46479691307871</c:v>
                </c:pt>
                <c:pt idx="71">
                  <c:v>327.80434108527146</c:v>
                </c:pt>
                <c:pt idx="72">
                  <c:v>258.60591466666665</c:v>
                </c:pt>
                <c:pt idx="73">
                  <c:v>283.82321532749933</c:v>
                </c:pt>
                <c:pt idx="74">
                  <c:v>280.27035353535342</c:v>
                </c:pt>
                <c:pt idx="75">
                  <c:v>331.02866245392318</c:v>
                </c:pt>
                <c:pt idx="76">
                  <c:v>286.39648148148149</c:v>
                </c:pt>
                <c:pt idx="77">
                  <c:v>237.13675717610548</c:v>
                </c:pt>
                <c:pt idx="78">
                  <c:v>238.11008215962428</c:v>
                </c:pt>
                <c:pt idx="79">
                  <c:v>240.94916020671829</c:v>
                </c:pt>
                <c:pt idx="80">
                  <c:v>182.24877752176138</c:v>
                </c:pt>
                <c:pt idx="81">
                  <c:v>228.93714249363856</c:v>
                </c:pt>
                <c:pt idx="82">
                  <c:v>196.03017645543522</c:v>
                </c:pt>
                <c:pt idx="83">
                  <c:v>210.41538109297693</c:v>
                </c:pt>
                <c:pt idx="84">
                  <c:v>202.32072064153073</c:v>
                </c:pt>
                <c:pt idx="85">
                  <c:v>212.07167604551165</c:v>
                </c:pt>
                <c:pt idx="86">
                  <c:v>221.63424750156202</c:v>
                </c:pt>
                <c:pt idx="87">
                  <c:v>218.7226677745501</c:v>
                </c:pt>
                <c:pt idx="88">
                  <c:v>191.34859428078676</c:v>
                </c:pt>
                <c:pt idx="89">
                  <c:v>198.88892253350443</c:v>
                </c:pt>
                <c:pt idx="90">
                  <c:v>194.80110443778298</c:v>
                </c:pt>
                <c:pt idx="91">
                  <c:v>201.82644851877453</c:v>
                </c:pt>
                <c:pt idx="92">
                  <c:v>184.40525727391199</c:v>
                </c:pt>
                <c:pt idx="93">
                  <c:v>185.58517338833471</c:v>
                </c:pt>
                <c:pt idx="94">
                  <c:v>195.92600787176548</c:v>
                </c:pt>
                <c:pt idx="95">
                  <c:v>192.87619233220741</c:v>
                </c:pt>
                <c:pt idx="96">
                  <c:v>170.21254251759368</c:v>
                </c:pt>
                <c:pt idx="97">
                  <c:v>183.39353905748283</c:v>
                </c:pt>
                <c:pt idx="98">
                  <c:v>142.35638169713138</c:v>
                </c:pt>
                <c:pt idx="99">
                  <c:v>169.66049749127581</c:v>
                </c:pt>
                <c:pt idx="100">
                  <c:v>136.63264594646796</c:v>
                </c:pt>
                <c:pt idx="101">
                  <c:v>160.35826928264632</c:v>
                </c:pt>
                <c:pt idx="102">
                  <c:v>155.64114209862186</c:v>
                </c:pt>
                <c:pt idx="103">
                  <c:v>152.82543593333477</c:v>
                </c:pt>
                <c:pt idx="104">
                  <c:v>146.18405814213867</c:v>
                </c:pt>
                <c:pt idx="105" formatCode="General">
                  <c:v>123.38153182598164</c:v>
                </c:pt>
                <c:pt idx="106" formatCode="General">
                  <c:v>131.75541977823033</c:v>
                </c:pt>
                <c:pt idx="107" formatCode="General">
                  <c:v>126.69195867026053</c:v>
                </c:pt>
                <c:pt idx="108" formatCode="General">
                  <c:v>117.48906702293475</c:v>
                </c:pt>
                <c:pt idx="109" formatCode="General">
                  <c:v>136.35670539648072</c:v>
                </c:pt>
                <c:pt idx="110" formatCode="General">
                  <c:v>149.60199564054926</c:v>
                </c:pt>
                <c:pt idx="111" formatCode="General">
                  <c:v>115.03120238921264</c:v>
                </c:pt>
                <c:pt idx="112" formatCode="General">
                  <c:v>120.44656847508737</c:v>
                </c:pt>
              </c:numCache>
            </c:numRef>
          </c:val>
          <c:smooth val="0"/>
          <c:extLst>
            <c:ext xmlns:c16="http://schemas.microsoft.com/office/drawing/2014/chart" uri="{C3380CC4-5D6E-409C-BE32-E72D297353CC}">
              <c16:uniqueId val="{00000000-A9C2-44F7-A0C1-9433E210C6CC}"/>
            </c:ext>
          </c:extLst>
        </c:ser>
        <c:dLbls>
          <c:showLegendKey val="0"/>
          <c:showVal val="0"/>
          <c:showCatName val="0"/>
          <c:showSerName val="0"/>
          <c:showPercent val="0"/>
          <c:showBubbleSize val="0"/>
        </c:dLbls>
        <c:marker val="1"/>
        <c:smooth val="0"/>
        <c:axId val="270837248"/>
        <c:axId val="270838784"/>
      </c:lineChart>
      <c:lineChart>
        <c:grouping val="standard"/>
        <c:varyColors val="0"/>
        <c:ser>
          <c:idx val="1"/>
          <c:order val="1"/>
          <c:tx>
            <c:strRef>
              <c:f>'Tab2'!$L$70</c:f>
              <c:strCache>
                <c:ptCount val="1"/>
                <c:pt idx="0">
                  <c:v>Antall</c:v>
                </c:pt>
              </c:strCache>
            </c:strRef>
          </c:tx>
          <c:spPr>
            <a:ln w="25400"/>
          </c:spPr>
          <c:marker>
            <c:symbol val="none"/>
          </c:marker>
          <c:cat>
            <c:numRef>
              <c:f>'Tab2'!$K$103:$K$215</c:f>
              <c:numCache>
                <c:formatCode>General</c:formatCode>
                <c:ptCount val="113"/>
                <c:pt idx="0">
                  <c:v>1991</c:v>
                </c:pt>
                <c:pt idx="4">
                  <c:v>1992</c:v>
                </c:pt>
                <c:pt idx="8">
                  <c:v>1993</c:v>
                </c:pt>
                <c:pt idx="12">
                  <c:v>1994</c:v>
                </c:pt>
                <c:pt idx="16">
                  <c:v>1995</c:v>
                </c:pt>
                <c:pt idx="20">
                  <c:v>1996</c:v>
                </c:pt>
                <c:pt idx="24">
                  <c:v>1997</c:v>
                </c:pt>
                <c:pt idx="28">
                  <c:v>1998</c:v>
                </c:pt>
                <c:pt idx="32">
                  <c:v>1999</c:v>
                </c:pt>
                <c:pt idx="36">
                  <c:v>2000</c:v>
                </c:pt>
                <c:pt idx="40">
                  <c:v>2001</c:v>
                </c:pt>
                <c:pt idx="44">
                  <c:v>2002</c:v>
                </c:pt>
                <c:pt idx="48">
                  <c:v>2003</c:v>
                </c:pt>
                <c:pt idx="52">
                  <c:v>2004</c:v>
                </c:pt>
                <c:pt idx="56">
                  <c:v>2005</c:v>
                </c:pt>
                <c:pt idx="60">
                  <c:v>2006</c:v>
                </c:pt>
                <c:pt idx="64">
                  <c:v>2007</c:v>
                </c:pt>
                <c:pt idx="68">
                  <c:v>2008</c:v>
                </c:pt>
                <c:pt idx="72">
                  <c:v>2009</c:v>
                </c:pt>
                <c:pt idx="76">
                  <c:v>2010</c:v>
                </c:pt>
                <c:pt idx="80">
                  <c:v>2011</c:v>
                </c:pt>
                <c:pt idx="84">
                  <c:v>2012</c:v>
                </c:pt>
                <c:pt idx="88">
                  <c:v>2013</c:v>
                </c:pt>
                <c:pt idx="92">
                  <c:v>2014</c:v>
                </c:pt>
                <c:pt idx="96">
                  <c:v>2015</c:v>
                </c:pt>
                <c:pt idx="100">
                  <c:v>2016</c:v>
                </c:pt>
                <c:pt idx="104">
                  <c:v>2017</c:v>
                </c:pt>
                <c:pt idx="108">
                  <c:v>2018</c:v>
                </c:pt>
                <c:pt idx="112">
                  <c:v>2019</c:v>
                </c:pt>
              </c:numCache>
            </c:numRef>
          </c:cat>
          <c:val>
            <c:numRef>
              <c:f>'Tab2'!$R$103:$R$215</c:f>
              <c:numCache>
                <c:formatCode>#,##0</c:formatCode>
                <c:ptCount val="113"/>
                <c:pt idx="0">
                  <c:v>9077</c:v>
                </c:pt>
                <c:pt idx="1">
                  <c:v>12525</c:v>
                </c:pt>
                <c:pt idx="2">
                  <c:v>14126</c:v>
                </c:pt>
                <c:pt idx="3">
                  <c:v>13048</c:v>
                </c:pt>
                <c:pt idx="4">
                  <c:v>11030</c:v>
                </c:pt>
                <c:pt idx="5">
                  <c:v>13252</c:v>
                </c:pt>
                <c:pt idx="6">
                  <c:v>15450</c:v>
                </c:pt>
                <c:pt idx="7">
                  <c:v>12309</c:v>
                </c:pt>
                <c:pt idx="8">
                  <c:v>10571</c:v>
                </c:pt>
                <c:pt idx="9">
                  <c:v>12919</c:v>
                </c:pt>
                <c:pt idx="10">
                  <c:v>14800</c:v>
                </c:pt>
                <c:pt idx="11">
                  <c:v>11391</c:v>
                </c:pt>
                <c:pt idx="12">
                  <c:v>8795</c:v>
                </c:pt>
                <c:pt idx="13">
                  <c:v>13449</c:v>
                </c:pt>
                <c:pt idx="14">
                  <c:v>15669</c:v>
                </c:pt>
                <c:pt idx="15">
                  <c:v>14139</c:v>
                </c:pt>
                <c:pt idx="16">
                  <c:v>11007</c:v>
                </c:pt>
                <c:pt idx="17">
                  <c:v>13915</c:v>
                </c:pt>
                <c:pt idx="18">
                  <c:v>17436</c:v>
                </c:pt>
                <c:pt idx="19">
                  <c:v>15130</c:v>
                </c:pt>
                <c:pt idx="20">
                  <c:v>11785</c:v>
                </c:pt>
                <c:pt idx="21">
                  <c:v>14642</c:v>
                </c:pt>
                <c:pt idx="22">
                  <c:v>17198</c:v>
                </c:pt>
                <c:pt idx="23">
                  <c:v>13841</c:v>
                </c:pt>
                <c:pt idx="24">
                  <c:v>10571</c:v>
                </c:pt>
                <c:pt idx="25">
                  <c:v>14837</c:v>
                </c:pt>
                <c:pt idx="26">
                  <c:v>15670</c:v>
                </c:pt>
                <c:pt idx="27">
                  <c:v>13087</c:v>
                </c:pt>
                <c:pt idx="28">
                  <c:v>11958</c:v>
                </c:pt>
                <c:pt idx="29">
                  <c:v>15060</c:v>
                </c:pt>
                <c:pt idx="30">
                  <c:v>17098</c:v>
                </c:pt>
                <c:pt idx="31">
                  <c:v>14647</c:v>
                </c:pt>
                <c:pt idx="32">
                  <c:v>11175</c:v>
                </c:pt>
                <c:pt idx="33">
                  <c:v>12451</c:v>
                </c:pt>
                <c:pt idx="34">
                  <c:v>18817</c:v>
                </c:pt>
                <c:pt idx="35">
                  <c:v>13692</c:v>
                </c:pt>
                <c:pt idx="36">
                  <c:v>12421</c:v>
                </c:pt>
                <c:pt idx="37">
                  <c:v>13950</c:v>
                </c:pt>
                <c:pt idx="38">
                  <c:v>14850</c:v>
                </c:pt>
                <c:pt idx="39">
                  <c:v>13212</c:v>
                </c:pt>
                <c:pt idx="40">
                  <c:v>10538</c:v>
                </c:pt>
                <c:pt idx="41">
                  <c:v>11841</c:v>
                </c:pt>
                <c:pt idx="42">
                  <c:v>13534</c:v>
                </c:pt>
                <c:pt idx="43">
                  <c:v>12341</c:v>
                </c:pt>
                <c:pt idx="44">
                  <c:v>9371</c:v>
                </c:pt>
                <c:pt idx="45">
                  <c:v>14749</c:v>
                </c:pt>
                <c:pt idx="46">
                  <c:v>14722</c:v>
                </c:pt>
                <c:pt idx="47">
                  <c:v>14689</c:v>
                </c:pt>
                <c:pt idx="48">
                  <c:v>10626</c:v>
                </c:pt>
                <c:pt idx="49">
                  <c:v>12719</c:v>
                </c:pt>
                <c:pt idx="50">
                  <c:v>13690</c:v>
                </c:pt>
                <c:pt idx="51">
                  <c:v>11607</c:v>
                </c:pt>
                <c:pt idx="52">
                  <c:v>8913</c:v>
                </c:pt>
                <c:pt idx="53">
                  <c:v>10802</c:v>
                </c:pt>
                <c:pt idx="54">
                  <c:v>11365</c:v>
                </c:pt>
                <c:pt idx="55">
                  <c:v>9276</c:v>
                </c:pt>
                <c:pt idx="56">
                  <c:v>7498</c:v>
                </c:pt>
                <c:pt idx="57">
                  <c:v>11610</c:v>
                </c:pt>
                <c:pt idx="58">
                  <c:v>8742</c:v>
                </c:pt>
                <c:pt idx="59">
                  <c:v>11407</c:v>
                </c:pt>
                <c:pt idx="60">
                  <c:v>7106</c:v>
                </c:pt>
                <c:pt idx="61">
                  <c:v>9193</c:v>
                </c:pt>
                <c:pt idx="62">
                  <c:v>10840</c:v>
                </c:pt>
                <c:pt idx="63">
                  <c:v>9520</c:v>
                </c:pt>
                <c:pt idx="64">
                  <c:v>8112</c:v>
                </c:pt>
                <c:pt idx="65">
                  <c:v>10608</c:v>
                </c:pt>
                <c:pt idx="66">
                  <c:v>10319</c:v>
                </c:pt>
                <c:pt idx="67">
                  <c:v>8645</c:v>
                </c:pt>
                <c:pt idx="68">
                  <c:v>7939</c:v>
                </c:pt>
                <c:pt idx="69">
                  <c:v>10207</c:v>
                </c:pt>
                <c:pt idx="70">
                  <c:v>11007</c:v>
                </c:pt>
                <c:pt idx="71">
                  <c:v>10145</c:v>
                </c:pt>
                <c:pt idx="72">
                  <c:v>8619</c:v>
                </c:pt>
                <c:pt idx="73">
                  <c:v>11296</c:v>
                </c:pt>
                <c:pt idx="74">
                  <c:v>11383</c:v>
                </c:pt>
                <c:pt idx="75">
                  <c:v>10409</c:v>
                </c:pt>
                <c:pt idx="76">
                  <c:v>7227</c:v>
                </c:pt>
                <c:pt idx="77">
                  <c:v>10696</c:v>
                </c:pt>
                <c:pt idx="78">
                  <c:v>11532</c:v>
                </c:pt>
                <c:pt idx="79">
                  <c:v>9548</c:v>
                </c:pt>
                <c:pt idx="80">
                  <c:v>6732</c:v>
                </c:pt>
                <c:pt idx="81">
                  <c:v>10017</c:v>
                </c:pt>
                <c:pt idx="82">
                  <c:v>10339</c:v>
                </c:pt>
                <c:pt idx="83">
                  <c:v>9645.4866500746648</c:v>
                </c:pt>
                <c:pt idx="84">
                  <c:v>7564.3716625186662</c:v>
                </c:pt>
                <c:pt idx="85">
                  <c:v>10002.628337481334</c:v>
                </c:pt>
                <c:pt idx="86" formatCode="0">
                  <c:v>10877.781177428844</c:v>
                </c:pt>
                <c:pt idx="87" formatCode="0">
                  <c:v>8525.2188225711561</c:v>
                </c:pt>
                <c:pt idx="88" formatCode="0">
                  <c:v>5958.3970505452735</c:v>
                </c:pt>
                <c:pt idx="89" formatCode="0">
                  <c:v>10154.602949454726</c:v>
                </c:pt>
                <c:pt idx="90" formatCode="0">
                  <c:v>11786.02326086957</c:v>
                </c:pt>
                <c:pt idx="91" formatCode="0">
                  <c:v>11621.97673913043</c:v>
                </c:pt>
                <c:pt idx="92" formatCode="0">
                  <c:v>8004</c:v>
                </c:pt>
                <c:pt idx="93" formatCode="0">
                  <c:v>11579</c:v>
                </c:pt>
                <c:pt idx="94" formatCode="0">
                  <c:v>11684</c:v>
                </c:pt>
                <c:pt idx="95" formatCode="0">
                  <c:v>9690</c:v>
                </c:pt>
                <c:pt idx="96" formatCode="0">
                  <c:v>7135</c:v>
                </c:pt>
                <c:pt idx="97" formatCode="0">
                  <c:v>9988.3050621118018</c:v>
                </c:pt>
                <c:pt idx="98" formatCode="0">
                  <c:v>10649.652531055901</c:v>
                </c:pt>
                <c:pt idx="99" formatCode="0">
                  <c:v>9159.825978260902</c:v>
                </c:pt>
                <c:pt idx="100" formatCode="0">
                  <c:v>6340.7358571430004</c:v>
                </c:pt>
                <c:pt idx="101" formatCode="0">
                  <c:v>10107.700518632999</c:v>
                </c:pt>
                <c:pt idx="102" formatCode="0">
                  <c:v>10325.156290487997</c:v>
                </c:pt>
                <c:pt idx="103" formatCode="0">
                  <c:v>7957.0224983410008</c:v>
                </c:pt>
                <c:pt idx="104" formatCode="0">
                  <c:v>6121.3819215860003</c:v>
                </c:pt>
                <c:pt idx="105" formatCode="General">
                  <c:v>7194.9193664359991</c:v>
                </c:pt>
                <c:pt idx="106" formatCode="General">
                  <c:v>8727</c:v>
                </c:pt>
                <c:pt idx="107" formatCode="General">
                  <c:v>7520</c:v>
                </c:pt>
                <c:pt idx="108" formatCode="General">
                  <c:v>5433</c:v>
                </c:pt>
                <c:pt idx="109" formatCode="General">
                  <c:v>9319.6839472049996</c:v>
                </c:pt>
                <c:pt idx="110" formatCode="General">
                  <c:v>9726.2967189440697</c:v>
                </c:pt>
                <c:pt idx="111" formatCode="General">
                  <c:v>8182.2589673913026</c:v>
                </c:pt>
                <c:pt idx="112" formatCode="General">
                  <c:v>6840.1016739130437</c:v>
                </c:pt>
              </c:numCache>
            </c:numRef>
          </c:val>
          <c:smooth val="0"/>
          <c:extLst>
            <c:ext xmlns:c16="http://schemas.microsoft.com/office/drawing/2014/chart" uri="{C3380CC4-5D6E-409C-BE32-E72D297353CC}">
              <c16:uniqueId val="{00000001-A9C2-44F7-A0C1-9433E210C6CC}"/>
            </c:ext>
          </c:extLst>
        </c:ser>
        <c:dLbls>
          <c:showLegendKey val="0"/>
          <c:showVal val="0"/>
          <c:showCatName val="0"/>
          <c:showSerName val="0"/>
          <c:showPercent val="0"/>
          <c:showBubbleSize val="0"/>
        </c:dLbls>
        <c:upDownBars>
          <c:gapWidth val="150"/>
          <c:upBars/>
          <c:downBars/>
        </c:upDownBars>
        <c:marker val="1"/>
        <c:smooth val="0"/>
        <c:axId val="270851072"/>
        <c:axId val="270849152"/>
      </c:lineChart>
      <c:catAx>
        <c:axId val="270837248"/>
        <c:scaling>
          <c:orientation val="minMax"/>
        </c:scaling>
        <c:delete val="0"/>
        <c:axPos val="b"/>
        <c:majorGridlines>
          <c:spPr>
            <a:ln>
              <a:solidFill>
                <a:srgbClr val="4F81BD">
                  <a:alpha val="25000"/>
                </a:srgbClr>
              </a:solidFill>
            </a:ln>
          </c:spPr>
        </c:majorGridlines>
        <c:numFmt formatCode="General" sourceLinked="1"/>
        <c:majorTickMark val="out"/>
        <c:minorTickMark val="out"/>
        <c:tickLblPos val="nextTo"/>
        <c:txPr>
          <a:bodyPr rot="-3000000" vert="horz"/>
          <a:lstStyle/>
          <a:p>
            <a:pPr>
              <a:defRPr/>
            </a:pPr>
            <a:endParaRPr lang="nb-NO"/>
          </a:p>
        </c:txPr>
        <c:crossAx val="270838784"/>
        <c:crosses val="autoZero"/>
        <c:auto val="1"/>
        <c:lblAlgn val="ctr"/>
        <c:lblOffset val="100"/>
        <c:tickLblSkip val="1"/>
        <c:tickMarkSkip val="4"/>
        <c:noMultiLvlLbl val="0"/>
      </c:catAx>
      <c:valAx>
        <c:axId val="270838784"/>
        <c:scaling>
          <c:orientation val="minMax"/>
        </c:scaling>
        <c:delete val="0"/>
        <c:axPos val="l"/>
        <c:majorGridlines/>
        <c:title>
          <c:tx>
            <c:rich>
              <a:bodyPr rot="-5400000" vert="horz" anchor="ctr" anchorCtr="1"/>
              <a:lstStyle/>
              <a:p>
                <a:pPr>
                  <a:defRPr/>
                </a:pPr>
                <a:r>
                  <a:rPr lang="en-US"/>
                  <a:t>KPI-justert erstatning (millioner kroner)</a:t>
                </a:r>
              </a:p>
            </c:rich>
          </c:tx>
          <c:layout>
            <c:manualLayout>
              <c:xMode val="edge"/>
              <c:yMode val="edge"/>
              <c:x val="1.5657612176468372E-2"/>
              <c:y val="0.13385355900279908"/>
            </c:manualLayout>
          </c:layout>
          <c:overlay val="0"/>
        </c:title>
        <c:numFmt formatCode="#,##0" sourceLinked="0"/>
        <c:majorTickMark val="out"/>
        <c:minorTickMark val="none"/>
        <c:tickLblPos val="nextTo"/>
        <c:crossAx val="270837248"/>
        <c:crosses val="autoZero"/>
        <c:crossBetween val="between"/>
      </c:valAx>
      <c:valAx>
        <c:axId val="270849152"/>
        <c:scaling>
          <c:orientation val="minMax"/>
        </c:scaling>
        <c:delete val="0"/>
        <c:axPos val="r"/>
        <c:title>
          <c:tx>
            <c:rich>
              <a:bodyPr rot="-5400000" vert="horz"/>
              <a:lstStyle/>
              <a:p>
                <a:pPr>
                  <a:defRPr/>
                </a:pPr>
                <a:r>
                  <a:rPr lang="en-US"/>
                  <a:t>Antall meldte innbrudd/tyveri/ran</a:t>
                </a:r>
              </a:p>
            </c:rich>
          </c:tx>
          <c:overlay val="0"/>
        </c:title>
        <c:numFmt formatCode="#,##0" sourceLinked="1"/>
        <c:majorTickMark val="out"/>
        <c:minorTickMark val="none"/>
        <c:tickLblPos val="nextTo"/>
        <c:crossAx val="270851072"/>
        <c:crosses val="max"/>
        <c:crossBetween val="between"/>
      </c:valAx>
      <c:catAx>
        <c:axId val="270851072"/>
        <c:scaling>
          <c:orientation val="minMax"/>
        </c:scaling>
        <c:delete val="1"/>
        <c:axPos val="b"/>
        <c:numFmt formatCode="General" sourceLinked="1"/>
        <c:majorTickMark val="out"/>
        <c:minorTickMark val="none"/>
        <c:tickLblPos val="none"/>
        <c:crossAx val="270849152"/>
        <c:crosses val="autoZero"/>
        <c:auto val="0"/>
        <c:lblAlgn val="ctr"/>
        <c:lblOffset val="100"/>
        <c:noMultiLvlLbl val="0"/>
      </c:catAx>
    </c:plotArea>
    <c:legend>
      <c:legendPos val="r"/>
      <c:layout>
        <c:manualLayout>
          <c:xMode val="edge"/>
          <c:yMode val="edge"/>
          <c:x val="0.54813905737861102"/>
          <c:y val="5.4665550527114352E-2"/>
          <c:w val="0.2317650782352112"/>
          <c:h val="0.10148035666735998"/>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114671163575038"/>
          <c:y val="0.10875331564986535"/>
          <c:w val="0.50084317032040471"/>
          <c:h val="0.78779840848810034"/>
        </c:manualLayout>
      </c:layout>
      <c:pieChart>
        <c:varyColors val="1"/>
        <c:ser>
          <c:idx val="0"/>
          <c:order val="0"/>
          <c:spPr>
            <a:solidFill>
              <a:srgbClr val="FFFFCC"/>
            </a:solidFill>
            <a:ln w="12700">
              <a:solidFill>
                <a:srgbClr val="000000"/>
              </a:solidFill>
              <a:prstDash val="solid"/>
            </a:ln>
          </c:spPr>
          <c:dPt>
            <c:idx val="0"/>
            <c:bubble3D val="0"/>
            <c:spPr>
              <a:pattFill prst="solidDmnd">
                <a:fgClr>
                  <a:srgbClr val="9999FF"/>
                </a:fgClr>
                <a:bgClr>
                  <a:srgbClr val="FFFFFF"/>
                </a:bgClr>
              </a:pattFill>
              <a:ln w="12700">
                <a:solidFill>
                  <a:srgbClr val="000000"/>
                </a:solidFill>
                <a:prstDash val="solid"/>
              </a:ln>
            </c:spPr>
            <c:extLst>
              <c:ext xmlns:c16="http://schemas.microsoft.com/office/drawing/2014/chart" uri="{C3380CC4-5D6E-409C-BE32-E72D297353CC}">
                <c16:uniqueId val="{00000000-FBFF-464F-9449-14EEA586AEC1}"/>
              </c:ext>
            </c:extLst>
          </c:dPt>
          <c:dPt>
            <c:idx val="1"/>
            <c:bubble3D val="0"/>
            <c:spPr>
              <a:solidFill>
                <a:srgbClr val="CCFFFF"/>
              </a:solidFill>
              <a:ln w="12700">
                <a:solidFill>
                  <a:srgbClr val="000000"/>
                </a:solidFill>
                <a:prstDash val="solid"/>
              </a:ln>
            </c:spPr>
            <c:extLst>
              <c:ext xmlns:c16="http://schemas.microsoft.com/office/drawing/2014/chart" uri="{C3380CC4-5D6E-409C-BE32-E72D297353CC}">
                <c16:uniqueId val="{00000001-FBFF-464F-9449-14EEA586AEC1}"/>
              </c:ext>
            </c:extLst>
          </c:dPt>
          <c:dPt>
            <c:idx val="2"/>
            <c:bubble3D val="0"/>
            <c:spPr>
              <a:solidFill>
                <a:srgbClr val="FFFFFF"/>
              </a:solidFill>
              <a:ln w="12700">
                <a:solidFill>
                  <a:srgbClr val="000000"/>
                </a:solidFill>
                <a:prstDash val="solid"/>
              </a:ln>
            </c:spPr>
            <c:extLst>
              <c:ext xmlns:c16="http://schemas.microsoft.com/office/drawing/2014/chart" uri="{C3380CC4-5D6E-409C-BE32-E72D297353CC}">
                <c16:uniqueId val="{00000002-FBFF-464F-9449-14EEA586AEC1}"/>
              </c:ext>
            </c:extLst>
          </c:dPt>
          <c:dPt>
            <c:idx val="3"/>
            <c:bubble3D val="0"/>
            <c:spPr>
              <a:pattFill prst="wdUpDiag">
                <a:fgClr>
                  <a:srgbClr val="800000"/>
                </a:fgClr>
                <a:bgClr>
                  <a:srgbClr val="FFFFFF"/>
                </a:bgClr>
              </a:pattFill>
              <a:ln w="12700">
                <a:solidFill>
                  <a:srgbClr val="000000"/>
                </a:solidFill>
                <a:prstDash val="solid"/>
              </a:ln>
            </c:spPr>
            <c:extLst>
              <c:ext xmlns:c16="http://schemas.microsoft.com/office/drawing/2014/chart" uri="{C3380CC4-5D6E-409C-BE32-E72D297353CC}">
                <c16:uniqueId val="{00000003-FBFF-464F-9449-14EEA586AEC1}"/>
              </c:ext>
            </c:extLst>
          </c:dPt>
          <c:dLbls>
            <c:dLbl>
              <c:idx val="1"/>
              <c:layout>
                <c:manualLayout>
                  <c:x val="1.3705747641758177E-2"/>
                  <c:y val="-3.68182419664546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FF-464F-9449-14EEA586AEC1}"/>
                </c:ext>
              </c:extLst>
            </c:dLbl>
            <c:dLbl>
              <c:idx val="2"/>
              <c:layout>
                <c:manualLayout>
                  <c:x val="5.2092856557194103E-3"/>
                  <c:y val="9.36015219197665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FF-464F-9449-14EEA586AEC1}"/>
                </c:ext>
              </c:extLst>
            </c:dLbl>
            <c:numFmt formatCode="0.0\ %" sourceLinked="0"/>
            <c:spPr>
              <a:noFill/>
              <a:ln w="25400">
                <a:noFill/>
              </a:ln>
            </c:spPr>
            <c:txPr>
              <a:bodyPr/>
              <a:lstStyle/>
              <a:p>
                <a:pPr>
                  <a:defRPr sz="950" b="0" i="0" u="none" strike="noStrike" baseline="0">
                    <a:solidFill>
                      <a:srgbClr val="000000"/>
                    </a:solidFill>
                    <a:latin typeface="Arial"/>
                    <a:ea typeface="Arial"/>
                    <a:cs typeface="Arial"/>
                  </a:defRPr>
                </a:pPr>
                <a:endParaRPr lang="nb-NO"/>
              </a:p>
            </c:txPr>
            <c:showLegendKey val="0"/>
            <c:showVal val="0"/>
            <c:showCatName val="1"/>
            <c:showSerName val="0"/>
            <c:showPercent val="1"/>
            <c:showBubbleSize val="0"/>
            <c:showLeaderLines val="0"/>
            <c:extLst>
              <c:ext xmlns:c15="http://schemas.microsoft.com/office/drawing/2012/chart" uri="{CE6537A1-D6FC-4f65-9D91-7224C49458BB}"/>
            </c:extLst>
          </c:dLbls>
          <c:cat>
            <c:strRef>
              <c:f>'Tab2'!$V$74:$V$78</c:f>
              <c:strCache>
                <c:ptCount val="5"/>
                <c:pt idx="0">
                  <c:v>Tyveri</c:v>
                </c:pt>
                <c:pt idx="1">
                  <c:v>Glass</c:v>
                </c:pt>
                <c:pt idx="2">
                  <c:v>Brann</c:v>
                </c:pt>
                <c:pt idx="3">
                  <c:v>Person</c:v>
                </c:pt>
                <c:pt idx="4">
                  <c:v>Materiell</c:v>
                </c:pt>
              </c:strCache>
            </c:strRef>
          </c:cat>
          <c:val>
            <c:numRef>
              <c:f>'Tab2'!$Z$74:$Z$78</c:f>
              <c:numCache>
                <c:formatCode>0.0</c:formatCode>
                <c:ptCount val="5"/>
                <c:pt idx="0">
                  <c:v>50.253518470431359</c:v>
                </c:pt>
                <c:pt idx="1">
                  <c:v>373.07417273343157</c:v>
                </c:pt>
                <c:pt idx="2">
                  <c:v>78.210868540646871</c:v>
                </c:pt>
                <c:pt idx="3">
                  <c:v>443.93247157056436</c:v>
                </c:pt>
                <c:pt idx="4" formatCode="0.000">
                  <c:v>3432.3845187831021</c:v>
                </c:pt>
              </c:numCache>
            </c:numRef>
          </c:val>
          <c:extLst>
            <c:ext xmlns:c16="http://schemas.microsoft.com/office/drawing/2014/chart" uri="{C3380CC4-5D6E-409C-BE32-E72D297353CC}">
              <c16:uniqueId val="{00000004-FBFF-464F-9449-14EEA586AEC1}"/>
            </c:ext>
          </c:extLst>
        </c:ser>
        <c:dLbls>
          <c:showLegendKey val="0"/>
          <c:showVal val="0"/>
          <c:showCatName val="1"/>
          <c:showSerName val="0"/>
          <c:showPercent val="1"/>
          <c:showBubbleSize val="0"/>
          <c:showLeaderLines val="0"/>
        </c:dLbls>
        <c:firstSliceAng val="50"/>
      </c:pieChart>
      <c:spPr>
        <a:noFill/>
        <a:ln w="25400">
          <a:noFill/>
        </a:ln>
      </c:spPr>
    </c:plotArea>
    <c:plotVisOnly val="1"/>
    <c:dispBlanksAs val="zero"/>
    <c:showDLblsOverMax val="0"/>
  </c:chart>
  <c:spPr>
    <a:solidFill>
      <a:srgbClr val="FFFFFF"/>
    </a:solidFill>
    <a:ln w="9525">
      <a:noFill/>
    </a:ln>
  </c:spPr>
  <c:txPr>
    <a:bodyPr/>
    <a:lstStyle/>
    <a:p>
      <a:pPr>
        <a:defRPr sz="1575"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774193548387247E-2"/>
          <c:y val="5.0264680123284874E-2"/>
          <c:w val="0.89081883722845134"/>
          <c:h val="0.73545163548809867"/>
        </c:manualLayout>
      </c:layout>
      <c:barChart>
        <c:barDir val="col"/>
        <c:grouping val="clustered"/>
        <c:varyColors val="0"/>
        <c:ser>
          <c:idx val="0"/>
          <c:order val="0"/>
          <c:tx>
            <c:strRef>
              <c:f>'Tab2'!$W$82</c:f>
              <c:strCache>
                <c:ptCount val="1"/>
                <c:pt idx="0">
                  <c:v>2017</c:v>
                </c:pt>
              </c:strCache>
            </c:strRef>
          </c:tx>
          <c:spPr>
            <a:pattFill prst="solidDmnd">
              <a:fgClr>
                <a:srgbClr val="9999FF"/>
              </a:fgClr>
              <a:bgClr>
                <a:srgbClr val="FFFFFF"/>
              </a:bgClr>
            </a:pattFill>
            <a:ln w="12700">
              <a:solidFill>
                <a:srgbClr val="000000"/>
              </a:solidFill>
              <a:prstDash val="solid"/>
            </a:ln>
          </c:spPr>
          <c:invertIfNegative val="0"/>
          <c:cat>
            <c:strRef>
              <c:f>'Tab2'!$V$83:$V$92</c:f>
              <c:strCache>
                <c:ptCount val="10"/>
                <c:pt idx="0">
                  <c:v>Privat</c:v>
                </c:pt>
                <c:pt idx="1">
                  <c:v>Næring</c:v>
                </c:pt>
                <c:pt idx="2">
                  <c:v>Yrkesskade</c:v>
                </c:pt>
                <c:pt idx="3">
                  <c:v>Trygghet</c:v>
                </c:pt>
                <c:pt idx="4">
                  <c:v>Ulykke</c:v>
                </c:pt>
                <c:pt idx="5">
                  <c:v>Reise</c:v>
                </c:pt>
                <c:pt idx="6">
                  <c:v>Fritidsbåt</c:v>
                </c:pt>
                <c:pt idx="7">
                  <c:v>Ansvar</c:v>
                </c:pt>
                <c:pt idx="8">
                  <c:v>Fiskeoppdrett</c:v>
                </c:pt>
                <c:pt idx="9">
                  <c:v>Andre</c:v>
                </c:pt>
              </c:strCache>
            </c:strRef>
          </c:cat>
          <c:val>
            <c:numRef>
              <c:f>'Tab2'!$W$83:$W$92</c:f>
              <c:numCache>
                <c:formatCode>0.0</c:formatCode>
                <c:ptCount val="10"/>
                <c:pt idx="0">
                  <c:v>1899.6541603353128</c:v>
                </c:pt>
                <c:pt idx="1">
                  <c:v>1451.3305812952792</c:v>
                </c:pt>
                <c:pt idx="2">
                  <c:v>519.04290962957134</c:v>
                </c:pt>
                <c:pt idx="3">
                  <c:v>490.68678205264592</c:v>
                </c:pt>
                <c:pt idx="4">
                  <c:v>143.17242980189499</c:v>
                </c:pt>
                <c:pt idx="5">
                  <c:v>582.64189188147327</c:v>
                </c:pt>
                <c:pt idx="6">
                  <c:v>55.113869167467833</c:v>
                </c:pt>
                <c:pt idx="7">
                  <c:v>234.47679721429449</c:v>
                </c:pt>
                <c:pt idx="8">
                  <c:v>21.170413620993465</c:v>
                </c:pt>
                <c:pt idx="9">
                  <c:v>172.92883466155078</c:v>
                </c:pt>
              </c:numCache>
            </c:numRef>
          </c:val>
          <c:extLst>
            <c:ext xmlns:c16="http://schemas.microsoft.com/office/drawing/2014/chart" uri="{C3380CC4-5D6E-409C-BE32-E72D297353CC}">
              <c16:uniqueId val="{00000000-04B5-4D36-84E2-1FB290F926FF}"/>
            </c:ext>
          </c:extLst>
        </c:ser>
        <c:ser>
          <c:idx val="1"/>
          <c:order val="1"/>
          <c:tx>
            <c:strRef>
              <c:f>'Tab2'!$X$82</c:f>
              <c:strCache>
                <c:ptCount val="1"/>
                <c:pt idx="0">
                  <c:v>2018</c:v>
                </c:pt>
              </c:strCache>
            </c:strRef>
          </c:tx>
          <c:spPr>
            <a:pattFill prst="wdUpDiag">
              <a:fgClr>
                <a:srgbClr val="000000"/>
              </a:fgClr>
              <a:bgClr>
                <a:srgbClr val="FFFFFF"/>
              </a:bgClr>
            </a:pattFill>
            <a:ln w="12700">
              <a:solidFill>
                <a:srgbClr val="000000"/>
              </a:solidFill>
              <a:prstDash val="solid"/>
            </a:ln>
          </c:spPr>
          <c:invertIfNegative val="0"/>
          <c:cat>
            <c:strRef>
              <c:f>'Tab2'!$V$83:$V$92</c:f>
              <c:strCache>
                <c:ptCount val="10"/>
                <c:pt idx="0">
                  <c:v>Privat</c:v>
                </c:pt>
                <c:pt idx="1">
                  <c:v>Næring</c:v>
                </c:pt>
                <c:pt idx="2">
                  <c:v>Yrkesskade</c:v>
                </c:pt>
                <c:pt idx="3">
                  <c:v>Trygghet</c:v>
                </c:pt>
                <c:pt idx="4">
                  <c:v>Ulykke</c:v>
                </c:pt>
                <c:pt idx="5">
                  <c:v>Reise</c:v>
                </c:pt>
                <c:pt idx="6">
                  <c:v>Fritidsbåt</c:v>
                </c:pt>
                <c:pt idx="7">
                  <c:v>Ansvar</c:v>
                </c:pt>
                <c:pt idx="8">
                  <c:v>Fiskeoppdrett</c:v>
                </c:pt>
                <c:pt idx="9">
                  <c:v>Andre</c:v>
                </c:pt>
              </c:strCache>
            </c:strRef>
          </c:cat>
          <c:val>
            <c:numRef>
              <c:f>'Tab2'!$X$83:$X$92</c:f>
              <c:numCache>
                <c:formatCode>0.0</c:formatCode>
                <c:ptCount val="10"/>
                <c:pt idx="0">
                  <c:v>2162.8651301313707</c:v>
                </c:pt>
                <c:pt idx="1">
                  <c:v>1550.2525616949954</c:v>
                </c:pt>
                <c:pt idx="2">
                  <c:v>444.42031264470154</c:v>
                </c:pt>
                <c:pt idx="3">
                  <c:v>451.13826828194635</c:v>
                </c:pt>
                <c:pt idx="4">
                  <c:v>138.62619982034983</c:v>
                </c:pt>
                <c:pt idx="5">
                  <c:v>567.076050579347</c:v>
                </c:pt>
                <c:pt idx="6">
                  <c:v>52.283765475558774</c:v>
                </c:pt>
                <c:pt idx="7">
                  <c:v>233.93808828589471</c:v>
                </c:pt>
                <c:pt idx="8">
                  <c:v>51.82698859029982</c:v>
                </c:pt>
                <c:pt idx="9">
                  <c:v>188.08266129477732</c:v>
                </c:pt>
              </c:numCache>
            </c:numRef>
          </c:val>
          <c:extLst>
            <c:ext xmlns:c16="http://schemas.microsoft.com/office/drawing/2014/chart" uri="{C3380CC4-5D6E-409C-BE32-E72D297353CC}">
              <c16:uniqueId val="{00000001-04B5-4D36-84E2-1FB290F926FF}"/>
            </c:ext>
          </c:extLst>
        </c:ser>
        <c:ser>
          <c:idx val="2"/>
          <c:order val="2"/>
          <c:tx>
            <c:strRef>
              <c:f>'Tab2'!$Y$82</c:f>
              <c:strCache>
                <c:ptCount val="1"/>
                <c:pt idx="0">
                  <c:v>2019</c:v>
                </c:pt>
              </c:strCache>
            </c:strRef>
          </c:tx>
          <c:spPr>
            <a:solidFill>
              <a:srgbClr val="993366"/>
            </a:solidFill>
            <a:ln w="12700">
              <a:solidFill>
                <a:srgbClr val="000000"/>
              </a:solidFill>
              <a:prstDash val="solid"/>
            </a:ln>
          </c:spPr>
          <c:invertIfNegative val="0"/>
          <c:cat>
            <c:strRef>
              <c:f>'Tab2'!$V$83:$V$92</c:f>
              <c:strCache>
                <c:ptCount val="10"/>
                <c:pt idx="0">
                  <c:v>Privat</c:v>
                </c:pt>
                <c:pt idx="1">
                  <c:v>Næring</c:v>
                </c:pt>
                <c:pt idx="2">
                  <c:v>Yrkesskade</c:v>
                </c:pt>
                <c:pt idx="3">
                  <c:v>Trygghet</c:v>
                </c:pt>
                <c:pt idx="4">
                  <c:v>Ulykke</c:v>
                </c:pt>
                <c:pt idx="5">
                  <c:v>Reise</c:v>
                </c:pt>
                <c:pt idx="6">
                  <c:v>Fritidsbåt</c:v>
                </c:pt>
                <c:pt idx="7">
                  <c:v>Ansvar</c:v>
                </c:pt>
                <c:pt idx="8">
                  <c:v>Fiskeoppdrett</c:v>
                </c:pt>
                <c:pt idx="9">
                  <c:v>Andre</c:v>
                </c:pt>
              </c:strCache>
            </c:strRef>
          </c:cat>
          <c:val>
            <c:numRef>
              <c:f>'Tab2'!$Y$83:$Y$92</c:f>
              <c:numCache>
                <c:formatCode>0.0</c:formatCode>
                <c:ptCount val="10"/>
                <c:pt idx="0">
                  <c:v>1966.4968327261579</c:v>
                </c:pt>
                <c:pt idx="1">
                  <c:v>1821.7843235769665</c:v>
                </c:pt>
                <c:pt idx="2">
                  <c:v>545.64501203044745</c:v>
                </c:pt>
                <c:pt idx="3">
                  <c:v>421.08048263052808</c:v>
                </c:pt>
                <c:pt idx="4">
                  <c:v>159.16306029357833</c:v>
                </c:pt>
                <c:pt idx="5">
                  <c:v>658.45600735484823</c:v>
                </c:pt>
                <c:pt idx="6">
                  <c:v>75.738455798829563</c:v>
                </c:pt>
                <c:pt idx="7">
                  <c:v>286.86351714177783</c:v>
                </c:pt>
                <c:pt idx="8">
                  <c:v>43.233376973261215</c:v>
                </c:pt>
                <c:pt idx="9">
                  <c:v>226.94750452690812</c:v>
                </c:pt>
              </c:numCache>
            </c:numRef>
          </c:val>
          <c:extLst>
            <c:ext xmlns:c16="http://schemas.microsoft.com/office/drawing/2014/chart" uri="{C3380CC4-5D6E-409C-BE32-E72D297353CC}">
              <c16:uniqueId val="{00000002-04B5-4D36-84E2-1FB290F926FF}"/>
            </c:ext>
          </c:extLst>
        </c:ser>
        <c:dLbls>
          <c:showLegendKey val="0"/>
          <c:showVal val="0"/>
          <c:showCatName val="0"/>
          <c:showSerName val="0"/>
          <c:showPercent val="0"/>
          <c:showBubbleSize val="0"/>
        </c:dLbls>
        <c:gapWidth val="150"/>
        <c:axId val="270552448"/>
        <c:axId val="270562432"/>
      </c:barChart>
      <c:catAx>
        <c:axId val="270552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nb-NO"/>
          </a:p>
        </c:txPr>
        <c:crossAx val="270562432"/>
        <c:crosses val="autoZero"/>
        <c:auto val="1"/>
        <c:lblAlgn val="ctr"/>
        <c:lblOffset val="100"/>
        <c:tickLblSkip val="1"/>
        <c:tickMarkSkip val="1"/>
        <c:noMultiLvlLbl val="0"/>
      </c:catAx>
      <c:valAx>
        <c:axId val="270562432"/>
        <c:scaling>
          <c:orientation val="minMax"/>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nb-NO"/>
                  <a:t>Millioner kroner</a:t>
                </a:r>
              </a:p>
            </c:rich>
          </c:tx>
          <c:layout>
            <c:manualLayout>
              <c:xMode val="edge"/>
              <c:yMode val="edge"/>
              <c:x val="9.4876660341558748E-3"/>
              <c:y val="0.317461150689497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70552448"/>
        <c:crosses val="autoZero"/>
        <c:crossBetween val="between"/>
      </c:valAx>
      <c:spPr>
        <a:noFill/>
        <a:ln w="12700">
          <a:solidFill>
            <a:srgbClr val="808080"/>
          </a:solidFill>
          <a:prstDash val="solid"/>
        </a:ln>
      </c:spPr>
    </c:plotArea>
    <c:legend>
      <c:legendPos val="r"/>
      <c:layout>
        <c:manualLayout>
          <c:xMode val="edge"/>
          <c:yMode val="edge"/>
          <c:x val="0.62998102466793171"/>
          <c:y val="0.14021191795470009"/>
          <c:w val="0.27893738140417457"/>
          <c:h val="0.1375664153091979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552276098459"/>
          <c:y val="5.956121969475487E-2"/>
          <c:w val="0.83783931207652318"/>
          <c:h val="0.81504826950719256"/>
        </c:manualLayout>
      </c:layout>
      <c:barChart>
        <c:barDir val="col"/>
        <c:grouping val="clustered"/>
        <c:varyColors val="0"/>
        <c:ser>
          <c:idx val="0"/>
          <c:order val="0"/>
          <c:tx>
            <c:strRef>
              <c:f>'Tab2'!$W$100</c:f>
              <c:strCache>
                <c:ptCount val="1"/>
                <c:pt idx="0">
                  <c:v>2017</c:v>
                </c:pt>
              </c:strCache>
            </c:strRef>
          </c:tx>
          <c:spPr>
            <a:pattFill prst="solidDmnd">
              <a:fgClr>
                <a:srgbClr val="9999FF"/>
              </a:fgClr>
              <a:bgClr>
                <a:srgbClr val="FFFFFF"/>
              </a:bgClr>
            </a:pattFill>
            <a:ln w="12700">
              <a:solidFill>
                <a:srgbClr val="000000"/>
              </a:solidFill>
              <a:prstDash val="solid"/>
            </a:ln>
          </c:spPr>
          <c:invertIfNegative val="0"/>
          <c:cat>
            <c:strRef>
              <c:f>'Tab2'!$V$101:$V$104</c:f>
              <c:strCache>
                <c:ptCount val="4"/>
                <c:pt idx="0">
                  <c:v>Brann</c:v>
                </c:pt>
                <c:pt idx="1">
                  <c:v>Vann</c:v>
                </c:pt>
                <c:pt idx="2">
                  <c:v>Tyveri</c:v>
                </c:pt>
                <c:pt idx="3">
                  <c:v>Andre</c:v>
                </c:pt>
              </c:strCache>
            </c:strRef>
          </c:cat>
          <c:val>
            <c:numRef>
              <c:f>'Tab2'!$W$101:$W$104</c:f>
              <c:numCache>
                <c:formatCode>#,##0</c:formatCode>
                <c:ptCount val="4"/>
                <c:pt idx="0">
                  <c:v>7124.2571060982755</c:v>
                </c:pt>
                <c:pt idx="1">
                  <c:v>20188.970584051742</c:v>
                </c:pt>
                <c:pt idx="2">
                  <c:v>6121.3819215861495</c:v>
                </c:pt>
                <c:pt idx="3" formatCode="_ * #\ ##0_ ;_ * \-#\ ##0_ ;_ * &quot;-&quot;??_ ;_ @_ ">
                  <c:v>54035.703105712259</c:v>
                </c:pt>
              </c:numCache>
            </c:numRef>
          </c:val>
          <c:extLst>
            <c:ext xmlns:c16="http://schemas.microsoft.com/office/drawing/2014/chart" uri="{C3380CC4-5D6E-409C-BE32-E72D297353CC}">
              <c16:uniqueId val="{00000000-08CC-4A25-8D7C-9031449DBD0D}"/>
            </c:ext>
          </c:extLst>
        </c:ser>
        <c:ser>
          <c:idx val="1"/>
          <c:order val="1"/>
          <c:tx>
            <c:strRef>
              <c:f>'Tab2'!$X$100</c:f>
              <c:strCache>
                <c:ptCount val="1"/>
                <c:pt idx="0">
                  <c:v>2018</c:v>
                </c:pt>
              </c:strCache>
            </c:strRef>
          </c:tx>
          <c:spPr>
            <a:pattFill prst="wdUpDiag">
              <a:fgClr>
                <a:srgbClr val="000000"/>
              </a:fgClr>
              <a:bgClr>
                <a:srgbClr val="FFFFFF"/>
              </a:bgClr>
            </a:pattFill>
            <a:ln w="12700">
              <a:solidFill>
                <a:srgbClr val="000000"/>
              </a:solidFill>
              <a:prstDash val="solid"/>
            </a:ln>
          </c:spPr>
          <c:invertIfNegative val="0"/>
          <c:cat>
            <c:strRef>
              <c:f>'Tab2'!$V$101:$V$104</c:f>
              <c:strCache>
                <c:ptCount val="4"/>
                <c:pt idx="0">
                  <c:v>Brann</c:v>
                </c:pt>
                <c:pt idx="1">
                  <c:v>Vann</c:v>
                </c:pt>
                <c:pt idx="2">
                  <c:v>Tyveri</c:v>
                </c:pt>
                <c:pt idx="3">
                  <c:v>Andre</c:v>
                </c:pt>
              </c:strCache>
            </c:strRef>
          </c:cat>
          <c:val>
            <c:numRef>
              <c:f>'Tab2'!$X$101:$X$104</c:f>
              <c:numCache>
                <c:formatCode>#,##0</c:formatCode>
                <c:ptCount val="4"/>
                <c:pt idx="0">
                  <c:v>6317.397789855072</c:v>
                </c:pt>
                <c:pt idx="1">
                  <c:v>25111.388794466406</c:v>
                </c:pt>
                <c:pt idx="2">
                  <c:v>5432.8596770186332</c:v>
                </c:pt>
                <c:pt idx="3" formatCode="_ * #\ ##0_ ;_ * \-#\ ##0_ ;_ * &quot;-&quot;??_ ;_ @_ ">
                  <c:v>55384.087369318804</c:v>
                </c:pt>
              </c:numCache>
            </c:numRef>
          </c:val>
          <c:extLst>
            <c:ext xmlns:c16="http://schemas.microsoft.com/office/drawing/2014/chart" uri="{C3380CC4-5D6E-409C-BE32-E72D297353CC}">
              <c16:uniqueId val="{00000001-08CC-4A25-8D7C-9031449DBD0D}"/>
            </c:ext>
          </c:extLst>
        </c:ser>
        <c:ser>
          <c:idx val="2"/>
          <c:order val="2"/>
          <c:tx>
            <c:strRef>
              <c:f>'Tab2'!$Y$100</c:f>
              <c:strCache>
                <c:ptCount val="1"/>
                <c:pt idx="0">
                  <c:v>2019</c:v>
                </c:pt>
              </c:strCache>
            </c:strRef>
          </c:tx>
          <c:spPr>
            <a:solidFill>
              <a:srgbClr val="993366"/>
            </a:solidFill>
            <a:ln w="12700">
              <a:solidFill>
                <a:srgbClr val="000000"/>
              </a:solidFill>
              <a:prstDash val="solid"/>
            </a:ln>
          </c:spPr>
          <c:invertIfNegative val="0"/>
          <c:cat>
            <c:strRef>
              <c:f>'Tab2'!$V$101:$V$104</c:f>
              <c:strCache>
                <c:ptCount val="4"/>
                <c:pt idx="0">
                  <c:v>Brann</c:v>
                </c:pt>
                <c:pt idx="1">
                  <c:v>Vann</c:v>
                </c:pt>
                <c:pt idx="2">
                  <c:v>Tyveri</c:v>
                </c:pt>
                <c:pt idx="3">
                  <c:v>Andre</c:v>
                </c:pt>
              </c:strCache>
            </c:strRef>
          </c:cat>
          <c:val>
            <c:numRef>
              <c:f>'Tab2'!$Y$101:$Y$104</c:f>
              <c:numCache>
                <c:formatCode>#,##0</c:formatCode>
                <c:ptCount val="4"/>
                <c:pt idx="0">
                  <c:v>6179.0660115942028</c:v>
                </c:pt>
                <c:pt idx="1">
                  <c:v>22394.924612648225</c:v>
                </c:pt>
                <c:pt idx="2">
                  <c:v>6840.1016739130437</c:v>
                </c:pt>
                <c:pt idx="3" formatCode="_ * #\ ##0_ ;_ * \-#\ ##0_ ;_ * &quot;-&quot;??_ ;_ @_ ">
                  <c:v>66587.42820387517</c:v>
                </c:pt>
              </c:numCache>
            </c:numRef>
          </c:val>
          <c:extLst>
            <c:ext xmlns:c16="http://schemas.microsoft.com/office/drawing/2014/chart" uri="{C3380CC4-5D6E-409C-BE32-E72D297353CC}">
              <c16:uniqueId val="{00000002-08CC-4A25-8D7C-9031449DBD0D}"/>
            </c:ext>
          </c:extLst>
        </c:ser>
        <c:dLbls>
          <c:showLegendKey val="0"/>
          <c:showVal val="0"/>
          <c:showCatName val="0"/>
          <c:showSerName val="0"/>
          <c:showPercent val="0"/>
          <c:showBubbleSize val="0"/>
        </c:dLbls>
        <c:gapWidth val="150"/>
        <c:axId val="269555968"/>
        <c:axId val="269565952"/>
      </c:barChart>
      <c:catAx>
        <c:axId val="269555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69565952"/>
        <c:crosses val="autoZero"/>
        <c:auto val="1"/>
        <c:lblAlgn val="ctr"/>
        <c:lblOffset val="100"/>
        <c:tickLblSkip val="1"/>
        <c:tickMarkSkip val="1"/>
        <c:noMultiLvlLbl val="0"/>
      </c:catAx>
      <c:valAx>
        <c:axId val="269565952"/>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69555968"/>
        <c:crosses val="autoZero"/>
        <c:crossBetween val="between"/>
      </c:valAx>
      <c:spPr>
        <a:noFill/>
        <a:ln w="12700">
          <a:solidFill>
            <a:srgbClr val="808080"/>
          </a:solidFill>
          <a:prstDash val="solid"/>
        </a:ln>
      </c:spPr>
    </c:plotArea>
    <c:legend>
      <c:legendPos val="r"/>
      <c:layout>
        <c:manualLayout>
          <c:xMode val="edge"/>
          <c:yMode val="edge"/>
          <c:x val="0.51411505994183149"/>
          <c:y val="7.3111766103988021E-2"/>
          <c:w val="0.26486524319596133"/>
          <c:h val="0.163009733501184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475"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7690941385436"/>
          <c:y val="5.0131990708472525E-2"/>
          <c:w val="0.83303730017761957"/>
          <c:h val="0.80211185133556062"/>
        </c:manualLayout>
      </c:layout>
      <c:barChart>
        <c:barDir val="col"/>
        <c:grouping val="clustered"/>
        <c:varyColors val="0"/>
        <c:ser>
          <c:idx val="0"/>
          <c:order val="0"/>
          <c:tx>
            <c:strRef>
              <c:f>'Tab2'!$W$111</c:f>
              <c:strCache>
                <c:ptCount val="1"/>
                <c:pt idx="0">
                  <c:v>2017</c:v>
                </c:pt>
              </c:strCache>
            </c:strRef>
          </c:tx>
          <c:spPr>
            <a:pattFill prst="solidDmnd">
              <a:fgClr>
                <a:srgbClr val="9999FF"/>
              </a:fgClr>
              <a:bgClr>
                <a:srgbClr val="FFFFFF"/>
              </a:bgClr>
            </a:pattFill>
            <a:ln w="12700">
              <a:solidFill>
                <a:srgbClr val="000000"/>
              </a:solidFill>
              <a:prstDash val="solid"/>
            </a:ln>
          </c:spPr>
          <c:invertIfNegative val="0"/>
          <c:cat>
            <c:strRef>
              <c:f>'Tab2'!$V$112:$V$115</c:f>
              <c:strCache>
                <c:ptCount val="4"/>
                <c:pt idx="0">
                  <c:v>Brann                                                       (inkl avbrudd)</c:v>
                </c:pt>
                <c:pt idx="1">
                  <c:v>Vann</c:v>
                </c:pt>
                <c:pt idx="2">
                  <c:v>Tyveri</c:v>
                </c:pt>
                <c:pt idx="3">
                  <c:v>Andre</c:v>
                </c:pt>
              </c:strCache>
            </c:strRef>
          </c:cat>
          <c:val>
            <c:numRef>
              <c:f>'Tab2'!$W$112:$W$115</c:f>
              <c:numCache>
                <c:formatCode>#\ ##0.0</c:formatCode>
                <c:ptCount val="4"/>
                <c:pt idx="0">
                  <c:v>1296.44687833689</c:v>
                </c:pt>
                <c:pt idx="1">
                  <c:v>1029.1484993670574</c:v>
                </c:pt>
                <c:pt idx="2">
                  <c:v>141.14965613066772</c:v>
                </c:pt>
                <c:pt idx="3">
                  <c:v>884.2397077959763</c:v>
                </c:pt>
              </c:numCache>
            </c:numRef>
          </c:val>
          <c:extLst>
            <c:ext xmlns:c16="http://schemas.microsoft.com/office/drawing/2014/chart" uri="{C3380CC4-5D6E-409C-BE32-E72D297353CC}">
              <c16:uniqueId val="{00000000-3F4B-49F0-880E-8FA78B3D72F2}"/>
            </c:ext>
          </c:extLst>
        </c:ser>
        <c:ser>
          <c:idx val="1"/>
          <c:order val="1"/>
          <c:tx>
            <c:strRef>
              <c:f>'Tab2'!$X$111</c:f>
              <c:strCache>
                <c:ptCount val="1"/>
                <c:pt idx="0">
                  <c:v>2018</c:v>
                </c:pt>
              </c:strCache>
            </c:strRef>
          </c:tx>
          <c:spPr>
            <a:pattFill prst="wdUpDiag">
              <a:fgClr>
                <a:srgbClr val="000000"/>
              </a:fgClr>
              <a:bgClr>
                <a:srgbClr val="FFFFFF"/>
              </a:bgClr>
            </a:pattFill>
            <a:ln w="12700">
              <a:solidFill>
                <a:srgbClr val="000000"/>
              </a:solidFill>
              <a:prstDash val="solid"/>
            </a:ln>
          </c:spPr>
          <c:invertIfNegative val="0"/>
          <c:cat>
            <c:strRef>
              <c:f>'Tab2'!$V$112:$V$115</c:f>
              <c:strCache>
                <c:ptCount val="4"/>
                <c:pt idx="0">
                  <c:v>Brann                                                       (inkl avbrudd)</c:v>
                </c:pt>
                <c:pt idx="1">
                  <c:v>Vann</c:v>
                </c:pt>
                <c:pt idx="2">
                  <c:v>Tyveri</c:v>
                </c:pt>
                <c:pt idx="3">
                  <c:v>Andre</c:v>
                </c:pt>
              </c:strCache>
            </c:strRef>
          </c:cat>
          <c:val>
            <c:numRef>
              <c:f>'Tab2'!$X$112:$X$115</c:f>
              <c:numCache>
                <c:formatCode>#\ ##0.0</c:formatCode>
                <c:ptCount val="4"/>
                <c:pt idx="0">
                  <c:v>1261.6003618581508</c:v>
                </c:pt>
                <c:pt idx="1">
                  <c:v>1175.3156799844853</c:v>
                </c:pt>
                <c:pt idx="2">
                  <c:v>116.18628528648252</c:v>
                </c:pt>
                <c:pt idx="3">
                  <c:v>1160.0153646972467</c:v>
                </c:pt>
              </c:numCache>
            </c:numRef>
          </c:val>
          <c:extLst>
            <c:ext xmlns:c16="http://schemas.microsoft.com/office/drawing/2014/chart" uri="{C3380CC4-5D6E-409C-BE32-E72D297353CC}">
              <c16:uniqueId val="{00000001-3F4B-49F0-880E-8FA78B3D72F2}"/>
            </c:ext>
          </c:extLst>
        </c:ser>
        <c:ser>
          <c:idx val="2"/>
          <c:order val="2"/>
          <c:tx>
            <c:strRef>
              <c:f>'Tab2'!$Y$111</c:f>
              <c:strCache>
                <c:ptCount val="1"/>
                <c:pt idx="0">
                  <c:v>2019</c:v>
                </c:pt>
              </c:strCache>
            </c:strRef>
          </c:tx>
          <c:spPr>
            <a:solidFill>
              <a:srgbClr val="993366"/>
            </a:solidFill>
            <a:ln w="12700">
              <a:solidFill>
                <a:srgbClr val="000000"/>
              </a:solidFill>
              <a:prstDash val="solid"/>
            </a:ln>
          </c:spPr>
          <c:invertIfNegative val="0"/>
          <c:cat>
            <c:strRef>
              <c:f>'Tab2'!$V$112:$V$115</c:f>
              <c:strCache>
                <c:ptCount val="4"/>
                <c:pt idx="0">
                  <c:v>Brann                                                       (inkl avbrudd)</c:v>
                </c:pt>
                <c:pt idx="1">
                  <c:v>Vann</c:v>
                </c:pt>
                <c:pt idx="2">
                  <c:v>Tyveri</c:v>
                </c:pt>
                <c:pt idx="3">
                  <c:v>Andre</c:v>
                </c:pt>
              </c:strCache>
            </c:strRef>
          </c:cat>
          <c:val>
            <c:numRef>
              <c:f>'Tab2'!$Y$112:$Y$115</c:f>
              <c:numCache>
                <c:formatCode>#\ ##0.0</c:formatCode>
                <c:ptCount val="4"/>
                <c:pt idx="0">
                  <c:v>1384.5030606846908</c:v>
                </c:pt>
                <c:pt idx="1">
                  <c:v>1151.1138601930163</c:v>
                </c:pt>
                <c:pt idx="2">
                  <c:v>122.43916062391185</c:v>
                </c:pt>
                <c:pt idx="3">
                  <c:v>1130.2250748015044</c:v>
                </c:pt>
              </c:numCache>
            </c:numRef>
          </c:val>
          <c:extLst>
            <c:ext xmlns:c16="http://schemas.microsoft.com/office/drawing/2014/chart" uri="{C3380CC4-5D6E-409C-BE32-E72D297353CC}">
              <c16:uniqueId val="{00000002-3F4B-49F0-880E-8FA78B3D72F2}"/>
            </c:ext>
          </c:extLst>
        </c:ser>
        <c:dLbls>
          <c:showLegendKey val="0"/>
          <c:showVal val="0"/>
          <c:showCatName val="0"/>
          <c:showSerName val="0"/>
          <c:showPercent val="0"/>
          <c:showBubbleSize val="0"/>
        </c:dLbls>
        <c:gapWidth val="150"/>
        <c:axId val="269611392"/>
        <c:axId val="269612928"/>
      </c:barChart>
      <c:catAx>
        <c:axId val="269611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69612928"/>
        <c:crosses val="autoZero"/>
        <c:auto val="1"/>
        <c:lblAlgn val="ctr"/>
        <c:lblOffset val="100"/>
        <c:tickLblSkip val="1"/>
        <c:tickMarkSkip val="1"/>
        <c:noMultiLvlLbl val="0"/>
      </c:catAx>
      <c:valAx>
        <c:axId val="269612928"/>
        <c:scaling>
          <c:orientation val="minMax"/>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nb-NO"/>
                  <a:t>Millioner kroner</a:t>
                </a:r>
              </a:p>
            </c:rich>
          </c:tx>
          <c:layout>
            <c:manualLayout>
              <c:xMode val="edge"/>
              <c:yMode val="edge"/>
              <c:x val="4.7957371225577312E-2"/>
              <c:y val="0.35092403687007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69611392"/>
        <c:crosses val="autoZero"/>
        <c:crossBetween val="between"/>
      </c:valAx>
      <c:spPr>
        <a:noFill/>
        <a:ln w="12700">
          <a:solidFill>
            <a:srgbClr val="808080"/>
          </a:solidFill>
          <a:prstDash val="solid"/>
        </a:ln>
      </c:spPr>
    </c:plotArea>
    <c:legend>
      <c:legendPos val="r"/>
      <c:layout>
        <c:manualLayout>
          <c:xMode val="edge"/>
          <c:yMode val="edge"/>
          <c:x val="0.58436944937832958"/>
          <c:y val="8.4432717678099983E-2"/>
          <c:w val="0.26110124333925488"/>
          <c:h val="0.1372034432371470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500"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849637689473844"/>
          <c:y val="1.0723874628062159E-2"/>
          <c:w val="0.81766992340769262"/>
          <c:h val="0.80965253441863694"/>
        </c:manualLayout>
      </c:layout>
      <c:bar3DChart>
        <c:barDir val="bar"/>
        <c:grouping val="clustered"/>
        <c:varyColors val="0"/>
        <c:ser>
          <c:idx val="0"/>
          <c:order val="0"/>
          <c:tx>
            <c:strRef>
              <c:f>'Tab2'!$W$121</c:f>
              <c:strCache>
                <c:ptCount val="1"/>
                <c:pt idx="0">
                  <c:v>2017</c:v>
                </c:pt>
              </c:strCache>
            </c:strRef>
          </c:tx>
          <c:spPr>
            <a:pattFill prst="narVert">
              <a:fgClr>
                <a:srgbClr val="3366FF"/>
              </a:fgClr>
              <a:bgClr>
                <a:srgbClr val="FFFFFF"/>
              </a:bgClr>
            </a:pattFill>
            <a:ln w="12700">
              <a:solidFill>
                <a:srgbClr val="000000"/>
              </a:solidFill>
              <a:prstDash val="solid"/>
            </a:ln>
          </c:spPr>
          <c:invertIfNegative val="0"/>
          <c:cat>
            <c:strRef>
              <c:f>'Tab2'!$V$122:$V$125</c:f>
              <c:strCache>
                <c:ptCount val="4"/>
                <c:pt idx="0">
                  <c:v>Reise</c:v>
                </c:pt>
                <c:pt idx="1">
                  <c:v>Villa</c:v>
                </c:pt>
                <c:pt idx="2">
                  <c:v>Hjem</c:v>
                </c:pt>
                <c:pt idx="3">
                  <c:v>Næring</c:v>
                </c:pt>
              </c:strCache>
            </c:strRef>
          </c:cat>
          <c:val>
            <c:numRef>
              <c:f>'Tab2'!$W$122:$W$125</c:f>
              <c:numCache>
                <c:formatCode>0</c:formatCode>
                <c:ptCount val="4"/>
                <c:pt idx="0">
                  <c:v>83111</c:v>
                </c:pt>
                <c:pt idx="1">
                  <c:v>28116.800986039172</c:v>
                </c:pt>
                <c:pt idx="2">
                  <c:v>36252.135017270091</c:v>
                </c:pt>
                <c:pt idx="3">
                  <c:v>10382.715628412167</c:v>
                </c:pt>
              </c:numCache>
            </c:numRef>
          </c:val>
          <c:extLst>
            <c:ext xmlns:c16="http://schemas.microsoft.com/office/drawing/2014/chart" uri="{C3380CC4-5D6E-409C-BE32-E72D297353CC}">
              <c16:uniqueId val="{00000000-D0D5-4F54-A685-BCAE46FDAC00}"/>
            </c:ext>
          </c:extLst>
        </c:ser>
        <c:ser>
          <c:idx val="1"/>
          <c:order val="1"/>
          <c:tx>
            <c:strRef>
              <c:f>'Tab2'!$X$121</c:f>
              <c:strCache>
                <c:ptCount val="1"/>
                <c:pt idx="0">
                  <c:v>2018</c:v>
                </c:pt>
              </c:strCache>
            </c:strRef>
          </c:tx>
          <c:spPr>
            <a:solidFill>
              <a:srgbClr val="FFFFCC"/>
            </a:solidFill>
            <a:ln w="12700">
              <a:solidFill>
                <a:srgbClr val="000000"/>
              </a:solidFill>
              <a:prstDash val="solid"/>
            </a:ln>
          </c:spPr>
          <c:invertIfNegative val="0"/>
          <c:cat>
            <c:strRef>
              <c:f>'Tab2'!$V$122:$V$125</c:f>
              <c:strCache>
                <c:ptCount val="4"/>
                <c:pt idx="0">
                  <c:v>Reise</c:v>
                </c:pt>
                <c:pt idx="1">
                  <c:v>Villa</c:v>
                </c:pt>
                <c:pt idx="2">
                  <c:v>Hjem</c:v>
                </c:pt>
                <c:pt idx="3">
                  <c:v>Næring</c:v>
                </c:pt>
              </c:strCache>
            </c:strRef>
          </c:cat>
          <c:val>
            <c:numRef>
              <c:f>'Tab2'!$X$122:$X$125</c:f>
              <c:numCache>
                <c:formatCode>0</c:formatCode>
                <c:ptCount val="4"/>
                <c:pt idx="0">
                  <c:v>76206</c:v>
                </c:pt>
                <c:pt idx="1">
                  <c:v>33394.176842986446</c:v>
                </c:pt>
                <c:pt idx="2">
                  <c:v>34728.323898219358</c:v>
                </c:pt>
                <c:pt idx="3">
                  <c:v>12011.183150183149</c:v>
                </c:pt>
              </c:numCache>
            </c:numRef>
          </c:val>
          <c:extLst>
            <c:ext xmlns:c16="http://schemas.microsoft.com/office/drawing/2014/chart" uri="{C3380CC4-5D6E-409C-BE32-E72D297353CC}">
              <c16:uniqueId val="{00000001-D0D5-4F54-A685-BCAE46FDAC00}"/>
            </c:ext>
          </c:extLst>
        </c:ser>
        <c:ser>
          <c:idx val="2"/>
          <c:order val="2"/>
          <c:tx>
            <c:strRef>
              <c:f>'Tab2'!$Y$121</c:f>
              <c:strCache>
                <c:ptCount val="1"/>
                <c:pt idx="0">
                  <c:v>2019</c:v>
                </c:pt>
              </c:strCache>
            </c:strRef>
          </c:tx>
          <c:spPr>
            <a:solidFill>
              <a:srgbClr val="993366"/>
            </a:solidFill>
            <a:ln w="12700">
              <a:solidFill>
                <a:srgbClr val="000000"/>
              </a:solidFill>
              <a:prstDash val="solid"/>
            </a:ln>
          </c:spPr>
          <c:invertIfNegative val="0"/>
          <c:cat>
            <c:strRef>
              <c:f>'Tab2'!$V$122:$V$125</c:f>
              <c:strCache>
                <c:ptCount val="4"/>
                <c:pt idx="0">
                  <c:v>Reise</c:v>
                </c:pt>
                <c:pt idx="1">
                  <c:v>Villa</c:v>
                </c:pt>
                <c:pt idx="2">
                  <c:v>Hjem</c:v>
                </c:pt>
                <c:pt idx="3">
                  <c:v>Næring</c:v>
                </c:pt>
              </c:strCache>
            </c:strRef>
          </c:cat>
          <c:val>
            <c:numRef>
              <c:f>'Tab2'!$Y$122:$Y$125</c:f>
              <c:numCache>
                <c:formatCode>0</c:formatCode>
                <c:ptCount val="4"/>
                <c:pt idx="0">
                  <c:v>80844</c:v>
                </c:pt>
                <c:pt idx="1">
                  <c:v>31302.909694972008</c:v>
                </c:pt>
                <c:pt idx="2">
                  <c:v>46049.703657196675</c:v>
                </c:pt>
                <c:pt idx="3">
                  <c:v>12659.963847746456</c:v>
                </c:pt>
              </c:numCache>
            </c:numRef>
          </c:val>
          <c:extLst>
            <c:ext xmlns:c16="http://schemas.microsoft.com/office/drawing/2014/chart" uri="{C3380CC4-5D6E-409C-BE32-E72D297353CC}">
              <c16:uniqueId val="{00000002-D0D5-4F54-A685-BCAE46FDAC00}"/>
            </c:ext>
          </c:extLst>
        </c:ser>
        <c:dLbls>
          <c:showLegendKey val="0"/>
          <c:showVal val="0"/>
          <c:showCatName val="0"/>
          <c:showSerName val="0"/>
          <c:showPercent val="0"/>
          <c:showBubbleSize val="0"/>
        </c:dLbls>
        <c:gapWidth val="150"/>
        <c:shape val="cylinder"/>
        <c:axId val="270634368"/>
        <c:axId val="270640256"/>
        <c:axId val="0"/>
      </c:bar3DChart>
      <c:catAx>
        <c:axId val="270634368"/>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70640256"/>
        <c:crosses val="autoZero"/>
        <c:auto val="1"/>
        <c:lblAlgn val="ctr"/>
        <c:lblOffset val="100"/>
        <c:tickLblSkip val="1"/>
        <c:tickMarkSkip val="1"/>
        <c:noMultiLvlLbl val="0"/>
      </c:catAx>
      <c:valAx>
        <c:axId val="270640256"/>
        <c:scaling>
          <c:orientation val="minMax"/>
        </c:scaling>
        <c:delete val="0"/>
        <c:axPos val="b"/>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70634368"/>
        <c:crosses val="autoZero"/>
        <c:crossBetween val="between"/>
      </c:valAx>
      <c:spPr>
        <a:noFill/>
        <a:ln w="25400">
          <a:noFill/>
        </a:ln>
      </c:spPr>
    </c:plotArea>
    <c:legend>
      <c:legendPos val="r"/>
      <c:layout>
        <c:manualLayout>
          <c:xMode val="edge"/>
          <c:yMode val="edge"/>
          <c:x val="0.82142936080358375"/>
          <c:y val="0.11796274795409577"/>
          <c:w val="9.774436090226106E-2"/>
          <c:h val="0.2305632841471331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36"/>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041229666341193"/>
          <c:y val="3.8990869354381667E-2"/>
          <c:w val="0.79213628009473036"/>
          <c:h val="0.80045961203995464"/>
        </c:manualLayout>
      </c:layout>
      <c:bar3DChart>
        <c:barDir val="bar"/>
        <c:grouping val="clustered"/>
        <c:varyColors val="0"/>
        <c:ser>
          <c:idx val="0"/>
          <c:order val="0"/>
          <c:tx>
            <c:strRef>
              <c:f>'Tab2'!$W$128</c:f>
              <c:strCache>
                <c:ptCount val="1"/>
                <c:pt idx="0">
                  <c:v>2017</c:v>
                </c:pt>
              </c:strCache>
            </c:strRef>
          </c:tx>
          <c:spPr>
            <a:pattFill prst="narVert">
              <a:fgClr>
                <a:srgbClr val="3366FF"/>
              </a:fgClr>
              <a:bgClr>
                <a:srgbClr val="FFFFFF"/>
              </a:bgClr>
            </a:pattFill>
            <a:ln w="12700">
              <a:solidFill>
                <a:srgbClr val="000000"/>
              </a:solidFill>
              <a:prstDash val="solid"/>
            </a:ln>
          </c:spPr>
          <c:invertIfNegative val="0"/>
          <c:cat>
            <c:strRef>
              <c:f>'Tab2'!$V$129:$V$133</c:f>
              <c:strCache>
                <c:ptCount val="5"/>
                <c:pt idx="0">
                  <c:v>Fritidsbåt</c:v>
                </c:pt>
                <c:pt idx="1">
                  <c:v>Ansvar</c:v>
                </c:pt>
                <c:pt idx="2">
                  <c:v>Yrkesskade</c:v>
                </c:pt>
                <c:pt idx="3">
                  <c:v>Hytte</c:v>
                </c:pt>
                <c:pt idx="4">
                  <c:v>Ulykke</c:v>
                </c:pt>
              </c:strCache>
            </c:strRef>
          </c:cat>
          <c:val>
            <c:numRef>
              <c:f>'Tab2'!$W$129:$W$133</c:f>
              <c:numCache>
                <c:formatCode>0</c:formatCode>
                <c:ptCount val="5"/>
                <c:pt idx="0">
                  <c:v>1164.4622753117208</c:v>
                </c:pt>
                <c:pt idx="1">
                  <c:v>2548.8293733400001</c:v>
                </c:pt>
                <c:pt idx="2">
                  <c:v>2788.1823510204081</c:v>
                </c:pt>
                <c:pt idx="3">
                  <c:v>3415.9517354156856</c:v>
                </c:pt>
                <c:pt idx="4">
                  <c:v>7548.8859398833338</c:v>
                </c:pt>
              </c:numCache>
            </c:numRef>
          </c:val>
          <c:extLst>
            <c:ext xmlns:c16="http://schemas.microsoft.com/office/drawing/2014/chart" uri="{C3380CC4-5D6E-409C-BE32-E72D297353CC}">
              <c16:uniqueId val="{00000000-5C52-4D4B-8DAE-66DEFB61BB20}"/>
            </c:ext>
          </c:extLst>
        </c:ser>
        <c:ser>
          <c:idx val="1"/>
          <c:order val="1"/>
          <c:tx>
            <c:strRef>
              <c:f>'Tab2'!$X$128</c:f>
              <c:strCache>
                <c:ptCount val="1"/>
                <c:pt idx="0">
                  <c:v>2018</c:v>
                </c:pt>
              </c:strCache>
            </c:strRef>
          </c:tx>
          <c:spPr>
            <a:solidFill>
              <a:srgbClr val="FFFFCC"/>
            </a:solidFill>
            <a:ln w="12700">
              <a:solidFill>
                <a:srgbClr val="000000"/>
              </a:solidFill>
              <a:prstDash val="solid"/>
            </a:ln>
          </c:spPr>
          <c:invertIfNegative val="0"/>
          <c:cat>
            <c:strRef>
              <c:f>'Tab2'!$V$129:$V$133</c:f>
              <c:strCache>
                <c:ptCount val="5"/>
                <c:pt idx="0">
                  <c:v>Fritidsbåt</c:v>
                </c:pt>
                <c:pt idx="1">
                  <c:v>Ansvar</c:v>
                </c:pt>
                <c:pt idx="2">
                  <c:v>Yrkesskade</c:v>
                </c:pt>
                <c:pt idx="3">
                  <c:v>Hytte</c:v>
                </c:pt>
                <c:pt idx="4">
                  <c:v>Ulykke</c:v>
                </c:pt>
              </c:strCache>
            </c:strRef>
          </c:cat>
          <c:val>
            <c:numRef>
              <c:f>'Tab2'!$X$129:$X$133</c:f>
              <c:numCache>
                <c:formatCode>0</c:formatCode>
                <c:ptCount val="5"/>
                <c:pt idx="0">
                  <c:v>1085.2063591022443</c:v>
                </c:pt>
                <c:pt idx="1">
                  <c:v>2556.018</c:v>
                </c:pt>
                <c:pt idx="2">
                  <c:v>3000.3396244897958</c:v>
                </c:pt>
                <c:pt idx="3">
                  <c:v>4327.0239104274578</c:v>
                </c:pt>
                <c:pt idx="4">
                  <c:v>6360.0533333333333</c:v>
                </c:pt>
              </c:numCache>
            </c:numRef>
          </c:val>
          <c:extLst>
            <c:ext xmlns:c16="http://schemas.microsoft.com/office/drawing/2014/chart" uri="{C3380CC4-5D6E-409C-BE32-E72D297353CC}">
              <c16:uniqueId val="{00000001-5C52-4D4B-8DAE-66DEFB61BB20}"/>
            </c:ext>
          </c:extLst>
        </c:ser>
        <c:ser>
          <c:idx val="2"/>
          <c:order val="2"/>
          <c:tx>
            <c:strRef>
              <c:f>'Tab2'!$Y$128</c:f>
              <c:strCache>
                <c:ptCount val="1"/>
                <c:pt idx="0">
                  <c:v>2019</c:v>
                </c:pt>
              </c:strCache>
            </c:strRef>
          </c:tx>
          <c:spPr>
            <a:solidFill>
              <a:srgbClr val="993366"/>
            </a:solidFill>
            <a:ln w="12700">
              <a:solidFill>
                <a:srgbClr val="000000"/>
              </a:solidFill>
              <a:prstDash val="solid"/>
            </a:ln>
          </c:spPr>
          <c:invertIfNegative val="0"/>
          <c:cat>
            <c:strRef>
              <c:f>'Tab2'!$V$129:$V$133</c:f>
              <c:strCache>
                <c:ptCount val="5"/>
                <c:pt idx="0">
                  <c:v>Fritidsbåt</c:v>
                </c:pt>
                <c:pt idx="1">
                  <c:v>Ansvar</c:v>
                </c:pt>
                <c:pt idx="2">
                  <c:v>Yrkesskade</c:v>
                </c:pt>
                <c:pt idx="3">
                  <c:v>Hytte</c:v>
                </c:pt>
                <c:pt idx="4">
                  <c:v>Ulykke</c:v>
                </c:pt>
              </c:strCache>
            </c:strRef>
          </c:cat>
          <c:val>
            <c:numRef>
              <c:f>'Tab2'!$Y$129:$Y$133</c:f>
              <c:numCache>
                <c:formatCode>0</c:formatCode>
                <c:ptCount val="5"/>
                <c:pt idx="0">
                  <c:v>1528.1477556109726</c:v>
                </c:pt>
                <c:pt idx="1">
                  <c:v>3033.5280000000002</c:v>
                </c:pt>
                <c:pt idx="2">
                  <c:v>2645.6721469387758</c:v>
                </c:pt>
                <c:pt idx="3">
                  <c:v>3063.2796002720661</c:v>
                </c:pt>
                <c:pt idx="4">
                  <c:v>7556.1933333333336</c:v>
                </c:pt>
              </c:numCache>
            </c:numRef>
          </c:val>
          <c:extLst>
            <c:ext xmlns:c16="http://schemas.microsoft.com/office/drawing/2014/chart" uri="{C3380CC4-5D6E-409C-BE32-E72D297353CC}">
              <c16:uniqueId val="{00000002-5C52-4D4B-8DAE-66DEFB61BB20}"/>
            </c:ext>
          </c:extLst>
        </c:ser>
        <c:dLbls>
          <c:showLegendKey val="0"/>
          <c:showVal val="0"/>
          <c:showCatName val="0"/>
          <c:showSerName val="0"/>
          <c:showPercent val="0"/>
          <c:showBubbleSize val="0"/>
        </c:dLbls>
        <c:gapWidth val="150"/>
        <c:shape val="cylinder"/>
        <c:axId val="270747904"/>
        <c:axId val="270757888"/>
        <c:axId val="0"/>
      </c:bar3DChart>
      <c:catAx>
        <c:axId val="270747904"/>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70757888"/>
        <c:crosses val="autoZero"/>
        <c:auto val="1"/>
        <c:lblAlgn val="ctr"/>
        <c:lblOffset val="100"/>
        <c:tickLblSkip val="1"/>
        <c:tickMarkSkip val="1"/>
        <c:noMultiLvlLbl val="0"/>
      </c:catAx>
      <c:valAx>
        <c:axId val="270757888"/>
        <c:scaling>
          <c:orientation val="minMax"/>
        </c:scaling>
        <c:delete val="0"/>
        <c:axPos val="b"/>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70747904"/>
        <c:crosses val="autoZero"/>
        <c:crossBetween val="between"/>
      </c:valAx>
      <c:spPr>
        <a:noFill/>
        <a:ln w="25400">
          <a:noFill/>
        </a:ln>
      </c:spPr>
    </c:plotArea>
    <c:legend>
      <c:legendPos val="r"/>
      <c:layout>
        <c:manualLayout>
          <c:xMode val="edge"/>
          <c:yMode val="edge"/>
          <c:x val="0.80711767770601706"/>
          <c:y val="0.56422090587300433"/>
          <c:w val="0.10299645128629202"/>
          <c:h val="0.1582571215295344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2566614958665"/>
          <c:y val="4.7126376644779866E-2"/>
          <c:w val="0.72887760912680699"/>
          <c:h val="0.75545138253069033"/>
        </c:manualLayout>
      </c:layout>
      <c:lineChart>
        <c:grouping val="standard"/>
        <c:varyColors val="0"/>
        <c:ser>
          <c:idx val="0"/>
          <c:order val="0"/>
          <c:tx>
            <c:strRef>
              <c:f>'Tab2'!$M$70</c:f>
              <c:strCache>
                <c:ptCount val="1"/>
                <c:pt idx="0">
                  <c:v>Erstatning</c:v>
                </c:pt>
              </c:strCache>
            </c:strRef>
          </c:tx>
          <c:spPr>
            <a:ln w="25400"/>
          </c:spPr>
          <c:marker>
            <c:symbol val="none"/>
          </c:marker>
          <c:cat>
            <c:numRef>
              <c:f>'Tab2'!$K$71:$K$215</c:f>
              <c:numCache>
                <c:formatCode>General</c:formatCode>
                <c:ptCount val="145"/>
                <c:pt idx="0">
                  <c:v>1983</c:v>
                </c:pt>
                <c:pt idx="4">
                  <c:v>1984</c:v>
                </c:pt>
                <c:pt idx="8">
                  <c:v>1985</c:v>
                </c:pt>
                <c:pt idx="12">
                  <c:v>1986</c:v>
                </c:pt>
                <c:pt idx="16">
                  <c:v>1987</c:v>
                </c:pt>
                <c:pt idx="20">
                  <c:v>1988</c:v>
                </c:pt>
                <c:pt idx="24">
                  <c:v>1989</c:v>
                </c:pt>
                <c:pt idx="28">
                  <c:v>1990</c:v>
                </c:pt>
                <c:pt idx="32">
                  <c:v>1991</c:v>
                </c:pt>
                <c:pt idx="36">
                  <c:v>1992</c:v>
                </c:pt>
                <c:pt idx="40">
                  <c:v>1993</c:v>
                </c:pt>
                <c:pt idx="44">
                  <c:v>1994</c:v>
                </c:pt>
                <c:pt idx="48">
                  <c:v>1995</c:v>
                </c:pt>
                <c:pt idx="52">
                  <c:v>1996</c:v>
                </c:pt>
                <c:pt idx="56">
                  <c:v>1997</c:v>
                </c:pt>
                <c:pt idx="60">
                  <c:v>1998</c:v>
                </c:pt>
                <c:pt idx="64">
                  <c:v>1999</c:v>
                </c:pt>
                <c:pt idx="68">
                  <c:v>2000</c:v>
                </c:pt>
                <c:pt idx="72">
                  <c:v>2001</c:v>
                </c:pt>
                <c:pt idx="76">
                  <c:v>2002</c:v>
                </c:pt>
                <c:pt idx="80">
                  <c:v>2003</c:v>
                </c:pt>
                <c:pt idx="84">
                  <c:v>2004</c:v>
                </c:pt>
                <c:pt idx="88">
                  <c:v>2005</c:v>
                </c:pt>
                <c:pt idx="92">
                  <c:v>2006</c:v>
                </c:pt>
                <c:pt idx="96">
                  <c:v>2007</c:v>
                </c:pt>
                <c:pt idx="100">
                  <c:v>2008</c:v>
                </c:pt>
                <c:pt idx="104">
                  <c:v>2009</c:v>
                </c:pt>
                <c:pt idx="108">
                  <c:v>2010</c:v>
                </c:pt>
                <c:pt idx="112">
                  <c:v>2011</c:v>
                </c:pt>
                <c:pt idx="116">
                  <c:v>2012</c:v>
                </c:pt>
                <c:pt idx="120">
                  <c:v>2013</c:v>
                </c:pt>
                <c:pt idx="124">
                  <c:v>2014</c:v>
                </c:pt>
                <c:pt idx="128">
                  <c:v>2015</c:v>
                </c:pt>
                <c:pt idx="132">
                  <c:v>2016</c:v>
                </c:pt>
                <c:pt idx="136">
                  <c:v>2017</c:v>
                </c:pt>
                <c:pt idx="140">
                  <c:v>2018</c:v>
                </c:pt>
                <c:pt idx="144">
                  <c:v>2019</c:v>
                </c:pt>
              </c:numCache>
            </c:numRef>
          </c:cat>
          <c:val>
            <c:numRef>
              <c:f>'Tab2'!$N$71:$N$215</c:f>
              <c:numCache>
                <c:formatCode>#\ ##0.0</c:formatCode>
                <c:ptCount val="145"/>
                <c:pt idx="0">
                  <c:v>227.99614931846344</c:v>
                </c:pt>
                <c:pt idx="1">
                  <c:v>190.9823187081048</c:v>
                </c:pt>
                <c:pt idx="2">
                  <c:v>174.65280590717299</c:v>
                </c:pt>
                <c:pt idx="3">
                  <c:v>213.94302787663105</c:v>
                </c:pt>
                <c:pt idx="4">
                  <c:v>229.41707678883071</c:v>
                </c:pt>
                <c:pt idx="5">
                  <c:v>217.01176689576167</c:v>
                </c:pt>
                <c:pt idx="6">
                  <c:v>215.16328506530374</c:v>
                </c:pt>
                <c:pt idx="7">
                  <c:v>240.66123601789701</c:v>
                </c:pt>
                <c:pt idx="8">
                  <c:v>260.06630242825599</c:v>
                </c:pt>
                <c:pt idx="9">
                  <c:v>284.25980758807583</c:v>
                </c:pt>
                <c:pt idx="10">
                  <c:v>251.88760752688168</c:v>
                </c:pt>
                <c:pt idx="11">
                  <c:v>285.67447354497347</c:v>
                </c:pt>
                <c:pt idx="12">
                  <c:v>264.86409895833327</c:v>
                </c:pt>
                <c:pt idx="13">
                  <c:v>283.41588461538458</c:v>
                </c:pt>
                <c:pt idx="14">
                  <c:v>228.11140298507459</c:v>
                </c:pt>
                <c:pt idx="15">
                  <c:v>266.94267153284665</c:v>
                </c:pt>
                <c:pt idx="16">
                  <c:v>291.62975886524816</c:v>
                </c:pt>
                <c:pt idx="17">
                  <c:v>287.78469972067035</c:v>
                </c:pt>
                <c:pt idx="18">
                  <c:v>235.50640617796216</c:v>
                </c:pt>
                <c:pt idx="19">
                  <c:v>277.08035552536228</c:v>
                </c:pt>
                <c:pt idx="20">
                  <c:v>263.72492021276594</c:v>
                </c:pt>
                <c:pt idx="21">
                  <c:v>187.99505215123855</c:v>
                </c:pt>
                <c:pt idx="22">
                  <c:v>292.80703679653675</c:v>
                </c:pt>
                <c:pt idx="23">
                  <c:v>387.8874391805378</c:v>
                </c:pt>
                <c:pt idx="24">
                  <c:v>274.03358259400079</c:v>
                </c:pt>
                <c:pt idx="25">
                  <c:v>221.48470112079698</c:v>
                </c:pt>
                <c:pt idx="26">
                  <c:v>194.88839536807274</c:v>
                </c:pt>
                <c:pt idx="27">
                  <c:v>245.87297297297292</c:v>
                </c:pt>
                <c:pt idx="28">
                  <c:v>263.26532401782094</c:v>
                </c:pt>
                <c:pt idx="29">
                  <c:v>211.79765187849716</c:v>
                </c:pt>
                <c:pt idx="30">
                  <c:v>183.68502986857825</c:v>
                </c:pt>
                <c:pt idx="31">
                  <c:v>213.80258519388951</c:v>
                </c:pt>
                <c:pt idx="32">
                  <c:v>230.71320272904484</c:v>
                </c:pt>
                <c:pt idx="33">
                  <c:v>221.82985180908378</c:v>
                </c:pt>
                <c:pt idx="34">
                  <c:v>232.15973441108545</c:v>
                </c:pt>
                <c:pt idx="35">
                  <c:v>240.02421916762128</c:v>
                </c:pt>
                <c:pt idx="36">
                  <c:v>224.22678476190472</c:v>
                </c:pt>
                <c:pt idx="37">
                  <c:v>193.20639014296464</c:v>
                </c:pt>
                <c:pt idx="38">
                  <c:v>223.24452837279208</c:v>
                </c:pt>
                <c:pt idx="39">
                  <c:v>184.22117394550213</c:v>
                </c:pt>
                <c:pt idx="40">
                  <c:v>231.14706198960647</c:v>
                </c:pt>
                <c:pt idx="41">
                  <c:v>192.36581497797357</c:v>
                </c:pt>
                <c:pt idx="42">
                  <c:v>222.24456217807207</c:v>
                </c:pt>
                <c:pt idx="43">
                  <c:v>262.9219670329669</c:v>
                </c:pt>
                <c:pt idx="44">
                  <c:v>314.90653846153845</c:v>
                </c:pt>
                <c:pt idx="45">
                  <c:v>275.29997273718641</c:v>
                </c:pt>
                <c:pt idx="46">
                  <c:v>279.70164133188558</c:v>
                </c:pt>
                <c:pt idx="47">
                  <c:v>230.54352771778264</c:v>
                </c:pt>
                <c:pt idx="48">
                  <c:v>277.75660778015697</c:v>
                </c:pt>
                <c:pt idx="49">
                  <c:v>238.95316861494868</c:v>
                </c:pt>
                <c:pt idx="50">
                  <c:v>290.35307474318085</c:v>
                </c:pt>
                <c:pt idx="51">
                  <c:v>275.67575757575764</c:v>
                </c:pt>
                <c:pt idx="52">
                  <c:v>604.55518046709108</c:v>
                </c:pt>
                <c:pt idx="53">
                  <c:v>374.35086575534524</c:v>
                </c:pt>
                <c:pt idx="54">
                  <c:v>381.03874345549752</c:v>
                </c:pt>
                <c:pt idx="55">
                  <c:v>367.48179646936666</c:v>
                </c:pt>
                <c:pt idx="56">
                  <c:v>397.83156731757447</c:v>
                </c:pt>
                <c:pt idx="57">
                  <c:v>436.55245479358587</c:v>
                </c:pt>
                <c:pt idx="58">
                  <c:v>462.31417093142261</c:v>
                </c:pt>
                <c:pt idx="59">
                  <c:v>412.49105860433599</c:v>
                </c:pt>
                <c:pt idx="60">
                  <c:v>435.16792547834837</c:v>
                </c:pt>
                <c:pt idx="61">
                  <c:v>385.5174774322968</c:v>
                </c:pt>
                <c:pt idx="62">
                  <c:v>391.81591015364052</c:v>
                </c:pt>
                <c:pt idx="63">
                  <c:v>450.3479692154915</c:v>
                </c:pt>
                <c:pt idx="64">
                  <c:v>491.20036982248519</c:v>
                </c:pt>
                <c:pt idx="65">
                  <c:v>493.58638454011731</c:v>
                </c:pt>
                <c:pt idx="66">
                  <c:v>664.1834070796458</c:v>
                </c:pt>
                <c:pt idx="67">
                  <c:v>601.50585829307511</c:v>
                </c:pt>
                <c:pt idx="68">
                  <c:v>501.39516730401522</c:v>
                </c:pt>
                <c:pt idx="69">
                  <c:v>364.12282270853149</c:v>
                </c:pt>
                <c:pt idx="70">
                  <c:v>451.40923551756879</c:v>
                </c:pt>
                <c:pt idx="71">
                  <c:v>688.26014981273386</c:v>
                </c:pt>
                <c:pt idx="72">
                  <c:v>944.55822416974138</c:v>
                </c:pt>
                <c:pt idx="73">
                  <c:v>625.30103406326032</c:v>
                </c:pt>
                <c:pt idx="74">
                  <c:v>561.60328707986434</c:v>
                </c:pt>
                <c:pt idx="75">
                  <c:v>710.54348666053318</c:v>
                </c:pt>
                <c:pt idx="76">
                  <c:v>647.13181610247011</c:v>
                </c:pt>
                <c:pt idx="77">
                  <c:v>563.06773484848475</c:v>
                </c:pt>
                <c:pt idx="78">
                  <c:v>695.85491180048655</c:v>
                </c:pt>
                <c:pt idx="79">
                  <c:v>634.07907807807806</c:v>
                </c:pt>
                <c:pt idx="80">
                  <c:v>829.28848749272811</c:v>
                </c:pt>
                <c:pt idx="81">
                  <c:v>548.29527010982497</c:v>
                </c:pt>
                <c:pt idx="82">
                  <c:v>583.31659964253788</c:v>
                </c:pt>
                <c:pt idx="83">
                  <c:v>635.43751776198906</c:v>
                </c:pt>
                <c:pt idx="84">
                  <c:v>697.10956335109506</c:v>
                </c:pt>
                <c:pt idx="85">
                  <c:v>460.88173280423263</c:v>
                </c:pt>
                <c:pt idx="86">
                  <c:v>609.30441445427698</c:v>
                </c:pt>
                <c:pt idx="87">
                  <c:v>569.51226023391837</c:v>
                </c:pt>
                <c:pt idx="88">
                  <c:v>557.4129873937261</c:v>
                </c:pt>
                <c:pt idx="89">
                  <c:v>425.38300925925921</c:v>
                </c:pt>
                <c:pt idx="90">
                  <c:v>590.54729076165631</c:v>
                </c:pt>
                <c:pt idx="91">
                  <c:v>625.83149999999989</c:v>
                </c:pt>
                <c:pt idx="92">
                  <c:v>760.70904802744417</c:v>
                </c:pt>
                <c:pt idx="93">
                  <c:v>557.87513994910921</c:v>
                </c:pt>
                <c:pt idx="94">
                  <c:v>641.90383347541888</c:v>
                </c:pt>
                <c:pt idx="95">
                  <c:v>669.68359663865556</c:v>
                </c:pt>
                <c:pt idx="96">
                  <c:v>838.24199716312035</c:v>
                </c:pt>
                <c:pt idx="97">
                  <c:v>659.03517328825012</c:v>
                </c:pt>
                <c:pt idx="98">
                  <c:v>842.02796547821197</c:v>
                </c:pt>
                <c:pt idx="99">
                  <c:v>711.91895143487807</c:v>
                </c:pt>
                <c:pt idx="100">
                  <c:v>736.21710008203422</c:v>
                </c:pt>
                <c:pt idx="101">
                  <c:v>681.55181967213105</c:v>
                </c:pt>
                <c:pt idx="102">
                  <c:v>890.14604792851367</c:v>
                </c:pt>
                <c:pt idx="103">
                  <c:v>854.89329457364352</c:v>
                </c:pt>
                <c:pt idx="104">
                  <c:v>897.11507733333315</c:v>
                </c:pt>
                <c:pt idx="105">
                  <c:v>728.31473614425886</c:v>
                </c:pt>
                <c:pt idx="106">
                  <c:v>962.08421185539567</c:v>
                </c:pt>
                <c:pt idx="107">
                  <c:v>909.37070695102693</c:v>
                </c:pt>
                <c:pt idx="108">
                  <c:v>1994.7910949615971</c:v>
                </c:pt>
                <c:pt idx="109">
                  <c:v>1017.4425364533149</c:v>
                </c:pt>
                <c:pt idx="110">
                  <c:v>1022.3371648150384</c:v>
                </c:pt>
                <c:pt idx="111">
                  <c:v>1045.8944243186575</c:v>
                </c:pt>
                <c:pt idx="112">
                  <c:v>1236.0554050712963</c:v>
                </c:pt>
                <c:pt idx="113">
                  <c:v>898.83070334518754</c:v>
                </c:pt>
                <c:pt idx="114">
                  <c:v>1071.7175948897905</c:v>
                </c:pt>
                <c:pt idx="115">
                  <c:v>903.20526930648066</c:v>
                </c:pt>
                <c:pt idx="116">
                  <c:v>1000.6277276066699</c:v>
                </c:pt>
                <c:pt idx="117">
                  <c:v>731.55039274483795</c:v>
                </c:pt>
                <c:pt idx="118">
                  <c:v>1008.6032723025593</c:v>
                </c:pt>
                <c:pt idx="119">
                  <c:v>949.69549308152739</c:v>
                </c:pt>
                <c:pt idx="120">
                  <c:v>1166.3254030952282</c:v>
                </c:pt>
                <c:pt idx="121">
                  <c:v>1142.0527339242212</c:v>
                </c:pt>
                <c:pt idx="122">
                  <c:v>831.01020550142584</c:v>
                </c:pt>
                <c:pt idx="123">
                  <c:v>1003.7633426863365</c:v>
                </c:pt>
                <c:pt idx="124">
                  <c:v>989.98059848313346</c:v>
                </c:pt>
                <c:pt idx="125">
                  <c:v>812.96949932422251</c:v>
                </c:pt>
                <c:pt idx="126">
                  <c:v>1195.9212302254789</c:v>
                </c:pt>
                <c:pt idx="127">
                  <c:v>956.21074248978766</c:v>
                </c:pt>
                <c:pt idx="128">
                  <c:v>1049.0874090941882</c:v>
                </c:pt>
                <c:pt idx="129">
                  <c:v>803.41652446032674</c:v>
                </c:pt>
                <c:pt idx="130">
                  <c:v>1063.49483674867</c:v>
                </c:pt>
                <c:pt idx="131">
                  <c:v>944.2615386984121</c:v>
                </c:pt>
                <c:pt idx="132">
                  <c:v>1085.5027907443286</c:v>
                </c:pt>
                <c:pt idx="133">
                  <c:v>835.55193490849956</c:v>
                </c:pt>
                <c:pt idx="134">
                  <c:v>1465.4094742541645</c:v>
                </c:pt>
                <c:pt idx="135">
                  <c:v>994.2809401635725</c:v>
                </c:pt>
                <c:pt idx="136">
                  <c:v>1065.8552644912804</c:v>
                </c:pt>
                <c:pt idx="137" formatCode="General">
                  <c:v>790.51851275708145</c:v>
                </c:pt>
                <c:pt idx="138" formatCode="General">
                  <c:v>933.61066983480407</c:v>
                </c:pt>
                <c:pt idx="139" formatCode="General">
                  <c:v>1165.7703616352198</c:v>
                </c:pt>
                <c:pt idx="140" formatCode="General">
                  <c:v>1190.0832219995546</c:v>
                </c:pt>
                <c:pt idx="141" formatCode="General">
                  <c:v>1082.658684812923</c:v>
                </c:pt>
                <c:pt idx="142" formatCode="General">
                  <c:v>1206.7894081076811</c:v>
                </c:pt>
                <c:pt idx="143" formatCode="General">
                  <c:v>1064.7415441253311</c:v>
                </c:pt>
                <c:pt idx="144" formatCode="General">
                  <c:v>1132.3804710670565</c:v>
                </c:pt>
              </c:numCache>
            </c:numRef>
          </c:val>
          <c:smooth val="0"/>
          <c:extLst>
            <c:ext xmlns:c16="http://schemas.microsoft.com/office/drawing/2014/chart" uri="{C3380CC4-5D6E-409C-BE32-E72D297353CC}">
              <c16:uniqueId val="{00000000-DEC7-4D76-8CFA-CE137D68656F}"/>
            </c:ext>
          </c:extLst>
        </c:ser>
        <c:dLbls>
          <c:showLegendKey val="0"/>
          <c:showVal val="0"/>
          <c:showCatName val="0"/>
          <c:showSerName val="0"/>
          <c:showPercent val="0"/>
          <c:showBubbleSize val="0"/>
        </c:dLbls>
        <c:marker val="1"/>
        <c:smooth val="0"/>
        <c:axId val="270792576"/>
        <c:axId val="270663680"/>
      </c:lineChart>
      <c:lineChart>
        <c:grouping val="standard"/>
        <c:varyColors val="0"/>
        <c:ser>
          <c:idx val="1"/>
          <c:order val="1"/>
          <c:tx>
            <c:strRef>
              <c:f>'Tab2'!$L$70</c:f>
              <c:strCache>
                <c:ptCount val="1"/>
                <c:pt idx="0">
                  <c:v>Antall</c:v>
                </c:pt>
              </c:strCache>
            </c:strRef>
          </c:tx>
          <c:spPr>
            <a:ln w="25400"/>
          </c:spPr>
          <c:marker>
            <c:symbol val="none"/>
          </c:marker>
          <c:cat>
            <c:numRef>
              <c:f>'Tab2'!$K$71:$K$215</c:f>
              <c:numCache>
                <c:formatCode>General</c:formatCode>
                <c:ptCount val="145"/>
                <c:pt idx="0">
                  <c:v>1983</c:v>
                </c:pt>
                <c:pt idx="4">
                  <c:v>1984</c:v>
                </c:pt>
                <c:pt idx="8">
                  <c:v>1985</c:v>
                </c:pt>
                <c:pt idx="12">
                  <c:v>1986</c:v>
                </c:pt>
                <c:pt idx="16">
                  <c:v>1987</c:v>
                </c:pt>
                <c:pt idx="20">
                  <c:v>1988</c:v>
                </c:pt>
                <c:pt idx="24">
                  <c:v>1989</c:v>
                </c:pt>
                <c:pt idx="28">
                  <c:v>1990</c:v>
                </c:pt>
                <c:pt idx="32">
                  <c:v>1991</c:v>
                </c:pt>
                <c:pt idx="36">
                  <c:v>1992</c:v>
                </c:pt>
                <c:pt idx="40">
                  <c:v>1993</c:v>
                </c:pt>
                <c:pt idx="44">
                  <c:v>1994</c:v>
                </c:pt>
                <c:pt idx="48">
                  <c:v>1995</c:v>
                </c:pt>
                <c:pt idx="52">
                  <c:v>1996</c:v>
                </c:pt>
                <c:pt idx="56">
                  <c:v>1997</c:v>
                </c:pt>
                <c:pt idx="60">
                  <c:v>1998</c:v>
                </c:pt>
                <c:pt idx="64">
                  <c:v>1999</c:v>
                </c:pt>
                <c:pt idx="68">
                  <c:v>2000</c:v>
                </c:pt>
                <c:pt idx="72">
                  <c:v>2001</c:v>
                </c:pt>
                <c:pt idx="76">
                  <c:v>2002</c:v>
                </c:pt>
                <c:pt idx="80">
                  <c:v>2003</c:v>
                </c:pt>
                <c:pt idx="84">
                  <c:v>2004</c:v>
                </c:pt>
                <c:pt idx="88">
                  <c:v>2005</c:v>
                </c:pt>
                <c:pt idx="92">
                  <c:v>2006</c:v>
                </c:pt>
                <c:pt idx="96">
                  <c:v>2007</c:v>
                </c:pt>
                <c:pt idx="100">
                  <c:v>2008</c:v>
                </c:pt>
                <c:pt idx="104">
                  <c:v>2009</c:v>
                </c:pt>
                <c:pt idx="108">
                  <c:v>2010</c:v>
                </c:pt>
                <c:pt idx="112">
                  <c:v>2011</c:v>
                </c:pt>
                <c:pt idx="116">
                  <c:v>2012</c:v>
                </c:pt>
                <c:pt idx="120">
                  <c:v>2013</c:v>
                </c:pt>
                <c:pt idx="124">
                  <c:v>2014</c:v>
                </c:pt>
                <c:pt idx="128">
                  <c:v>2015</c:v>
                </c:pt>
                <c:pt idx="132">
                  <c:v>2016</c:v>
                </c:pt>
                <c:pt idx="136">
                  <c:v>2017</c:v>
                </c:pt>
                <c:pt idx="140">
                  <c:v>2018</c:v>
                </c:pt>
                <c:pt idx="144">
                  <c:v>2019</c:v>
                </c:pt>
              </c:numCache>
            </c:numRef>
          </c:cat>
          <c:val>
            <c:numRef>
              <c:f>'Tab2'!$L$71:$L$215</c:f>
              <c:numCache>
                <c:formatCode>#,##0</c:formatCode>
                <c:ptCount val="145"/>
                <c:pt idx="0">
                  <c:v>11621</c:v>
                </c:pt>
                <c:pt idx="1">
                  <c:v>11120</c:v>
                </c:pt>
                <c:pt idx="2">
                  <c:v>11918</c:v>
                </c:pt>
                <c:pt idx="3">
                  <c:v>11905</c:v>
                </c:pt>
                <c:pt idx="4">
                  <c:v>13205</c:v>
                </c:pt>
                <c:pt idx="5">
                  <c:v>12453</c:v>
                </c:pt>
                <c:pt idx="6">
                  <c:v>12278</c:v>
                </c:pt>
                <c:pt idx="7">
                  <c:v>11449</c:v>
                </c:pt>
                <c:pt idx="8">
                  <c:v>16918</c:v>
                </c:pt>
                <c:pt idx="9">
                  <c:v>14237</c:v>
                </c:pt>
                <c:pt idx="10">
                  <c:v>14329</c:v>
                </c:pt>
                <c:pt idx="11">
                  <c:v>13060</c:v>
                </c:pt>
                <c:pt idx="12">
                  <c:v>14314</c:v>
                </c:pt>
                <c:pt idx="13">
                  <c:v>13505</c:v>
                </c:pt>
                <c:pt idx="14">
                  <c:v>12132</c:v>
                </c:pt>
                <c:pt idx="15">
                  <c:v>11763</c:v>
                </c:pt>
                <c:pt idx="16">
                  <c:v>17280</c:v>
                </c:pt>
                <c:pt idx="17">
                  <c:v>12241</c:v>
                </c:pt>
                <c:pt idx="18">
                  <c:v>11506</c:v>
                </c:pt>
                <c:pt idx="19">
                  <c:v>12860</c:v>
                </c:pt>
                <c:pt idx="20">
                  <c:v>10180</c:v>
                </c:pt>
                <c:pt idx="21">
                  <c:v>11081</c:v>
                </c:pt>
                <c:pt idx="22">
                  <c:v>15987</c:v>
                </c:pt>
                <c:pt idx="23">
                  <c:v>12493</c:v>
                </c:pt>
                <c:pt idx="24">
                  <c:v>10988</c:v>
                </c:pt>
                <c:pt idx="25">
                  <c:v>10292</c:v>
                </c:pt>
                <c:pt idx="26">
                  <c:v>11352</c:v>
                </c:pt>
                <c:pt idx="27">
                  <c:v>11958</c:v>
                </c:pt>
                <c:pt idx="28">
                  <c:v>13741</c:v>
                </c:pt>
                <c:pt idx="29">
                  <c:v>10045</c:v>
                </c:pt>
                <c:pt idx="30">
                  <c:v>10870</c:v>
                </c:pt>
                <c:pt idx="31">
                  <c:v>11076</c:v>
                </c:pt>
                <c:pt idx="32">
                  <c:v>10172</c:v>
                </c:pt>
                <c:pt idx="33">
                  <c:v>10188</c:v>
                </c:pt>
                <c:pt idx="34">
                  <c:v>10621</c:v>
                </c:pt>
                <c:pt idx="35">
                  <c:v>11640</c:v>
                </c:pt>
                <c:pt idx="36">
                  <c:v>10520</c:v>
                </c:pt>
                <c:pt idx="37">
                  <c:v>10661</c:v>
                </c:pt>
                <c:pt idx="38">
                  <c:v>11590</c:v>
                </c:pt>
                <c:pt idx="39">
                  <c:v>11917</c:v>
                </c:pt>
                <c:pt idx="40">
                  <c:v>11275</c:v>
                </c:pt>
                <c:pt idx="41">
                  <c:v>10076</c:v>
                </c:pt>
                <c:pt idx="42">
                  <c:v>11766</c:v>
                </c:pt>
                <c:pt idx="43">
                  <c:v>12707</c:v>
                </c:pt>
                <c:pt idx="44">
                  <c:v>15224</c:v>
                </c:pt>
                <c:pt idx="45">
                  <c:v>13585</c:v>
                </c:pt>
                <c:pt idx="46">
                  <c:v>13956</c:v>
                </c:pt>
                <c:pt idx="47">
                  <c:v>14006</c:v>
                </c:pt>
                <c:pt idx="48">
                  <c:v>13188</c:v>
                </c:pt>
                <c:pt idx="49">
                  <c:v>11077</c:v>
                </c:pt>
                <c:pt idx="50">
                  <c:v>13937</c:v>
                </c:pt>
                <c:pt idx="51">
                  <c:v>13920</c:v>
                </c:pt>
                <c:pt idx="52">
                  <c:v>29850</c:v>
                </c:pt>
                <c:pt idx="53">
                  <c:v>17799</c:v>
                </c:pt>
                <c:pt idx="54">
                  <c:v>16263</c:v>
                </c:pt>
                <c:pt idx="55">
                  <c:v>16638</c:v>
                </c:pt>
                <c:pt idx="56">
                  <c:v>17837</c:v>
                </c:pt>
                <c:pt idx="57">
                  <c:v>16872</c:v>
                </c:pt>
                <c:pt idx="58">
                  <c:v>17873</c:v>
                </c:pt>
                <c:pt idx="59">
                  <c:v>15493</c:v>
                </c:pt>
                <c:pt idx="60">
                  <c:v>17629</c:v>
                </c:pt>
                <c:pt idx="61">
                  <c:v>14484</c:v>
                </c:pt>
                <c:pt idx="62">
                  <c:v>15693</c:v>
                </c:pt>
                <c:pt idx="63">
                  <c:v>16502</c:v>
                </c:pt>
                <c:pt idx="64">
                  <c:v>18095</c:v>
                </c:pt>
                <c:pt idx="65">
                  <c:v>12899</c:v>
                </c:pt>
                <c:pt idx="66">
                  <c:v>23305</c:v>
                </c:pt>
                <c:pt idx="67">
                  <c:v>18359</c:v>
                </c:pt>
                <c:pt idx="68">
                  <c:v>17570</c:v>
                </c:pt>
                <c:pt idx="69">
                  <c:v>14069</c:v>
                </c:pt>
                <c:pt idx="70">
                  <c:v>16329</c:v>
                </c:pt>
                <c:pt idx="71">
                  <c:v>21735</c:v>
                </c:pt>
                <c:pt idx="72">
                  <c:v>27280</c:v>
                </c:pt>
                <c:pt idx="73">
                  <c:v>17111</c:v>
                </c:pt>
                <c:pt idx="74">
                  <c:v>16407</c:v>
                </c:pt>
                <c:pt idx="75">
                  <c:v>16945</c:v>
                </c:pt>
                <c:pt idx="76">
                  <c:v>17523</c:v>
                </c:pt>
                <c:pt idx="77">
                  <c:v>17469</c:v>
                </c:pt>
                <c:pt idx="78">
                  <c:v>19641</c:v>
                </c:pt>
                <c:pt idx="79">
                  <c:v>17442</c:v>
                </c:pt>
                <c:pt idx="80">
                  <c:v>22781</c:v>
                </c:pt>
                <c:pt idx="81">
                  <c:v>15417</c:v>
                </c:pt>
                <c:pt idx="82">
                  <c:v>18848</c:v>
                </c:pt>
                <c:pt idx="83">
                  <c:v>16096</c:v>
                </c:pt>
                <c:pt idx="84">
                  <c:v>17805</c:v>
                </c:pt>
                <c:pt idx="85">
                  <c:v>13855</c:v>
                </c:pt>
                <c:pt idx="86">
                  <c:v>17630</c:v>
                </c:pt>
                <c:pt idx="87">
                  <c:v>16674</c:v>
                </c:pt>
                <c:pt idx="88">
                  <c:v>15151</c:v>
                </c:pt>
                <c:pt idx="89">
                  <c:v>14855</c:v>
                </c:pt>
                <c:pt idx="90">
                  <c:v>13014</c:v>
                </c:pt>
                <c:pt idx="91">
                  <c:v>22745</c:v>
                </c:pt>
                <c:pt idx="92">
                  <c:v>18196</c:v>
                </c:pt>
                <c:pt idx="93">
                  <c:v>13943</c:v>
                </c:pt>
                <c:pt idx="94">
                  <c:v>13690</c:v>
                </c:pt>
                <c:pt idx="95">
                  <c:v>16682</c:v>
                </c:pt>
                <c:pt idx="96">
                  <c:v>18623</c:v>
                </c:pt>
                <c:pt idx="97">
                  <c:v>15831</c:v>
                </c:pt>
                <c:pt idx="98">
                  <c:v>18428</c:v>
                </c:pt>
                <c:pt idx="99">
                  <c:v>15870</c:v>
                </c:pt>
                <c:pt idx="100">
                  <c:v>17004</c:v>
                </c:pt>
                <c:pt idx="101">
                  <c:v>14987</c:v>
                </c:pt>
                <c:pt idx="102">
                  <c:v>19290</c:v>
                </c:pt>
                <c:pt idx="103">
                  <c:v>16976</c:v>
                </c:pt>
                <c:pt idx="104">
                  <c:v>18865</c:v>
                </c:pt>
                <c:pt idx="105">
                  <c:v>14610</c:v>
                </c:pt>
                <c:pt idx="106">
                  <c:v>19220</c:v>
                </c:pt>
                <c:pt idx="107">
                  <c:v>16838</c:v>
                </c:pt>
                <c:pt idx="108">
                  <c:v>40484.70904761905</c:v>
                </c:pt>
                <c:pt idx="109">
                  <c:v>20633.79583333333</c:v>
                </c:pt>
                <c:pt idx="110">
                  <c:v>19149.335833333338</c:v>
                </c:pt>
                <c:pt idx="111">
                  <c:v>22322.361666666664</c:v>
                </c:pt>
                <c:pt idx="112">
                  <c:v>26141.662648809524</c:v>
                </c:pt>
                <c:pt idx="113">
                  <c:v>18851.951101190472</c:v>
                </c:pt>
                <c:pt idx="114">
                  <c:v>24107.386250000007</c:v>
                </c:pt>
                <c:pt idx="115">
                  <c:v>18022.572976190484</c:v>
                </c:pt>
                <c:pt idx="116">
                  <c:v>18517.39324404762</c:v>
                </c:pt>
                <c:pt idx="117">
                  <c:v>14087.60675595238</c:v>
                </c:pt>
                <c:pt idx="118" formatCode="0">
                  <c:v>20999.460714285713</c:v>
                </c:pt>
                <c:pt idx="119" formatCode="0">
                  <c:v>17946.539285714287</c:v>
                </c:pt>
                <c:pt idx="120" formatCode="0">
                  <c:v>21974.571815476189</c:v>
                </c:pt>
                <c:pt idx="121" formatCode="0">
                  <c:v>23960.428184523811</c:v>
                </c:pt>
                <c:pt idx="122" formatCode="0">
                  <c:v>18388.581422924897</c:v>
                </c:pt>
                <c:pt idx="123" formatCode="0">
                  <c:v>18420.418577075106</c:v>
                </c:pt>
                <c:pt idx="124" formatCode="0">
                  <c:v>19713</c:v>
                </c:pt>
                <c:pt idx="125" formatCode="0">
                  <c:v>16691</c:v>
                </c:pt>
                <c:pt idx="126" formatCode="0">
                  <c:v>21817</c:v>
                </c:pt>
                <c:pt idx="127" formatCode="0">
                  <c:v>20183</c:v>
                </c:pt>
                <c:pt idx="128" formatCode="0">
                  <c:v>19630</c:v>
                </c:pt>
                <c:pt idx="129" formatCode="0">
                  <c:v>15703.949675889351</c:v>
                </c:pt>
                <c:pt idx="130" formatCode="0">
                  <c:v>22728.974837944646</c:v>
                </c:pt>
                <c:pt idx="131" formatCode="0">
                  <c:v>17661.404213438705</c:v>
                </c:pt>
                <c:pt idx="132" formatCode="0">
                  <c:v>20668.165818181998</c:v>
                </c:pt>
                <c:pt idx="133" formatCode="0">
                  <c:v>19039.287573122998</c:v>
                </c:pt>
                <c:pt idx="134" formatCode="0">
                  <c:v>25325.005330874006</c:v>
                </c:pt>
                <c:pt idx="135" formatCode="0">
                  <c:v>18369.446222722992</c:v>
                </c:pt>
                <c:pt idx="136" formatCode="0">
                  <c:v>20188.970584052</c:v>
                </c:pt>
                <c:pt idx="137" formatCode="General">
                  <c:v>16357.538075795001</c:v>
                </c:pt>
                <c:pt idx="138" formatCode="General">
                  <c:v>19399</c:v>
                </c:pt>
                <c:pt idx="139" formatCode="General">
                  <c:v>23333</c:v>
                </c:pt>
                <c:pt idx="140" formatCode="General">
                  <c:v>25111</c:v>
                </c:pt>
                <c:pt idx="141" formatCode="General">
                  <c:v>20973.437462450995</c:v>
                </c:pt>
                <c:pt idx="142" formatCode="General">
                  <c:v>22635.655438734771</c:v>
                </c:pt>
                <c:pt idx="143" formatCode="General">
                  <c:v>22335.438371541502</c:v>
                </c:pt>
                <c:pt idx="144" formatCode="General">
                  <c:v>22394.924612648225</c:v>
                </c:pt>
              </c:numCache>
            </c:numRef>
          </c:val>
          <c:smooth val="0"/>
          <c:extLst>
            <c:ext xmlns:c16="http://schemas.microsoft.com/office/drawing/2014/chart" uri="{C3380CC4-5D6E-409C-BE32-E72D297353CC}">
              <c16:uniqueId val="{00000001-DEC7-4D76-8CFA-CE137D68656F}"/>
            </c:ext>
          </c:extLst>
        </c:ser>
        <c:dLbls>
          <c:showLegendKey val="0"/>
          <c:showVal val="0"/>
          <c:showCatName val="0"/>
          <c:showSerName val="0"/>
          <c:showPercent val="0"/>
          <c:showBubbleSize val="0"/>
        </c:dLbls>
        <c:upDownBars>
          <c:gapWidth val="150"/>
          <c:upBars/>
          <c:downBars/>
        </c:upDownBars>
        <c:marker val="1"/>
        <c:smooth val="0"/>
        <c:axId val="270667776"/>
        <c:axId val="270665600"/>
      </c:lineChart>
      <c:catAx>
        <c:axId val="270792576"/>
        <c:scaling>
          <c:orientation val="minMax"/>
        </c:scaling>
        <c:delete val="0"/>
        <c:axPos val="b"/>
        <c:majorGridlines>
          <c:spPr>
            <a:ln>
              <a:solidFill>
                <a:srgbClr val="4F81BD">
                  <a:alpha val="25000"/>
                </a:srgbClr>
              </a:solidFill>
            </a:ln>
          </c:spPr>
        </c:majorGridlines>
        <c:title>
          <c:tx>
            <c:rich>
              <a:bodyPr/>
              <a:lstStyle/>
              <a:p>
                <a:pPr>
                  <a:defRPr sz="1200"/>
                </a:pPr>
                <a:r>
                  <a:rPr lang="en-US" sz="1200"/>
                  <a:t>År</a:t>
                </a:r>
              </a:p>
            </c:rich>
          </c:tx>
          <c:layout>
            <c:manualLayout>
              <c:xMode val="edge"/>
              <c:yMode val="edge"/>
              <c:x val="0.48913710180525038"/>
              <c:y val="0.92512795900512435"/>
            </c:manualLayout>
          </c:layout>
          <c:overlay val="0"/>
        </c:title>
        <c:numFmt formatCode="General" sourceLinked="1"/>
        <c:majorTickMark val="out"/>
        <c:minorTickMark val="out"/>
        <c:tickLblPos val="nextTo"/>
        <c:txPr>
          <a:bodyPr rot="-3000000" vert="horz"/>
          <a:lstStyle/>
          <a:p>
            <a:pPr>
              <a:defRPr/>
            </a:pPr>
            <a:endParaRPr lang="nb-NO"/>
          </a:p>
        </c:txPr>
        <c:crossAx val="270663680"/>
        <c:crosses val="autoZero"/>
        <c:auto val="1"/>
        <c:lblAlgn val="ctr"/>
        <c:lblOffset val="100"/>
        <c:tickLblSkip val="1"/>
        <c:tickMarkSkip val="4"/>
        <c:noMultiLvlLbl val="0"/>
      </c:catAx>
      <c:valAx>
        <c:axId val="270663680"/>
        <c:scaling>
          <c:orientation val="minMax"/>
        </c:scaling>
        <c:delete val="0"/>
        <c:axPos val="l"/>
        <c:majorGridlines/>
        <c:title>
          <c:tx>
            <c:rich>
              <a:bodyPr rot="-5400000" vert="horz" anchor="ctr" anchorCtr="1"/>
              <a:lstStyle/>
              <a:p>
                <a:pPr>
                  <a:defRPr/>
                </a:pPr>
                <a:r>
                  <a:rPr lang="en-US"/>
                  <a:t>KPI-justert erstatning (millioner kroner)</a:t>
                </a:r>
              </a:p>
            </c:rich>
          </c:tx>
          <c:layout>
            <c:manualLayout>
              <c:xMode val="edge"/>
              <c:yMode val="edge"/>
              <c:x val="1.5657612176468372E-2"/>
              <c:y val="0.13385355900279908"/>
            </c:manualLayout>
          </c:layout>
          <c:overlay val="0"/>
        </c:title>
        <c:numFmt formatCode="#,##0" sourceLinked="0"/>
        <c:majorTickMark val="out"/>
        <c:minorTickMark val="none"/>
        <c:tickLblPos val="nextTo"/>
        <c:crossAx val="270792576"/>
        <c:crosses val="autoZero"/>
        <c:crossBetween val="between"/>
      </c:valAx>
      <c:valAx>
        <c:axId val="270665600"/>
        <c:scaling>
          <c:orientation val="minMax"/>
        </c:scaling>
        <c:delete val="0"/>
        <c:axPos val="r"/>
        <c:title>
          <c:tx>
            <c:rich>
              <a:bodyPr rot="-5400000" vert="horz"/>
              <a:lstStyle/>
              <a:p>
                <a:pPr>
                  <a:defRPr/>
                </a:pPr>
                <a:r>
                  <a:rPr lang="en-US"/>
                  <a:t>Antall meldte vannskader</a:t>
                </a:r>
              </a:p>
            </c:rich>
          </c:tx>
          <c:overlay val="0"/>
        </c:title>
        <c:numFmt formatCode="#,##0" sourceLinked="1"/>
        <c:majorTickMark val="out"/>
        <c:minorTickMark val="none"/>
        <c:tickLblPos val="nextTo"/>
        <c:crossAx val="270667776"/>
        <c:crosses val="max"/>
        <c:crossBetween val="between"/>
      </c:valAx>
      <c:catAx>
        <c:axId val="270667776"/>
        <c:scaling>
          <c:orientation val="minMax"/>
        </c:scaling>
        <c:delete val="1"/>
        <c:axPos val="b"/>
        <c:numFmt formatCode="General" sourceLinked="1"/>
        <c:majorTickMark val="out"/>
        <c:minorTickMark val="none"/>
        <c:tickLblPos val="none"/>
        <c:crossAx val="270665600"/>
        <c:crosses val="autoZero"/>
        <c:auto val="0"/>
        <c:lblAlgn val="ctr"/>
        <c:lblOffset val="100"/>
        <c:noMultiLvlLbl val="0"/>
      </c:catAx>
    </c:plotArea>
    <c:legend>
      <c:legendPos val="r"/>
      <c:layout>
        <c:manualLayout>
          <c:xMode val="edge"/>
          <c:yMode val="edge"/>
          <c:x val="0.17254097125419141"/>
          <c:y val="8.1243623616814989E-2"/>
          <c:w val="0.2317650782352112"/>
          <c:h val="0.10148035666735998"/>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2566614958665"/>
          <c:y val="4.7126376644779866E-2"/>
          <c:w val="0.72887760912680721"/>
          <c:h val="0.80035630261243251"/>
        </c:manualLayout>
      </c:layout>
      <c:lineChart>
        <c:grouping val="standard"/>
        <c:varyColors val="0"/>
        <c:ser>
          <c:idx val="0"/>
          <c:order val="0"/>
          <c:tx>
            <c:strRef>
              <c:f>'Tab2'!$M$70</c:f>
              <c:strCache>
                <c:ptCount val="1"/>
                <c:pt idx="0">
                  <c:v>Erstatning</c:v>
                </c:pt>
              </c:strCache>
            </c:strRef>
          </c:tx>
          <c:spPr>
            <a:ln w="50800"/>
          </c:spPr>
          <c:marker>
            <c:symbol val="none"/>
          </c:marker>
          <c:cat>
            <c:numRef>
              <c:f>'Tab2'!$K$103:$K$215</c:f>
              <c:numCache>
                <c:formatCode>General</c:formatCode>
                <c:ptCount val="113"/>
                <c:pt idx="0">
                  <c:v>1991</c:v>
                </c:pt>
                <c:pt idx="4">
                  <c:v>1992</c:v>
                </c:pt>
                <c:pt idx="8">
                  <c:v>1993</c:v>
                </c:pt>
                <c:pt idx="12">
                  <c:v>1994</c:v>
                </c:pt>
                <c:pt idx="16">
                  <c:v>1995</c:v>
                </c:pt>
                <c:pt idx="20">
                  <c:v>1996</c:v>
                </c:pt>
                <c:pt idx="24">
                  <c:v>1997</c:v>
                </c:pt>
                <c:pt idx="28">
                  <c:v>1998</c:v>
                </c:pt>
                <c:pt idx="32">
                  <c:v>1999</c:v>
                </c:pt>
                <c:pt idx="36">
                  <c:v>2000</c:v>
                </c:pt>
                <c:pt idx="40">
                  <c:v>2001</c:v>
                </c:pt>
                <c:pt idx="44">
                  <c:v>2002</c:v>
                </c:pt>
                <c:pt idx="48">
                  <c:v>2003</c:v>
                </c:pt>
                <c:pt idx="52">
                  <c:v>2004</c:v>
                </c:pt>
                <c:pt idx="56">
                  <c:v>2005</c:v>
                </c:pt>
                <c:pt idx="60">
                  <c:v>2006</c:v>
                </c:pt>
                <c:pt idx="64">
                  <c:v>2007</c:v>
                </c:pt>
                <c:pt idx="68">
                  <c:v>2008</c:v>
                </c:pt>
                <c:pt idx="72">
                  <c:v>2009</c:v>
                </c:pt>
                <c:pt idx="76">
                  <c:v>2010</c:v>
                </c:pt>
                <c:pt idx="80">
                  <c:v>2011</c:v>
                </c:pt>
                <c:pt idx="84">
                  <c:v>2012</c:v>
                </c:pt>
                <c:pt idx="88">
                  <c:v>2013</c:v>
                </c:pt>
                <c:pt idx="92">
                  <c:v>2014</c:v>
                </c:pt>
                <c:pt idx="96">
                  <c:v>2015</c:v>
                </c:pt>
                <c:pt idx="100">
                  <c:v>2016</c:v>
                </c:pt>
                <c:pt idx="104">
                  <c:v>2017</c:v>
                </c:pt>
                <c:pt idx="108">
                  <c:v>2018</c:v>
                </c:pt>
                <c:pt idx="112">
                  <c:v>2019</c:v>
                </c:pt>
              </c:numCache>
            </c:numRef>
          </c:cat>
          <c:val>
            <c:numRef>
              <c:f>'Tab2'!$Q$103:$Q$215</c:f>
              <c:numCache>
                <c:formatCode>#\ ##0.0</c:formatCode>
                <c:ptCount val="113"/>
                <c:pt idx="0">
                  <c:v>668.3766803118906</c:v>
                </c:pt>
                <c:pt idx="1">
                  <c:v>646.58061778290971</c:v>
                </c:pt>
                <c:pt idx="2">
                  <c:v>754.43159545804451</c:v>
                </c:pt>
                <c:pt idx="3">
                  <c:v>741.60883925162307</c:v>
                </c:pt>
                <c:pt idx="4">
                  <c:v>709.58939999999984</c:v>
                </c:pt>
                <c:pt idx="5">
                  <c:v>705.05786305492836</c:v>
                </c:pt>
                <c:pt idx="6">
                  <c:v>752.80926719278466</c:v>
                </c:pt>
                <c:pt idx="7">
                  <c:v>722.62241134751741</c:v>
                </c:pt>
                <c:pt idx="8">
                  <c:v>758.78370824053434</c:v>
                </c:pt>
                <c:pt idx="9">
                  <c:v>589.28729258443457</c:v>
                </c:pt>
                <c:pt idx="10">
                  <c:v>650.16575607064044</c:v>
                </c:pt>
                <c:pt idx="11">
                  <c:v>778.10239926739882</c:v>
                </c:pt>
                <c:pt idx="12">
                  <c:v>712.45521611721608</c:v>
                </c:pt>
                <c:pt idx="13">
                  <c:v>817.30196110505267</c:v>
                </c:pt>
                <c:pt idx="14">
                  <c:v>700.48880745566407</c:v>
                </c:pt>
                <c:pt idx="15">
                  <c:v>639.56180345572341</c:v>
                </c:pt>
                <c:pt idx="16">
                  <c:v>881.48356531049239</c:v>
                </c:pt>
                <c:pt idx="17">
                  <c:v>745.05694651080421</c:v>
                </c:pt>
                <c:pt idx="18">
                  <c:v>786.14464576691432</c:v>
                </c:pt>
                <c:pt idx="19">
                  <c:v>592.86315539112024</c:v>
                </c:pt>
                <c:pt idx="20">
                  <c:v>772.43352264685052</c:v>
                </c:pt>
                <c:pt idx="21">
                  <c:v>933.1667875920084</c:v>
                </c:pt>
                <c:pt idx="22">
                  <c:v>923.86018673647436</c:v>
                </c:pt>
                <c:pt idx="23">
                  <c:v>1048.2835479404639</c:v>
                </c:pt>
                <c:pt idx="24">
                  <c:v>975.0223723878039</c:v>
                </c:pt>
                <c:pt idx="25">
                  <c:v>1031.0894097577614</c:v>
                </c:pt>
                <c:pt idx="26">
                  <c:v>1117.8412128966224</c:v>
                </c:pt>
                <c:pt idx="27">
                  <c:v>869.05101626016244</c:v>
                </c:pt>
                <c:pt idx="28">
                  <c:v>915.53223900637784</c:v>
                </c:pt>
                <c:pt idx="29">
                  <c:v>877.33740722166476</c:v>
                </c:pt>
                <c:pt idx="30">
                  <c:v>657.53364061456261</c:v>
                </c:pt>
                <c:pt idx="31">
                  <c:v>1112.0929791459771</c:v>
                </c:pt>
                <c:pt idx="32">
                  <c:v>1030.3993145956606</c:v>
                </c:pt>
                <c:pt idx="33">
                  <c:v>1297.5372765818654</c:v>
                </c:pt>
                <c:pt idx="34">
                  <c:v>845.32433628318529</c:v>
                </c:pt>
                <c:pt idx="35">
                  <c:v>1370.4547745571656</c:v>
                </c:pt>
                <c:pt idx="36">
                  <c:v>1188.4761424474186</c:v>
                </c:pt>
                <c:pt idx="37">
                  <c:v>972.62918807484914</c:v>
                </c:pt>
                <c:pt idx="38">
                  <c:v>1016.8586989553659</c:v>
                </c:pt>
                <c:pt idx="39">
                  <c:v>1049.4263670411981</c:v>
                </c:pt>
                <c:pt idx="40">
                  <c:v>1226.6808271832715</c:v>
                </c:pt>
                <c:pt idx="41">
                  <c:v>1276.8868461070556</c:v>
                </c:pt>
                <c:pt idx="42">
                  <c:v>1644.134298489053</c:v>
                </c:pt>
                <c:pt idx="43">
                  <c:v>1120.4938807114384</c:v>
                </c:pt>
                <c:pt idx="44">
                  <c:v>1138.0641842025007</c:v>
                </c:pt>
                <c:pt idx="45">
                  <c:v>949.84082272727244</c:v>
                </c:pt>
                <c:pt idx="46">
                  <c:v>1239.3964522506083</c:v>
                </c:pt>
                <c:pt idx="47">
                  <c:v>1281.9543618618616</c:v>
                </c:pt>
                <c:pt idx="48">
                  <c:v>1438.4212565445025</c:v>
                </c:pt>
                <c:pt idx="49">
                  <c:v>1104.151371326803</c:v>
                </c:pt>
                <c:pt idx="50">
                  <c:v>1165.5492195412567</c:v>
                </c:pt>
                <c:pt idx="51">
                  <c:v>1026.4759902309058</c:v>
                </c:pt>
                <c:pt idx="52">
                  <c:v>989.98445233866187</c:v>
                </c:pt>
                <c:pt idx="53">
                  <c:v>947.03374338624315</c:v>
                </c:pt>
                <c:pt idx="54">
                  <c:v>875.78284808259559</c:v>
                </c:pt>
                <c:pt idx="55">
                  <c:v>943.51237134502981</c:v>
                </c:pt>
                <c:pt idx="56">
                  <c:v>953.73628847845191</c:v>
                </c:pt>
                <c:pt idx="57">
                  <c:v>981.19750434027753</c:v>
                </c:pt>
                <c:pt idx="58">
                  <c:v>1096.1284868230525</c:v>
                </c:pt>
                <c:pt idx="59">
                  <c:v>1040.1769166666661</c:v>
                </c:pt>
                <c:pt idx="60">
                  <c:v>1231.6984791309319</c:v>
                </c:pt>
                <c:pt idx="61">
                  <c:v>1043.2187955894824</c:v>
                </c:pt>
                <c:pt idx="62">
                  <c:v>1106.3340537084398</c:v>
                </c:pt>
                <c:pt idx="63">
                  <c:v>1052.432745098039</c:v>
                </c:pt>
                <c:pt idx="64">
                  <c:v>1409.3717815602834</c:v>
                </c:pt>
                <c:pt idx="65">
                  <c:v>1335.1165694561846</c:v>
                </c:pt>
                <c:pt idx="66">
                  <c:v>874.72058290888549</c:v>
                </c:pt>
                <c:pt idx="67">
                  <c:v>1144.316833609271</c:v>
                </c:pt>
                <c:pt idx="68">
                  <c:v>1198.5450205086136</c:v>
                </c:pt>
                <c:pt idx="69">
                  <c:v>1433.9432704918033</c:v>
                </c:pt>
                <c:pt idx="70">
                  <c:v>1830.9147644191705</c:v>
                </c:pt>
                <c:pt idx="71">
                  <c:v>1410.4341085271317</c:v>
                </c:pt>
                <c:pt idx="72">
                  <c:v>1273.5007026666665</c:v>
                </c:pt>
                <c:pt idx="73">
                  <c:v>1300.1829315831342</c:v>
                </c:pt>
                <c:pt idx="74">
                  <c:v>1545.3560778841038</c:v>
                </c:pt>
                <c:pt idx="75">
                  <c:v>1427.8305766192736</c:v>
                </c:pt>
                <c:pt idx="76">
                  <c:v>1942.1003690753689</c:v>
                </c:pt>
                <c:pt idx="77">
                  <c:v>1625.2572291181789</c:v>
                </c:pt>
                <c:pt idx="78">
                  <c:v>1525.9451304121019</c:v>
                </c:pt>
                <c:pt idx="79">
                  <c:v>1540.6641912144712</c:v>
                </c:pt>
                <c:pt idx="80">
                  <c:v>1978.1852931387607</c:v>
                </c:pt>
                <c:pt idx="81">
                  <c:v>1774.7836921119592</c:v>
                </c:pt>
                <c:pt idx="82">
                  <c:v>1506.1398016486341</c:v>
                </c:pt>
                <c:pt idx="83">
                  <c:v>1495.1438081716512</c:v>
                </c:pt>
                <c:pt idx="84">
                  <c:v>1324.316891095651</c:v>
                </c:pt>
                <c:pt idx="85">
                  <c:v>1194.779961147078</c:v>
                </c:pt>
                <c:pt idx="86">
                  <c:v>1320.3458743488168</c:v>
                </c:pt>
                <c:pt idx="87">
                  <c:v>1230.2166885406734</c:v>
                </c:pt>
                <c:pt idx="88">
                  <c:v>1308.9442399423406</c:v>
                </c:pt>
                <c:pt idx="89">
                  <c:v>1279.9290532426726</c:v>
                </c:pt>
                <c:pt idx="90">
                  <c:v>1495.1895603895471</c:v>
                </c:pt>
                <c:pt idx="91">
                  <c:v>1358.9504169131756</c:v>
                </c:pt>
                <c:pt idx="92">
                  <c:v>1657.9182010039053</c:v>
                </c:pt>
                <c:pt idx="93">
                  <c:v>1285.2545664427782</c:v>
                </c:pt>
                <c:pt idx="94">
                  <c:v>1394.3372490251329</c:v>
                </c:pt>
                <c:pt idx="95">
                  <c:v>1216.9873623784506</c:v>
                </c:pt>
                <c:pt idx="96">
                  <c:v>1402.1016529171804</c:v>
                </c:pt>
                <c:pt idx="97">
                  <c:v>1310.6594409597487</c:v>
                </c:pt>
                <c:pt idx="98">
                  <c:v>1455.5516910284111</c:v>
                </c:pt>
                <c:pt idx="99">
                  <c:v>1525.1381074181288</c:v>
                </c:pt>
                <c:pt idx="100">
                  <c:v>1346.4013655378233</c:v>
                </c:pt>
                <c:pt idx="101">
                  <c:v>1041.827208726377</c:v>
                </c:pt>
                <c:pt idx="102">
                  <c:v>1557.3865356939077</c:v>
                </c:pt>
                <c:pt idx="103">
                  <c:v>1263.1159251707695</c:v>
                </c:pt>
                <c:pt idx="104">
                  <c:v>1342.687407365117</c:v>
                </c:pt>
                <c:pt idx="105" formatCode="General">
                  <c:v>1729.9878222483173</c:v>
                </c:pt>
                <c:pt idx="106" formatCode="General">
                  <c:v>981.98961303462295</c:v>
                </c:pt>
                <c:pt idx="107" formatCode="General">
                  <c:v>1231.15975965858</c:v>
                </c:pt>
                <c:pt idx="108" formatCode="General">
                  <c:v>1278.2000222667557</c:v>
                </c:pt>
                <c:pt idx="109" formatCode="General">
                  <c:v>1479.9864078471712</c:v>
                </c:pt>
                <c:pt idx="110" formatCode="General">
                  <c:v>1814.3346381369879</c:v>
                </c:pt>
                <c:pt idx="111" formatCode="General">
                  <c:v>1433.3780656118029</c:v>
                </c:pt>
                <c:pt idx="112" formatCode="General">
                  <c:v>1361.9714628308177</c:v>
                </c:pt>
              </c:numCache>
            </c:numRef>
          </c:val>
          <c:smooth val="0"/>
          <c:extLst>
            <c:ext xmlns:c16="http://schemas.microsoft.com/office/drawing/2014/chart" uri="{C3380CC4-5D6E-409C-BE32-E72D297353CC}">
              <c16:uniqueId val="{00000000-E0D7-4248-80EF-997285299449}"/>
            </c:ext>
          </c:extLst>
        </c:ser>
        <c:dLbls>
          <c:showLegendKey val="0"/>
          <c:showVal val="0"/>
          <c:showCatName val="0"/>
          <c:showSerName val="0"/>
          <c:showPercent val="0"/>
          <c:showBubbleSize val="0"/>
        </c:dLbls>
        <c:marker val="1"/>
        <c:smooth val="0"/>
        <c:axId val="270702464"/>
        <c:axId val="270704000"/>
      </c:lineChart>
      <c:lineChart>
        <c:grouping val="standard"/>
        <c:varyColors val="0"/>
        <c:ser>
          <c:idx val="1"/>
          <c:order val="1"/>
          <c:tx>
            <c:strRef>
              <c:f>'Tab2'!$L$70</c:f>
              <c:strCache>
                <c:ptCount val="1"/>
                <c:pt idx="0">
                  <c:v>Antall</c:v>
                </c:pt>
              </c:strCache>
            </c:strRef>
          </c:tx>
          <c:spPr>
            <a:ln w="25400"/>
          </c:spPr>
          <c:marker>
            <c:symbol val="none"/>
          </c:marker>
          <c:cat>
            <c:numRef>
              <c:f>'Tab2'!$K$103:$K$215</c:f>
              <c:numCache>
                <c:formatCode>General</c:formatCode>
                <c:ptCount val="113"/>
                <c:pt idx="0">
                  <c:v>1991</c:v>
                </c:pt>
                <c:pt idx="4">
                  <c:v>1992</c:v>
                </c:pt>
                <c:pt idx="8">
                  <c:v>1993</c:v>
                </c:pt>
                <c:pt idx="12">
                  <c:v>1994</c:v>
                </c:pt>
                <c:pt idx="16">
                  <c:v>1995</c:v>
                </c:pt>
                <c:pt idx="20">
                  <c:v>1996</c:v>
                </c:pt>
                <c:pt idx="24">
                  <c:v>1997</c:v>
                </c:pt>
                <c:pt idx="28">
                  <c:v>1998</c:v>
                </c:pt>
                <c:pt idx="32">
                  <c:v>1999</c:v>
                </c:pt>
                <c:pt idx="36">
                  <c:v>2000</c:v>
                </c:pt>
                <c:pt idx="40">
                  <c:v>2001</c:v>
                </c:pt>
                <c:pt idx="44">
                  <c:v>2002</c:v>
                </c:pt>
                <c:pt idx="48">
                  <c:v>2003</c:v>
                </c:pt>
                <c:pt idx="52">
                  <c:v>2004</c:v>
                </c:pt>
                <c:pt idx="56">
                  <c:v>2005</c:v>
                </c:pt>
                <c:pt idx="60">
                  <c:v>2006</c:v>
                </c:pt>
                <c:pt idx="64">
                  <c:v>2007</c:v>
                </c:pt>
                <c:pt idx="68">
                  <c:v>2008</c:v>
                </c:pt>
                <c:pt idx="72">
                  <c:v>2009</c:v>
                </c:pt>
                <c:pt idx="76">
                  <c:v>2010</c:v>
                </c:pt>
                <c:pt idx="80">
                  <c:v>2011</c:v>
                </c:pt>
                <c:pt idx="84">
                  <c:v>2012</c:v>
                </c:pt>
                <c:pt idx="88">
                  <c:v>2013</c:v>
                </c:pt>
                <c:pt idx="92">
                  <c:v>2014</c:v>
                </c:pt>
                <c:pt idx="96">
                  <c:v>2015</c:v>
                </c:pt>
                <c:pt idx="100">
                  <c:v>2016</c:v>
                </c:pt>
                <c:pt idx="104">
                  <c:v>2017</c:v>
                </c:pt>
                <c:pt idx="108">
                  <c:v>2018</c:v>
                </c:pt>
                <c:pt idx="112">
                  <c:v>2019</c:v>
                </c:pt>
              </c:numCache>
            </c:numRef>
          </c:cat>
          <c:val>
            <c:numRef>
              <c:f>'Tab2'!$O$103:$O$215</c:f>
              <c:numCache>
                <c:formatCode>#,##0</c:formatCode>
                <c:ptCount val="113"/>
                <c:pt idx="0">
                  <c:v>6727</c:v>
                </c:pt>
                <c:pt idx="1">
                  <c:v>5864</c:v>
                </c:pt>
                <c:pt idx="2">
                  <c:v>7951</c:v>
                </c:pt>
                <c:pt idx="3">
                  <c:v>13048</c:v>
                </c:pt>
                <c:pt idx="4">
                  <c:v>6509</c:v>
                </c:pt>
                <c:pt idx="5">
                  <c:v>5632</c:v>
                </c:pt>
                <c:pt idx="6">
                  <c:v>8642</c:v>
                </c:pt>
                <c:pt idx="7">
                  <c:v>7139</c:v>
                </c:pt>
                <c:pt idx="8">
                  <c:v>6982</c:v>
                </c:pt>
                <c:pt idx="9">
                  <c:v>6332</c:v>
                </c:pt>
                <c:pt idx="10">
                  <c:v>6675</c:v>
                </c:pt>
                <c:pt idx="11">
                  <c:v>6319</c:v>
                </c:pt>
                <c:pt idx="12">
                  <c:v>6291</c:v>
                </c:pt>
                <c:pt idx="13">
                  <c:v>5517</c:v>
                </c:pt>
                <c:pt idx="14">
                  <c:v>8952</c:v>
                </c:pt>
                <c:pt idx="15">
                  <c:v>8189</c:v>
                </c:pt>
                <c:pt idx="16">
                  <c:v>7699</c:v>
                </c:pt>
                <c:pt idx="17">
                  <c:v>5465</c:v>
                </c:pt>
                <c:pt idx="18">
                  <c:v>9139</c:v>
                </c:pt>
                <c:pt idx="19">
                  <c:v>7500</c:v>
                </c:pt>
                <c:pt idx="20">
                  <c:v>7239</c:v>
                </c:pt>
                <c:pt idx="21">
                  <c:v>6503</c:v>
                </c:pt>
                <c:pt idx="22">
                  <c:v>8934</c:v>
                </c:pt>
                <c:pt idx="23">
                  <c:v>7966</c:v>
                </c:pt>
                <c:pt idx="24">
                  <c:v>7574</c:v>
                </c:pt>
                <c:pt idx="25">
                  <c:v>7284</c:v>
                </c:pt>
                <c:pt idx="26">
                  <c:v>14581</c:v>
                </c:pt>
                <c:pt idx="27">
                  <c:v>9445</c:v>
                </c:pt>
                <c:pt idx="28">
                  <c:v>7614</c:v>
                </c:pt>
                <c:pt idx="29">
                  <c:v>6009</c:v>
                </c:pt>
                <c:pt idx="30">
                  <c:v>8328</c:v>
                </c:pt>
                <c:pt idx="31">
                  <c:v>7526</c:v>
                </c:pt>
                <c:pt idx="32">
                  <c:v>8863</c:v>
                </c:pt>
                <c:pt idx="33">
                  <c:v>5920</c:v>
                </c:pt>
                <c:pt idx="34">
                  <c:v>11181</c:v>
                </c:pt>
                <c:pt idx="35">
                  <c:v>9544</c:v>
                </c:pt>
                <c:pt idx="36">
                  <c:v>9154</c:v>
                </c:pt>
                <c:pt idx="37">
                  <c:v>10238</c:v>
                </c:pt>
                <c:pt idx="38">
                  <c:v>13877</c:v>
                </c:pt>
                <c:pt idx="39">
                  <c:v>9978</c:v>
                </c:pt>
                <c:pt idx="40">
                  <c:v>7776</c:v>
                </c:pt>
                <c:pt idx="41">
                  <c:v>5711</c:v>
                </c:pt>
                <c:pt idx="42">
                  <c:v>15359</c:v>
                </c:pt>
                <c:pt idx="43">
                  <c:v>9601</c:v>
                </c:pt>
                <c:pt idx="44">
                  <c:v>6856</c:v>
                </c:pt>
                <c:pt idx="45">
                  <c:v>9323</c:v>
                </c:pt>
                <c:pt idx="46">
                  <c:v>17422</c:v>
                </c:pt>
                <c:pt idx="47">
                  <c:v>8123</c:v>
                </c:pt>
                <c:pt idx="48">
                  <c:v>6823</c:v>
                </c:pt>
                <c:pt idx="49">
                  <c:v>5618</c:v>
                </c:pt>
                <c:pt idx="50">
                  <c:v>16056</c:v>
                </c:pt>
                <c:pt idx="51">
                  <c:v>7652</c:v>
                </c:pt>
                <c:pt idx="52">
                  <c:v>7033</c:v>
                </c:pt>
                <c:pt idx="53">
                  <c:v>6436</c:v>
                </c:pt>
                <c:pt idx="54">
                  <c:v>11805</c:v>
                </c:pt>
                <c:pt idx="55">
                  <c:v>10088</c:v>
                </c:pt>
                <c:pt idx="56">
                  <c:v>7287</c:v>
                </c:pt>
                <c:pt idx="57">
                  <c:v>6172</c:v>
                </c:pt>
                <c:pt idx="58">
                  <c:v>6734</c:v>
                </c:pt>
                <c:pt idx="59">
                  <c:v>8144</c:v>
                </c:pt>
                <c:pt idx="60">
                  <c:v>6106</c:v>
                </c:pt>
                <c:pt idx="61">
                  <c:v>5246</c:v>
                </c:pt>
                <c:pt idx="62">
                  <c:v>9450</c:v>
                </c:pt>
                <c:pt idx="63">
                  <c:v>10233</c:v>
                </c:pt>
                <c:pt idx="64">
                  <c:v>7737</c:v>
                </c:pt>
                <c:pt idx="65">
                  <c:v>5067</c:v>
                </c:pt>
                <c:pt idx="66">
                  <c:v>6417</c:v>
                </c:pt>
                <c:pt idx="67">
                  <c:v>5114</c:v>
                </c:pt>
                <c:pt idx="68">
                  <c:v>6274</c:v>
                </c:pt>
                <c:pt idx="69">
                  <c:v>5831</c:v>
                </c:pt>
                <c:pt idx="70">
                  <c:v>12252</c:v>
                </c:pt>
                <c:pt idx="71">
                  <c:v>7247</c:v>
                </c:pt>
                <c:pt idx="72">
                  <c:v>6194</c:v>
                </c:pt>
                <c:pt idx="73">
                  <c:v>5486</c:v>
                </c:pt>
                <c:pt idx="74">
                  <c:v>13278</c:v>
                </c:pt>
                <c:pt idx="75">
                  <c:v>6227</c:v>
                </c:pt>
                <c:pt idx="76">
                  <c:v>6690</c:v>
                </c:pt>
                <c:pt idx="77">
                  <c:v>5716</c:v>
                </c:pt>
                <c:pt idx="78">
                  <c:v>9089</c:v>
                </c:pt>
                <c:pt idx="79">
                  <c:v>5858</c:v>
                </c:pt>
                <c:pt idx="80">
                  <c:v>5959</c:v>
                </c:pt>
                <c:pt idx="81">
                  <c:v>7524</c:v>
                </c:pt>
                <c:pt idx="82">
                  <c:v>10171</c:v>
                </c:pt>
                <c:pt idx="83">
                  <c:v>8775.7956028314002</c:v>
                </c:pt>
                <c:pt idx="84">
                  <c:v>6822.44890070785</c:v>
                </c:pt>
                <c:pt idx="85">
                  <c:v>4838.55109929215</c:v>
                </c:pt>
                <c:pt idx="86" formatCode="0">
                  <c:v>6828.0536397386386</c:v>
                </c:pt>
                <c:pt idx="87" formatCode="0">
                  <c:v>5621.9463602613596</c:v>
                </c:pt>
                <c:pt idx="88" formatCode="0">
                  <c:v>5520.4451678348678</c:v>
                </c:pt>
                <c:pt idx="89" formatCode="0">
                  <c:v>6388.5548321651322</c:v>
                </c:pt>
                <c:pt idx="90" formatCode="0">
                  <c:v>11492.955434782609</c:v>
                </c:pt>
                <c:pt idx="91" formatCode="0">
                  <c:v>7745.0445652173912</c:v>
                </c:pt>
                <c:pt idx="92" formatCode="0">
                  <c:v>7032</c:v>
                </c:pt>
                <c:pt idx="93" formatCode="0">
                  <c:v>6228</c:v>
                </c:pt>
                <c:pt idx="94" formatCode="0">
                  <c:v>20407</c:v>
                </c:pt>
                <c:pt idx="95" formatCode="0">
                  <c:v>12863</c:v>
                </c:pt>
                <c:pt idx="96" formatCode="0">
                  <c:v>9848</c:v>
                </c:pt>
                <c:pt idx="97" formatCode="0">
                  <c:v>5422.7168724637304</c:v>
                </c:pt>
                <c:pt idx="98" formatCode="0">
                  <c:v>8619.8584362319707</c:v>
                </c:pt>
                <c:pt idx="99" formatCode="0">
                  <c:v>7193.856491304301</c:v>
                </c:pt>
                <c:pt idx="100" formatCode="0">
                  <c:v>6682.5362000000005</c:v>
                </c:pt>
                <c:pt idx="101" formatCode="0">
                  <c:v>5385.3991579709982</c:v>
                </c:pt>
                <c:pt idx="102" formatCode="0">
                  <c:v>9666.7747891530034</c:v>
                </c:pt>
                <c:pt idx="103" formatCode="0">
                  <c:v>6575.4640743699983</c:v>
                </c:pt>
                <c:pt idx="104" formatCode="0">
                  <c:v>7124.2571060979999</c:v>
                </c:pt>
                <c:pt idx="105" formatCode="General">
                  <c:v>5007.3623026510004</c:v>
                </c:pt>
                <c:pt idx="106" formatCode="General">
                  <c:v>8892</c:v>
                </c:pt>
                <c:pt idx="107" formatCode="General">
                  <c:v>6366</c:v>
                </c:pt>
                <c:pt idx="108" formatCode="General">
                  <c:v>6317</c:v>
                </c:pt>
                <c:pt idx="109" formatCode="General">
                  <c:v>5869.5992710140017</c:v>
                </c:pt>
                <c:pt idx="110" formatCode="General">
                  <c:v>10333.380031159912</c:v>
                </c:pt>
                <c:pt idx="111" formatCode="General">
                  <c:v>7362.2217963768126</c:v>
                </c:pt>
                <c:pt idx="112" formatCode="General">
                  <c:v>6179.0660115942028</c:v>
                </c:pt>
              </c:numCache>
            </c:numRef>
          </c:val>
          <c:smooth val="0"/>
          <c:extLst>
            <c:ext xmlns:c16="http://schemas.microsoft.com/office/drawing/2014/chart" uri="{C3380CC4-5D6E-409C-BE32-E72D297353CC}">
              <c16:uniqueId val="{00000001-E0D7-4248-80EF-997285299449}"/>
            </c:ext>
          </c:extLst>
        </c:ser>
        <c:dLbls>
          <c:showLegendKey val="0"/>
          <c:showVal val="0"/>
          <c:showCatName val="0"/>
          <c:showSerName val="0"/>
          <c:showPercent val="0"/>
          <c:showBubbleSize val="0"/>
        </c:dLbls>
        <c:upDownBars>
          <c:gapWidth val="150"/>
          <c:upBars/>
          <c:downBars/>
        </c:upDownBars>
        <c:marker val="1"/>
        <c:smooth val="0"/>
        <c:axId val="270716288"/>
        <c:axId val="270714368"/>
      </c:lineChart>
      <c:catAx>
        <c:axId val="270702464"/>
        <c:scaling>
          <c:orientation val="minMax"/>
        </c:scaling>
        <c:delete val="0"/>
        <c:axPos val="b"/>
        <c:majorGridlines>
          <c:spPr>
            <a:ln>
              <a:solidFill>
                <a:srgbClr val="4F81BD">
                  <a:alpha val="25000"/>
                </a:srgbClr>
              </a:solidFill>
            </a:ln>
          </c:spPr>
        </c:majorGridlines>
        <c:numFmt formatCode="General" sourceLinked="1"/>
        <c:majorTickMark val="out"/>
        <c:minorTickMark val="out"/>
        <c:tickLblPos val="nextTo"/>
        <c:txPr>
          <a:bodyPr rot="-3000000" vert="horz"/>
          <a:lstStyle/>
          <a:p>
            <a:pPr>
              <a:defRPr/>
            </a:pPr>
            <a:endParaRPr lang="nb-NO"/>
          </a:p>
        </c:txPr>
        <c:crossAx val="270704000"/>
        <c:crosses val="autoZero"/>
        <c:auto val="1"/>
        <c:lblAlgn val="ctr"/>
        <c:lblOffset val="100"/>
        <c:tickLblSkip val="1"/>
        <c:tickMarkSkip val="4"/>
        <c:noMultiLvlLbl val="0"/>
      </c:catAx>
      <c:valAx>
        <c:axId val="270704000"/>
        <c:scaling>
          <c:orientation val="minMax"/>
        </c:scaling>
        <c:delete val="0"/>
        <c:axPos val="l"/>
        <c:majorGridlines/>
        <c:title>
          <c:tx>
            <c:rich>
              <a:bodyPr rot="-5400000" vert="horz" anchor="ctr" anchorCtr="1"/>
              <a:lstStyle/>
              <a:p>
                <a:pPr>
                  <a:defRPr/>
                </a:pPr>
                <a:r>
                  <a:rPr lang="en-US"/>
                  <a:t>KPI-justert erstatning (millioner kroner)</a:t>
                </a:r>
              </a:p>
            </c:rich>
          </c:tx>
          <c:layout>
            <c:manualLayout>
              <c:xMode val="edge"/>
              <c:yMode val="edge"/>
              <c:x val="1.5657612176468372E-2"/>
              <c:y val="0.13385355900279908"/>
            </c:manualLayout>
          </c:layout>
          <c:overlay val="0"/>
        </c:title>
        <c:numFmt formatCode="#,##0" sourceLinked="0"/>
        <c:majorTickMark val="out"/>
        <c:minorTickMark val="none"/>
        <c:tickLblPos val="nextTo"/>
        <c:crossAx val="270702464"/>
        <c:crosses val="autoZero"/>
        <c:crossBetween val="between"/>
      </c:valAx>
      <c:valAx>
        <c:axId val="270714368"/>
        <c:scaling>
          <c:orientation val="minMax"/>
        </c:scaling>
        <c:delete val="0"/>
        <c:axPos val="r"/>
        <c:title>
          <c:tx>
            <c:rich>
              <a:bodyPr rot="-5400000" vert="horz"/>
              <a:lstStyle/>
              <a:p>
                <a:pPr>
                  <a:defRPr/>
                </a:pPr>
                <a:r>
                  <a:rPr lang="en-US"/>
                  <a:t>Antall meldte brannskader</a:t>
                </a:r>
              </a:p>
            </c:rich>
          </c:tx>
          <c:overlay val="0"/>
        </c:title>
        <c:numFmt formatCode="#,##0" sourceLinked="1"/>
        <c:majorTickMark val="out"/>
        <c:minorTickMark val="none"/>
        <c:tickLblPos val="nextTo"/>
        <c:crossAx val="270716288"/>
        <c:crosses val="max"/>
        <c:crossBetween val="between"/>
      </c:valAx>
      <c:catAx>
        <c:axId val="270716288"/>
        <c:scaling>
          <c:orientation val="minMax"/>
        </c:scaling>
        <c:delete val="1"/>
        <c:axPos val="b"/>
        <c:numFmt formatCode="General" sourceLinked="1"/>
        <c:majorTickMark val="out"/>
        <c:minorTickMark val="none"/>
        <c:tickLblPos val="none"/>
        <c:crossAx val="270714368"/>
        <c:crosses val="autoZero"/>
        <c:auto val="0"/>
        <c:lblAlgn val="ctr"/>
        <c:lblOffset val="100"/>
        <c:noMultiLvlLbl val="0"/>
      </c:catAx>
    </c:plotArea>
    <c:legend>
      <c:legendPos val="r"/>
      <c:layout>
        <c:manualLayout>
          <c:xMode val="edge"/>
          <c:yMode val="edge"/>
          <c:x val="0.17254097125419141"/>
          <c:y val="8.1243623616814989E-2"/>
          <c:w val="0.2317650782352112"/>
          <c:h val="0.10148035666735998"/>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684407</xdr:colOff>
      <xdr:row>53</xdr:row>
      <xdr:rowOff>64438</xdr:rowOff>
    </xdr:to>
    <xdr:pic>
      <xdr:nvPicPr>
        <xdr:cNvPr id="7" name="Picture 6">
          <a:extLst>
            <a:ext uri="{FF2B5EF4-FFF2-40B4-BE49-F238E27FC236}">
              <a16:creationId xmlns:a16="http://schemas.microsoft.com/office/drawing/2014/main" id="{D1CD7E87-AB5E-4EED-B286-874C6E904D48}"/>
            </a:ext>
          </a:extLst>
        </xdr:cNvPr>
        <xdr:cNvPicPr>
          <a:picLocks noChangeAspect="1"/>
        </xdr:cNvPicPr>
      </xdr:nvPicPr>
      <xdr:blipFill>
        <a:blip xmlns:r="http://schemas.openxmlformats.org/officeDocument/2006/relationships" r:embed="rId1"/>
        <a:stretch>
          <a:fillRect/>
        </a:stretch>
      </xdr:blipFill>
      <xdr:spPr>
        <a:xfrm>
          <a:off x="0" y="0"/>
          <a:ext cx="6535478" cy="11235902"/>
        </a:xfrm>
        <a:prstGeom prst="rect">
          <a:avLst/>
        </a:prstGeom>
      </xdr:spPr>
    </xdr:pic>
    <xdr:clientData/>
  </xdr:twoCellAnchor>
  <xdr:twoCellAnchor>
    <xdr:from>
      <xdr:col>0</xdr:col>
      <xdr:colOff>695325</xdr:colOff>
      <xdr:row>41</xdr:row>
      <xdr:rowOff>123825</xdr:rowOff>
    </xdr:from>
    <xdr:to>
      <xdr:col>4</xdr:col>
      <xdr:colOff>815992</xdr:colOff>
      <xdr:row>44</xdr:row>
      <xdr:rowOff>85725</xdr:rowOff>
    </xdr:to>
    <xdr:sp macro="" textlink="">
      <xdr:nvSpPr>
        <xdr:cNvPr id="3" name="Text Box 6">
          <a:extLst>
            <a:ext uri="{FF2B5EF4-FFF2-40B4-BE49-F238E27FC236}">
              <a16:creationId xmlns:a16="http://schemas.microsoft.com/office/drawing/2014/main" id="{00000000-0008-0000-0000-000003000000}"/>
            </a:ext>
          </a:extLst>
        </xdr:cNvPr>
        <xdr:cNvSpPr txBox="1"/>
      </xdr:nvSpPr>
      <xdr:spPr>
        <a:xfrm>
          <a:off x="695325" y="9172575"/>
          <a:ext cx="3492517" cy="523875"/>
        </a:xfrm>
        <a:prstGeom prst="rect">
          <a:avLst/>
        </a:prstGeom>
        <a:noFill/>
        <a:ln>
          <a:noFill/>
        </a:ln>
        <a:effectLst/>
        <a:extLst>
          <a:ext uri="{C572A759-6A51-4108-AA02-DFA0A04FC94B}">
            <ma14:wrappingTextBoxFlag xmlns:ma14="http://schemas.microsoft.com/office/mac/drawingml/2011/main" xmlns=""/>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nb-NO" sz="1600" b="1">
              <a:effectLst/>
              <a:latin typeface="Arial"/>
              <a:ea typeface="ＭＳ 明朝"/>
              <a:cs typeface="Times New Roman"/>
            </a:rPr>
            <a:t>1. KVARTAL 2019 </a:t>
          </a:r>
          <a:r>
            <a:rPr lang="nb-NO" sz="1000">
              <a:effectLst/>
              <a:latin typeface="Arial"/>
              <a:ea typeface="ＭＳ 明朝"/>
              <a:cs typeface="Times New Roman"/>
            </a:rPr>
            <a:t>(6. juni 2019)</a:t>
          </a:r>
          <a:endParaRPr lang="nb-NO" sz="1200">
            <a:effectLst/>
            <a:ea typeface="ＭＳ 明朝"/>
            <a:cs typeface="Times New Roman"/>
          </a:endParaRPr>
        </a:p>
      </xdr:txBody>
    </xdr:sp>
    <xdr:clientData/>
  </xdr:twoCellAnchor>
  <xdr:twoCellAnchor>
    <xdr:from>
      <xdr:col>0</xdr:col>
      <xdr:colOff>666750</xdr:colOff>
      <xdr:row>33</xdr:row>
      <xdr:rowOff>0</xdr:rowOff>
    </xdr:from>
    <xdr:to>
      <xdr:col>7</xdr:col>
      <xdr:colOff>466725</xdr:colOff>
      <xdr:row>38</xdr:row>
      <xdr:rowOff>101600</xdr:rowOff>
    </xdr:to>
    <xdr:sp macro="" textlink="">
      <xdr:nvSpPr>
        <xdr:cNvPr id="4" name="Text Box 4">
          <a:extLst>
            <a:ext uri="{FF2B5EF4-FFF2-40B4-BE49-F238E27FC236}">
              <a16:creationId xmlns:a16="http://schemas.microsoft.com/office/drawing/2014/main" id="{00000000-0008-0000-0000-000004000000}"/>
            </a:ext>
          </a:extLst>
        </xdr:cNvPr>
        <xdr:cNvSpPr txBox="1"/>
      </xdr:nvSpPr>
      <xdr:spPr>
        <a:xfrm>
          <a:off x="666750" y="7353300"/>
          <a:ext cx="5638800" cy="1168400"/>
        </a:xfrm>
        <a:prstGeom prst="rect">
          <a:avLst/>
        </a:prstGeom>
        <a:noFill/>
        <a:ln>
          <a:noFill/>
        </a:ln>
        <a:effectLst/>
        <a:extLst>
          <a:ext uri="{C572A759-6A51-4108-AA02-DFA0A04FC94B}">
            <ma14:wrappingTextBoxFlag xmlns:ma14="http://schemas.microsoft.com/office/mac/drawingml/2011/main" xmlns=""/>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nb-NO" sz="2800" b="1">
              <a:solidFill>
                <a:srgbClr val="54758C"/>
              </a:solidFill>
              <a:effectLst/>
              <a:latin typeface="Arial"/>
              <a:ea typeface="ＭＳ 明朝"/>
              <a:cs typeface="Times New Roman"/>
            </a:rPr>
            <a:t>SKADESTATISTIKK	</a:t>
          </a:r>
          <a:endParaRPr lang="nb-NO" sz="1200">
            <a:effectLst/>
            <a:ea typeface="ＭＳ 明朝"/>
            <a:cs typeface="Times New Roman"/>
          </a:endParaRPr>
        </a:p>
        <a:p>
          <a:pPr>
            <a:lnSpc>
              <a:spcPct val="120000"/>
            </a:lnSpc>
            <a:spcAft>
              <a:spcPts val="0"/>
            </a:spcAft>
          </a:pPr>
          <a:r>
            <a:rPr lang="en-GB" sz="2600">
              <a:solidFill>
                <a:srgbClr val="54758C"/>
              </a:solidFill>
              <a:effectLst/>
              <a:latin typeface="Arial"/>
              <a:ea typeface="ＭＳ 明朝"/>
              <a:cs typeface="MinionPro-Regular"/>
            </a:rPr>
            <a:t>landbasert forsikring</a:t>
          </a:r>
          <a:endParaRPr lang="nb-NO" sz="1200">
            <a:solidFill>
              <a:srgbClr val="000000"/>
            </a:solidFill>
            <a:effectLst/>
            <a:latin typeface="MinionPro-Regular"/>
            <a:ea typeface="ＭＳ 明朝"/>
            <a:cs typeface="MinionPro-Regular"/>
          </a:endParaRPr>
        </a:p>
        <a:p>
          <a:pPr>
            <a:spcAft>
              <a:spcPts val="0"/>
            </a:spcAft>
          </a:pPr>
          <a:r>
            <a:rPr lang="nb-NO" sz="1200">
              <a:effectLst/>
              <a:ea typeface="ＭＳ 明朝"/>
              <a:cs typeface="Times New Roman"/>
            </a:rPr>
            <a:t> </a:t>
          </a:r>
        </a:p>
      </xdr:txBody>
    </xdr:sp>
    <xdr:clientData/>
  </xdr:twoCellAnchor>
  <xdr:twoCellAnchor>
    <xdr:from>
      <xdr:col>0</xdr:col>
      <xdr:colOff>654050</xdr:colOff>
      <xdr:row>37</xdr:row>
      <xdr:rowOff>101600</xdr:rowOff>
    </xdr:from>
    <xdr:to>
      <xdr:col>7</xdr:col>
      <xdr:colOff>295303</xdr:colOff>
      <xdr:row>39</xdr:row>
      <xdr:rowOff>85809</xdr:rowOff>
    </xdr:to>
    <xdr:sp macro="" textlink="">
      <xdr:nvSpPr>
        <xdr:cNvPr id="5" name="Text Box 5">
          <a:extLst>
            <a:ext uri="{FF2B5EF4-FFF2-40B4-BE49-F238E27FC236}">
              <a16:creationId xmlns:a16="http://schemas.microsoft.com/office/drawing/2014/main" id="{00000000-0008-0000-0000-000005000000}"/>
            </a:ext>
          </a:extLst>
        </xdr:cNvPr>
        <xdr:cNvSpPr txBox="1"/>
      </xdr:nvSpPr>
      <xdr:spPr>
        <a:xfrm>
          <a:off x="654050" y="8359775"/>
          <a:ext cx="5480078" cy="374734"/>
        </a:xfrm>
        <a:prstGeom prst="rect">
          <a:avLst/>
        </a:prstGeom>
        <a:noFill/>
        <a:ln>
          <a:noFill/>
        </a:ln>
        <a:effectLst/>
        <a:extLst>
          <a:ext uri="{C572A759-6A51-4108-AA02-DFA0A04FC94B}">
            <ma14:wrappingTextBoxFlag xmlns:ma14="http://schemas.microsoft.com/office/mac/drawingml/2011/main" xmlns=""/>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20000"/>
            </a:lnSpc>
            <a:spcAft>
              <a:spcPts val="0"/>
            </a:spcAft>
          </a:pPr>
          <a:r>
            <a:rPr lang="nb-NO" sz="1400">
              <a:solidFill>
                <a:srgbClr val="000000"/>
              </a:solidFill>
              <a:effectLst/>
              <a:latin typeface="Arial"/>
              <a:ea typeface="ＭＳ 明朝"/>
              <a:cs typeface="MinionPro-Regular"/>
            </a:rPr>
            <a:t>Statistikk over antall meldte skader og totalt anslåtte erstatninger</a:t>
          </a:r>
          <a:endParaRPr lang="nb-NO" sz="1200">
            <a:solidFill>
              <a:srgbClr val="000000"/>
            </a:solidFill>
            <a:effectLst/>
            <a:latin typeface="MinionPro-Regular"/>
            <a:ea typeface="ＭＳ 明朝"/>
            <a:cs typeface="MinionPro-Regular"/>
          </a:endParaRPr>
        </a:p>
        <a:p>
          <a:pPr>
            <a:spcAft>
              <a:spcPts val="0"/>
            </a:spcAft>
          </a:pPr>
          <a:r>
            <a:rPr lang="nb-NO" sz="1200">
              <a:effectLst/>
              <a:ea typeface="ＭＳ 明朝"/>
              <a:cs typeface="Times New Roman"/>
            </a:rPr>
            <a:t> </a:t>
          </a:r>
        </a:p>
      </xdr:txBody>
    </xdr:sp>
    <xdr:clientData/>
  </xdr:twoCellAnchor>
  <xdr:twoCellAnchor>
    <xdr:from>
      <xdr:col>0</xdr:col>
      <xdr:colOff>108858</xdr:colOff>
      <xdr:row>4</xdr:row>
      <xdr:rowOff>123825</xdr:rowOff>
    </xdr:from>
    <xdr:to>
      <xdr:col>2</xdr:col>
      <xdr:colOff>346333</xdr:colOff>
      <xdr:row>7</xdr:row>
      <xdr:rowOff>149678</xdr:rowOff>
    </xdr:to>
    <xdr:sp macro="" textlink="">
      <xdr:nvSpPr>
        <xdr:cNvPr id="6" name="Text Box 3">
          <a:extLst>
            <a:ext uri="{FF2B5EF4-FFF2-40B4-BE49-F238E27FC236}">
              <a16:creationId xmlns:a16="http://schemas.microsoft.com/office/drawing/2014/main" id="{00000000-0008-0000-0000-000006000000}"/>
            </a:ext>
          </a:extLst>
        </xdr:cNvPr>
        <xdr:cNvSpPr txBox="1"/>
      </xdr:nvSpPr>
      <xdr:spPr>
        <a:xfrm>
          <a:off x="108858" y="771525"/>
          <a:ext cx="2085325" cy="644978"/>
        </a:xfrm>
        <a:prstGeom prst="rect">
          <a:avLst/>
        </a:prstGeom>
        <a:noFill/>
        <a:ln>
          <a:noFill/>
        </a:ln>
        <a:effectLst/>
        <a:extLst>
          <a:ext uri="{C572A759-6A51-4108-AA02-DFA0A04FC94B}">
            <ma14:wrappingTextBoxFlag xmlns:ma14="http://schemas.microsoft.com/office/mac/drawingml/2011/main" xmlns=""/>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ct val="120000"/>
            </a:lnSpc>
            <a:spcAft>
              <a:spcPts val="0"/>
            </a:spcAft>
          </a:pPr>
          <a:r>
            <a:rPr lang="nb-NO" sz="1400" cap="all">
              <a:ln w="0" cap="flat" cmpd="sng" algn="ctr">
                <a:noFill/>
                <a:prstDash val="solid"/>
                <a:round/>
              </a:ln>
              <a:solidFill>
                <a:schemeClr val="bg1"/>
              </a:solidFill>
              <a:effectLst/>
              <a:latin typeface="Arial"/>
              <a:ea typeface="ＭＳ 明朝"/>
              <a:cs typeface="Arial"/>
            </a:rPr>
            <a:t>SKADEFORSIKRING</a:t>
          </a:r>
          <a:endParaRPr lang="nb-NO" sz="1400">
            <a:ln w="0" cap="flat" cmpd="sng" algn="ctr">
              <a:noFill/>
              <a:prstDash val="solid"/>
              <a:round/>
            </a:ln>
            <a:solidFill>
              <a:schemeClr val="bg1"/>
            </a:solidFill>
            <a:effectLst/>
            <a:latin typeface="Arial"/>
            <a:ea typeface="ＭＳ 明朝"/>
            <a:cs typeface="Arial"/>
          </a:endParaRPr>
        </a:p>
        <a:p>
          <a:pPr>
            <a:spcAft>
              <a:spcPts val="0"/>
            </a:spcAft>
          </a:pPr>
          <a:r>
            <a:rPr lang="nb-NO" sz="1200">
              <a:effectLst/>
              <a:ea typeface="ＭＳ 明朝"/>
              <a:cs typeface="Times New Roman"/>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276225</xdr:colOff>
      <xdr:row>109</xdr:row>
      <xdr:rowOff>7908</xdr:rowOff>
    </xdr:from>
    <xdr:to>
      <xdr:col>7</xdr:col>
      <xdr:colOff>342900</xdr:colOff>
      <xdr:row>120</xdr:row>
      <xdr:rowOff>95249</xdr:rowOff>
    </xdr:to>
    <xdr:sp macro="" textlink="">
      <xdr:nvSpPr>
        <xdr:cNvPr id="3310" name="Text Box 4">
          <a:extLst>
            <a:ext uri="{FF2B5EF4-FFF2-40B4-BE49-F238E27FC236}">
              <a16:creationId xmlns:a16="http://schemas.microsoft.com/office/drawing/2014/main" id="{00000000-0008-0000-0100-0000EE0C0000}"/>
            </a:ext>
          </a:extLst>
        </xdr:cNvPr>
        <xdr:cNvSpPr txBox="1">
          <a:spLocks noChangeArrowheads="1"/>
        </xdr:cNvSpPr>
      </xdr:nvSpPr>
      <xdr:spPr bwMode="auto">
        <a:xfrm>
          <a:off x="3552825" y="17657733"/>
          <a:ext cx="2524125" cy="1868516"/>
        </a:xfrm>
        <a:prstGeom prst="rect">
          <a:avLst/>
        </a:prstGeom>
        <a:solidFill>
          <a:srgbClr val="FFFFFF"/>
        </a:solidFill>
        <a:ln w="9525">
          <a:noFill/>
          <a:miter lim="800000"/>
          <a:headEnd/>
          <a:tailEnd/>
        </a:ln>
      </xdr:spPr>
      <xdr:txBody>
        <a:bodyPr/>
        <a:lstStyle/>
        <a:p>
          <a:endParaRPr lang="nb-NO" sz="1100" b="0" i="0" baseline="0">
            <a:solidFill>
              <a:schemeClr val="dk1"/>
            </a:solidFill>
            <a:latin typeface="Times New Roman" pitchFamily="18" charset="0"/>
            <a:ea typeface="+mn-ea"/>
            <a:cs typeface="Times New Roman" pitchFamily="18" charset="0"/>
          </a:endParaRPr>
        </a:p>
      </xdr:txBody>
    </xdr:sp>
    <xdr:clientData/>
  </xdr:twoCellAnchor>
  <xdr:twoCellAnchor>
    <xdr:from>
      <xdr:col>1</xdr:col>
      <xdr:colOff>38100</xdr:colOff>
      <xdr:row>91</xdr:row>
      <xdr:rowOff>38101</xdr:rowOff>
    </xdr:from>
    <xdr:to>
      <xdr:col>7</xdr:col>
      <xdr:colOff>457200</xdr:colOff>
      <xdr:row>102</xdr:row>
      <xdr:rowOff>142876</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90575" y="14773276"/>
          <a:ext cx="5400675" cy="1885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eaLnBrk="1" fontAlgn="auto" latinLnBrk="0" hangingPunct="1"/>
          <a:endParaRPr lang="en-US" sz="1200" b="1" i="0" baseline="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66675</xdr:colOff>
      <xdr:row>103</xdr:row>
      <xdr:rowOff>76201</xdr:rowOff>
    </xdr:from>
    <xdr:to>
      <xdr:col>7</xdr:col>
      <xdr:colOff>57150</xdr:colOff>
      <xdr:row>118</xdr:row>
      <xdr:rowOff>28576</xdr:rowOff>
    </xdr:to>
    <xdr:sp macro="" textlink="">
      <xdr:nvSpPr>
        <xdr:cNvPr id="3309" name="Text Box 3">
          <a:extLst>
            <a:ext uri="{FF2B5EF4-FFF2-40B4-BE49-F238E27FC236}">
              <a16:creationId xmlns:a16="http://schemas.microsoft.com/office/drawing/2014/main" id="{00000000-0008-0000-0100-0000ED0C0000}"/>
            </a:ext>
          </a:extLst>
        </xdr:cNvPr>
        <xdr:cNvSpPr txBox="1">
          <a:spLocks noChangeArrowheads="1"/>
        </xdr:cNvSpPr>
      </xdr:nvSpPr>
      <xdr:spPr bwMode="auto">
        <a:xfrm>
          <a:off x="819150" y="16754476"/>
          <a:ext cx="4972050" cy="2381250"/>
        </a:xfrm>
        <a:prstGeom prst="rect">
          <a:avLst/>
        </a:prstGeom>
        <a:solidFill>
          <a:srgbClr val="FFFFFF"/>
        </a:solidFill>
        <a:ln w="9525">
          <a:noFill/>
          <a:miter lim="800000"/>
          <a:headEnd/>
          <a:tailEnd/>
        </a:ln>
      </xdr:spPr>
      <xdr:txBody>
        <a:bodyPr/>
        <a:lstStyle/>
        <a:p>
          <a:pPr rtl="0"/>
          <a:endParaRPr lang="nb-NO" sz="1100" b="0" i="0" baseline="0">
            <a:latin typeface="Times New Roman" pitchFamily="18" charset="0"/>
            <a:ea typeface="+mn-ea"/>
            <a:cs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87951</xdr:colOff>
      <xdr:row>4</xdr:row>
      <xdr:rowOff>60960</xdr:rowOff>
    </xdr:from>
    <xdr:to>
      <xdr:col>1</xdr:col>
      <xdr:colOff>590550</xdr:colOff>
      <xdr:row>44</xdr:row>
      <xdr:rowOff>161913</xdr:rowOff>
    </xdr:to>
    <xdr:sp macro="" textlink="">
      <xdr:nvSpPr>
        <xdr:cNvPr id="5121" name="Text Box 1">
          <a:extLst>
            <a:ext uri="{FF2B5EF4-FFF2-40B4-BE49-F238E27FC236}">
              <a16:creationId xmlns:a16="http://schemas.microsoft.com/office/drawing/2014/main" id="{00000000-0008-0000-0200-000001140000}"/>
            </a:ext>
          </a:extLst>
        </xdr:cNvPr>
        <xdr:cNvSpPr txBox="1">
          <a:spLocks noChangeArrowheads="1"/>
        </xdr:cNvSpPr>
      </xdr:nvSpPr>
      <xdr:spPr bwMode="auto">
        <a:xfrm>
          <a:off x="87951" y="609600"/>
          <a:ext cx="2361879" cy="8025753"/>
        </a:xfrm>
        <a:prstGeom prst="rect">
          <a:avLst/>
        </a:prstGeom>
        <a:solidFill>
          <a:srgbClr val="FFFFFF"/>
        </a:solidFill>
        <a:ln w="9525">
          <a:noFill/>
          <a:miter lim="800000"/>
          <a:headEnd/>
          <a:tailEnd/>
        </a:ln>
      </xdr:spPr>
      <xdr:txBody>
        <a:bodyPr vertOverflow="clip" wrap="square" lIns="27432" tIns="27432"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HOVEDTREKK - Dyrere bilskader, store branner, mer reise- og båtskader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Merk at påsken i år var i slutten av april, mens i fjor var den i månedsskifte mars-april. Dette kan innvirke på sammenligning av skadeutviklingen fra i fjor til i år.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Erstatningene for landbasert forsikring totalt hittil i år ble på 11,4 milliarder kr, mot 10,6 milliarder i fjor til samme tid. Økningen er størst på motorkjøretøy og brannskader på næringsbygg.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Porteføljen vokste mye på behandlingsforsikring, som nå gjenspeiler seg i erstatningsutviklingen hittil i år.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Også på reiseforsikring økte erstatningene mye fra i fjor, men her kan «påskeeffekten» innvirke, ved at en del påskeskader for 1.kvartal i fjor først ble meldt i april, mens det i år har vært tre «fulle» måneder. Antall reiseskader økte med 6 prosent fra i fjor, mens erstatningene økte med hele 16 prosent, og spesielt økte reisesyke, ulykke og avbestilling.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endParaRPr>
        </a:p>
        <a:p>
          <a:pPr rtl="0"/>
          <a:endParaRPr lang="nb-NO" sz="1100" b="0" i="0" baseline="0">
            <a:latin typeface="Times New Roman" pitchFamily="18" charset="0"/>
            <a:ea typeface="+mn-ea"/>
            <a:cs typeface="Times New Roman" pitchFamily="18" charset="0"/>
          </a:endParaRPr>
        </a:p>
      </xdr:txBody>
    </xdr:sp>
    <xdr:clientData/>
  </xdr:twoCellAnchor>
  <xdr:twoCellAnchor>
    <xdr:from>
      <xdr:col>2</xdr:col>
      <xdr:colOff>400050</xdr:colOff>
      <xdr:row>4</xdr:row>
      <xdr:rowOff>59851</xdr:rowOff>
    </xdr:from>
    <xdr:to>
      <xdr:col>6</xdr:col>
      <xdr:colOff>395305</xdr:colOff>
      <xdr:row>44</xdr:row>
      <xdr:rowOff>161925</xdr:rowOff>
    </xdr:to>
    <xdr:sp macro="" textlink="">
      <xdr:nvSpPr>
        <xdr:cNvPr id="5122" name="Text Box 2">
          <a:extLst>
            <a:ext uri="{FF2B5EF4-FFF2-40B4-BE49-F238E27FC236}">
              <a16:creationId xmlns:a16="http://schemas.microsoft.com/office/drawing/2014/main" id="{00000000-0008-0000-0200-000002140000}"/>
            </a:ext>
          </a:extLst>
        </xdr:cNvPr>
        <xdr:cNvSpPr txBox="1">
          <a:spLocks noChangeArrowheads="1"/>
        </xdr:cNvSpPr>
      </xdr:nvSpPr>
      <xdr:spPr bwMode="auto">
        <a:xfrm>
          <a:off x="2990850" y="608491"/>
          <a:ext cx="2525095" cy="8026874"/>
        </a:xfrm>
        <a:prstGeom prst="rect">
          <a:avLst/>
        </a:prstGeom>
        <a:solidFill>
          <a:srgbClr val="FFFFFF"/>
        </a:solidFill>
        <a:ln w="9525">
          <a:noFill/>
          <a:miter lim="800000"/>
          <a:headEnd/>
          <a:tailEnd/>
        </a:ln>
      </xdr:spPr>
      <xdr:txBody>
        <a:bodyPr vertOverflow="clip" wrap="square" lIns="27432" tIns="27432" rIns="0" bIns="0" anchor="t" upright="1"/>
        <a:lstStyle/>
        <a:p>
          <a:pPr rtl="0" eaLnBrk="1" fontAlgn="auto" latinLnBrk="0" hangingPunct="1"/>
          <a:r>
            <a:rPr lang="en-US" sz="1100" b="0" i="0" baseline="0">
              <a:effectLst/>
              <a:latin typeface="Times New Roman" panose="02020603050405020304" pitchFamily="18" charset="0"/>
              <a:ea typeface="+mn-ea"/>
              <a:cs typeface="Times New Roman" panose="02020603050405020304" pitchFamily="18" charset="0"/>
            </a:rPr>
            <a:t>I januar og februar var det en del stormskader i Nord-Norge som ga noe mer båtskader enn i fjor. Ikke siden 1.kvartal 2015 har det vært mer storm-relaterte båtskader – den gang herjet stormen «Nina» i januar.</a:t>
          </a:r>
          <a:endParaRPr lang="nb-NO">
            <a:effectLst/>
            <a:latin typeface="Times New Roman" panose="02020603050405020304" pitchFamily="18" charset="0"/>
            <a:cs typeface="Times New Roman" panose="02020603050405020304" pitchFamily="18" charset="0"/>
          </a:endParaRPr>
        </a:p>
        <a:p>
          <a:pPr rtl="0" eaLnBrk="1" fontAlgn="auto" latinLnBrk="0" hangingPunct="1"/>
          <a:endParaRPr lang="en-US" sz="1100" b="0" i="0" baseline="0">
            <a:effectLst/>
            <a:latin typeface="Times New Roman" panose="02020603050405020304" pitchFamily="18" charset="0"/>
            <a:ea typeface="+mn-ea"/>
            <a:cs typeface="Times New Roman" panose="02020603050405020304" pitchFamily="18" charset="0"/>
          </a:endParaRPr>
        </a:p>
        <a:p>
          <a:pPr rtl="0" eaLnBrk="1" fontAlgn="auto" latinLnBrk="0" hangingPunct="1"/>
          <a:r>
            <a:rPr lang="en-US" sz="1100" b="0" i="0" baseline="0">
              <a:effectLst/>
              <a:latin typeface="Times New Roman" panose="02020603050405020304" pitchFamily="18" charset="0"/>
              <a:ea typeface="+mn-ea"/>
              <a:cs typeface="Times New Roman" panose="02020603050405020304" pitchFamily="18" charset="0"/>
            </a:rPr>
            <a:t>På motorkjøretøy er antall meldte skader på samme nivå som i fjor, mens erstatningsbeløpet økte med 7 prosent til 4,378 mrd. kr. Erstatningene økte mest på kasko. Men det var også en liten økning på tyveri – både av og fra bil. Antall glasskader er redusert, men erstatningene har likevel økt med nesten 10 prosent fra i fjor til samme tid.   </a:t>
          </a:r>
          <a:endParaRPr lang="nb-NO">
            <a:effectLst/>
            <a:latin typeface="Times New Roman" panose="02020603050405020304" pitchFamily="18" charset="0"/>
            <a:cs typeface="Times New Roman" panose="02020603050405020304" pitchFamily="18" charset="0"/>
          </a:endParaRPr>
        </a:p>
        <a:p>
          <a:pPr rtl="0" eaLnBrk="1" fontAlgn="auto" latinLnBrk="0" hangingPunct="1"/>
          <a:endParaRPr lang="en-US" sz="1100" b="0" i="0" baseline="0">
            <a:effectLst/>
            <a:latin typeface="Times New Roman" panose="02020603050405020304" pitchFamily="18" charset="0"/>
            <a:ea typeface="+mn-ea"/>
            <a:cs typeface="Times New Roman" panose="02020603050405020304" pitchFamily="18" charset="0"/>
          </a:endParaRPr>
        </a:p>
        <a:p>
          <a:pPr rtl="0" eaLnBrk="1" fontAlgn="auto" latinLnBrk="0" hangingPunct="1"/>
          <a:r>
            <a:rPr lang="en-US" sz="1100" b="0" i="0" baseline="0">
              <a:effectLst/>
              <a:latin typeface="Times New Roman" panose="02020603050405020304" pitchFamily="18" charset="0"/>
              <a:ea typeface="+mn-ea"/>
              <a:cs typeface="Times New Roman" panose="02020603050405020304" pitchFamily="18" charset="0"/>
            </a:rPr>
            <a:t>Erstatninger på private bygninger og innbo derimot, ble redusert til en «normalsituasjon»; uten fjorårets snøtyngde- og frost-skader. Årets erstatninger på 1,967 mrd.kr ble redusert med 9 prosent fra i fjor til samme tid.</a:t>
          </a:r>
          <a:endParaRPr lang="nb-NO">
            <a:effectLst/>
            <a:latin typeface="Times New Roman" panose="02020603050405020304" pitchFamily="18" charset="0"/>
            <a:cs typeface="Times New Roman" panose="02020603050405020304" pitchFamily="18" charset="0"/>
          </a:endParaRPr>
        </a:p>
        <a:p>
          <a:pPr rtl="0" eaLnBrk="1" fontAlgn="auto" latinLnBrk="0" hangingPunct="1"/>
          <a:endParaRPr lang="en-US" sz="1100" b="0" i="0" baseline="0">
            <a:effectLst/>
            <a:latin typeface="Times New Roman" panose="02020603050405020304" pitchFamily="18" charset="0"/>
            <a:ea typeface="+mn-ea"/>
            <a:cs typeface="Times New Roman" panose="02020603050405020304" pitchFamily="18" charset="0"/>
          </a:endParaRPr>
        </a:p>
        <a:p>
          <a:pPr rtl="0" eaLnBrk="1" fontAlgn="auto" latinLnBrk="0" hangingPunct="1"/>
          <a:r>
            <a:rPr lang="en-US" sz="1100" b="0" i="0" baseline="0">
              <a:effectLst/>
              <a:latin typeface="Times New Roman" panose="02020603050405020304" pitchFamily="18" charset="0"/>
              <a:ea typeface="+mn-ea"/>
              <a:cs typeface="Times New Roman" panose="02020603050405020304" pitchFamily="18" charset="0"/>
            </a:rPr>
            <a:t>Økningen av brannerstatning på næringsbygg ble på hele 44 prosent fra i fjor; hittil i år er brannerstatningene på 773 mill.kr. Dette skyldes først og fremst enkelte storskader. </a:t>
          </a:r>
          <a:endParaRPr lang="nb-NO">
            <a:effectLst/>
            <a:latin typeface="Times New Roman" panose="02020603050405020304" pitchFamily="18" charset="0"/>
            <a:cs typeface="Times New Roman" panose="02020603050405020304" pitchFamily="18"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lang="nb-NO" sz="1100" b="1" i="0" baseline="0">
            <a:latin typeface="Times New Roman" pitchFamily="18" charset="0"/>
            <a:ea typeface="+mn-ea"/>
            <a:cs typeface="Times New Roman"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27214</xdr:colOff>
      <xdr:row>6</xdr:row>
      <xdr:rowOff>201386</xdr:rowOff>
    </xdr:from>
    <xdr:to>
      <xdr:col>22</xdr:col>
      <xdr:colOff>57151</xdr:colOff>
      <xdr:row>30</xdr:row>
      <xdr:rowOff>76201</xdr:rowOff>
    </xdr:to>
    <xdr:graphicFrame macro="">
      <xdr:nvGraphicFramePr>
        <xdr:cNvPr id="1953" name="Chart 1">
          <a:extLst>
            <a:ext uri="{FF2B5EF4-FFF2-40B4-BE49-F238E27FC236}">
              <a16:creationId xmlns:a16="http://schemas.microsoft.com/office/drawing/2014/main" id="{00000000-0008-0000-0300-0000A1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639535</xdr:colOff>
      <xdr:row>33</xdr:row>
      <xdr:rowOff>136071</xdr:rowOff>
    </xdr:from>
    <xdr:to>
      <xdr:col>21</xdr:col>
      <xdr:colOff>951139</xdr:colOff>
      <xdr:row>56</xdr:row>
      <xdr:rowOff>1361</xdr:rowOff>
    </xdr:to>
    <xdr:graphicFrame macro="">
      <xdr:nvGraphicFramePr>
        <xdr:cNvPr id="1954" name="Chart 2">
          <a:extLst>
            <a:ext uri="{FF2B5EF4-FFF2-40B4-BE49-F238E27FC236}">
              <a16:creationId xmlns:a16="http://schemas.microsoft.com/office/drawing/2014/main" id="{00000000-0008-0000-0300-0000A2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63501</xdr:colOff>
      <xdr:row>6</xdr:row>
      <xdr:rowOff>127000</xdr:rowOff>
    </xdr:from>
    <xdr:to>
      <xdr:col>14</xdr:col>
      <xdr:colOff>609600</xdr:colOff>
      <xdr:row>28</xdr:row>
      <xdr:rowOff>127000</xdr:rowOff>
    </xdr:to>
    <xdr:graphicFrame macro="">
      <xdr:nvGraphicFramePr>
        <xdr:cNvPr id="1956" name="Chart 4">
          <a:extLst>
            <a:ext uri="{FF2B5EF4-FFF2-40B4-BE49-F238E27FC236}">
              <a16:creationId xmlns:a16="http://schemas.microsoft.com/office/drawing/2014/main" id="{00000000-0008-0000-0300-0000A4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54430</xdr:colOff>
      <xdr:row>7</xdr:row>
      <xdr:rowOff>40821</xdr:rowOff>
    </xdr:from>
    <xdr:to>
      <xdr:col>29</xdr:col>
      <xdr:colOff>6805</xdr:colOff>
      <xdr:row>26</xdr:row>
      <xdr:rowOff>1360</xdr:rowOff>
    </xdr:to>
    <xdr:graphicFrame macro="">
      <xdr:nvGraphicFramePr>
        <xdr:cNvPr id="1957" name="Chart 5">
          <a:extLst>
            <a:ext uri="{FF2B5EF4-FFF2-40B4-BE49-F238E27FC236}">
              <a16:creationId xmlns:a16="http://schemas.microsoft.com/office/drawing/2014/main" id="{00000000-0008-0000-0300-0000A5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27215</xdr:colOff>
      <xdr:row>34</xdr:row>
      <xdr:rowOff>0</xdr:rowOff>
    </xdr:from>
    <xdr:to>
      <xdr:col>29</xdr:col>
      <xdr:colOff>55790</xdr:colOff>
      <xdr:row>56</xdr:row>
      <xdr:rowOff>47625</xdr:rowOff>
    </xdr:to>
    <xdr:graphicFrame macro="">
      <xdr:nvGraphicFramePr>
        <xdr:cNvPr id="1958" name="Chart 6">
          <a:extLst>
            <a:ext uri="{FF2B5EF4-FFF2-40B4-BE49-F238E27FC236}">
              <a16:creationId xmlns:a16="http://schemas.microsoft.com/office/drawing/2014/main" id="{00000000-0008-0000-0300-0000A6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95250</xdr:colOff>
      <xdr:row>7</xdr:row>
      <xdr:rowOff>40821</xdr:rowOff>
    </xdr:from>
    <xdr:to>
      <xdr:col>7</xdr:col>
      <xdr:colOff>168729</xdr:colOff>
      <xdr:row>29</xdr:row>
      <xdr:rowOff>29935</xdr:rowOff>
    </xdr:to>
    <xdr:graphicFrame macro="">
      <xdr:nvGraphicFramePr>
        <xdr:cNvPr id="1959" name="Chart 7">
          <a:extLst>
            <a:ext uri="{FF2B5EF4-FFF2-40B4-BE49-F238E27FC236}">
              <a16:creationId xmlns:a16="http://schemas.microsoft.com/office/drawing/2014/main" id="{00000000-0008-0000-0300-0000A7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33</xdr:row>
      <xdr:rowOff>16328</xdr:rowOff>
    </xdr:from>
    <xdr:to>
      <xdr:col>7</xdr:col>
      <xdr:colOff>92529</xdr:colOff>
      <xdr:row>58</xdr:row>
      <xdr:rowOff>122464</xdr:rowOff>
    </xdr:to>
    <xdr:graphicFrame macro="">
      <xdr:nvGraphicFramePr>
        <xdr:cNvPr id="1960" name="Chart 8">
          <a:extLst>
            <a:ext uri="{FF2B5EF4-FFF2-40B4-BE49-F238E27FC236}">
              <a16:creationId xmlns:a16="http://schemas.microsoft.com/office/drawing/2014/main" id="{00000000-0008-0000-0300-0000A8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38100</xdr:colOff>
      <xdr:row>32</xdr:row>
      <xdr:rowOff>127000</xdr:rowOff>
    </xdr:from>
    <xdr:to>
      <xdr:col>15</xdr:col>
      <xdr:colOff>12700</xdr:colOff>
      <xdr:row>55</xdr:row>
      <xdr:rowOff>152400</xdr:rowOff>
    </xdr:to>
    <xdr:graphicFrame macro="">
      <xdr:nvGraphicFramePr>
        <xdr:cNvPr id="10" name="Chart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7</xdr:row>
      <xdr:rowOff>0</xdr:rowOff>
    </xdr:from>
    <xdr:to>
      <xdr:col>35</xdr:col>
      <xdr:colOff>736600</xdr:colOff>
      <xdr:row>29</xdr:row>
      <xdr:rowOff>71438</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34</xdr:row>
      <xdr:rowOff>0</xdr:rowOff>
    </xdr:from>
    <xdr:to>
      <xdr:col>35</xdr:col>
      <xdr:colOff>736600</xdr:colOff>
      <xdr:row>56</xdr:row>
      <xdr:rowOff>47625</xdr:rowOff>
    </xdr:to>
    <xdr:graphicFrame macro="">
      <xdr:nvGraphicFramePr>
        <xdr:cNvPr id="15" name="Chart 14">
          <a:extLst>
            <a:ext uri="{FF2B5EF4-FFF2-40B4-BE49-F238E27FC236}">
              <a16:creationId xmlns:a16="http://schemas.microsoft.com/office/drawing/2014/main" id="{00000000-0008-0000-0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104775</xdr:rowOff>
    </xdr:from>
    <xdr:to>
      <xdr:col>2</xdr:col>
      <xdr:colOff>381000</xdr:colOff>
      <xdr:row>51</xdr:row>
      <xdr:rowOff>0</xdr:rowOff>
    </xdr:to>
    <xdr:sp macro="" textlink="">
      <xdr:nvSpPr>
        <xdr:cNvPr id="6145" name="Text Box 1">
          <a:extLst>
            <a:ext uri="{FF2B5EF4-FFF2-40B4-BE49-F238E27FC236}">
              <a16:creationId xmlns:a16="http://schemas.microsoft.com/office/drawing/2014/main" id="{00000000-0008-0000-1600-000001180000}"/>
            </a:ext>
          </a:extLst>
        </xdr:cNvPr>
        <xdr:cNvSpPr txBox="1">
          <a:spLocks noChangeArrowheads="1"/>
        </xdr:cNvSpPr>
      </xdr:nvSpPr>
      <xdr:spPr bwMode="auto">
        <a:xfrm>
          <a:off x="0" y="612775"/>
          <a:ext cx="2889250" cy="9547225"/>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1" i="0" strike="noStrike">
              <a:solidFill>
                <a:srgbClr val="000000"/>
              </a:solidFill>
              <a:latin typeface="Times New Roman"/>
              <a:cs typeface="Times New Roman"/>
            </a:rPr>
            <a:t>Formål</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Hovedformålet med statistikken er å skaffe en oversikt over utviklingen av antall skader og erstatningsnivå over tid innen de forskjellige bransjene i landbasert skadeforsikring, fordelt på skadetyper. </a:t>
          </a:r>
        </a:p>
        <a:p>
          <a:pPr algn="l" rtl="0">
            <a:defRPr sz="1000"/>
          </a:pPr>
          <a:endParaRPr lang="en-US" sz="1200" b="0" i="0" strike="noStrike">
            <a:solidFill>
              <a:srgbClr val="000000"/>
            </a:solidFill>
            <a:latin typeface="Times New Roman"/>
            <a:cs typeface="Times New Roman"/>
          </a:endParaRPr>
        </a:p>
        <a:p>
          <a:pPr algn="l" rtl="0">
            <a:defRPr sz="1000"/>
          </a:pPr>
          <a:r>
            <a:rPr lang="en-US" sz="1200" b="1" i="0" strike="noStrike">
              <a:solidFill>
                <a:srgbClr val="000000"/>
              </a:solidFill>
              <a:latin typeface="Times New Roman"/>
              <a:cs typeface="Times New Roman"/>
            </a:rPr>
            <a:t>Datagrunnlag</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Følgende selskaper inngår i statistikken:</a:t>
          </a:r>
        </a:p>
        <a:p>
          <a:pPr algn="l" rtl="0">
            <a:defRPr sz="1000"/>
          </a:pPr>
          <a:endParaRPr lang="en-US" sz="1200" b="0" i="0" strike="noStrike">
            <a:solidFill>
              <a:srgbClr val="000000"/>
            </a:solidFill>
            <a:latin typeface="Times New Roman"/>
            <a:cs typeface="Times New Roman"/>
          </a:endParaRPr>
        </a:p>
        <a:p>
          <a:pPr algn="l" rtl="0">
            <a:defRPr sz="1000"/>
          </a:pPr>
          <a:r>
            <a:rPr lang="en-US" sz="1050" b="0" i="0" strike="noStrike">
              <a:solidFill>
                <a:srgbClr val="000000"/>
              </a:solidFill>
              <a:latin typeface="Times New Roman" pitchFamily="18" charset="0"/>
              <a:ea typeface="+mn-ea"/>
              <a:cs typeface="Times New Roman" pitchFamily="18" charset="0"/>
            </a:rPr>
            <a:t> ACE European Group,</a:t>
          </a:r>
        </a:p>
        <a:p>
          <a:pPr algn="l" rtl="0">
            <a:defRPr sz="1000"/>
          </a:pPr>
          <a:r>
            <a:rPr lang="en-US" sz="1050" b="0" i="0" strike="noStrike">
              <a:solidFill>
                <a:srgbClr val="000000"/>
              </a:solidFill>
              <a:latin typeface="Times New Roman" pitchFamily="18" charset="0"/>
              <a:ea typeface="+mn-ea"/>
              <a:cs typeface="Times New Roman" pitchFamily="18" charset="0"/>
            </a:rPr>
            <a:t> AIG Europe, </a:t>
          </a:r>
        </a:p>
        <a:p>
          <a:pPr algn="l" rtl="0">
            <a:defRPr sz="1000"/>
          </a:pPr>
          <a:r>
            <a:rPr lang="en-US" sz="1050" b="0" i="0" strike="noStrike">
              <a:solidFill>
                <a:srgbClr val="000000"/>
              </a:solidFill>
              <a:latin typeface="Times New Roman" pitchFamily="18" charset="0"/>
              <a:ea typeface="+mn-ea"/>
              <a:cs typeface="Times New Roman" pitchFamily="18" charset="0"/>
            </a:rPr>
            <a:t> Codan Forsikring,</a:t>
          </a:r>
        </a:p>
        <a:p>
          <a:pPr algn="l" rtl="0">
            <a:defRPr sz="1000"/>
          </a:pPr>
          <a:r>
            <a:rPr lang="en-US" sz="1050" b="0" i="0" strike="noStrike">
              <a:solidFill>
                <a:srgbClr val="000000"/>
              </a:solidFill>
              <a:latin typeface="Times New Roman" pitchFamily="18" charset="0"/>
              <a:ea typeface="+mn-ea"/>
              <a:cs typeface="Times New Roman" pitchFamily="18" charset="0"/>
            </a:rPr>
            <a:t> Danica,</a:t>
          </a:r>
        </a:p>
        <a:p>
          <a:pPr algn="l" rtl="0">
            <a:defRPr sz="1000"/>
          </a:pPr>
          <a:r>
            <a:rPr lang="en-US" sz="1050" b="0" i="0" strike="noStrike">
              <a:solidFill>
                <a:srgbClr val="000000"/>
              </a:solidFill>
              <a:latin typeface="Times New Roman" pitchFamily="18" charset="0"/>
              <a:ea typeface="+mn-ea"/>
              <a:cs typeface="Times New Roman" pitchFamily="18" charset="0"/>
            </a:rPr>
            <a:t> DNB Forsikring,</a:t>
          </a:r>
        </a:p>
        <a:p>
          <a:pPr algn="l" rtl="0">
            <a:defRPr sz="1000"/>
          </a:pPr>
          <a:r>
            <a:rPr lang="en-US" sz="1050" b="0" i="0" strike="noStrike">
              <a:solidFill>
                <a:srgbClr val="000000"/>
              </a:solidFill>
              <a:latin typeface="Times New Roman" pitchFamily="18" charset="0"/>
              <a:ea typeface="+mn-ea"/>
              <a:cs typeface="Times New Roman" pitchFamily="18" charset="0"/>
            </a:rPr>
            <a:t> Eika Forsikring,</a:t>
          </a:r>
        </a:p>
        <a:p>
          <a:pPr algn="l" rtl="0">
            <a:defRPr sz="1000"/>
          </a:pPr>
          <a:r>
            <a:rPr lang="en-US" sz="1050" b="0" i="0" strike="noStrike">
              <a:solidFill>
                <a:srgbClr val="000000"/>
              </a:solidFill>
              <a:latin typeface="Times New Roman" pitchFamily="18" charset="0"/>
              <a:ea typeface="+mn-ea"/>
              <a:cs typeface="Times New Roman" pitchFamily="18" charset="0"/>
            </a:rPr>
            <a:t> Euro Insurance LTD,</a:t>
          </a:r>
        </a:p>
        <a:p>
          <a:pPr algn="l" rtl="0">
            <a:defRPr sz="1000"/>
          </a:pPr>
          <a:r>
            <a:rPr lang="en-US" sz="1050" b="0" i="0" strike="noStrike">
              <a:solidFill>
                <a:srgbClr val="000000"/>
              </a:solidFill>
              <a:latin typeface="Times New Roman" pitchFamily="18" charset="0"/>
              <a:ea typeface="+mn-ea"/>
              <a:cs typeface="Times New Roman" pitchFamily="18" charset="0"/>
            </a:rPr>
            <a:t> Fremtind Forsikring,</a:t>
          </a:r>
        </a:p>
        <a:p>
          <a:pPr algn="l" rtl="0">
            <a:defRPr sz="1000"/>
          </a:pPr>
          <a:r>
            <a:rPr lang="en-US" sz="1050" b="0" i="0" strike="noStrike">
              <a:solidFill>
                <a:srgbClr val="000000"/>
              </a:solidFill>
              <a:latin typeface="Times New Roman" pitchFamily="18" charset="0"/>
              <a:ea typeface="+mn-ea"/>
              <a:cs typeface="Times New Roman" pitchFamily="18" charset="0"/>
            </a:rPr>
            <a:t> Frende,</a:t>
          </a:r>
        </a:p>
        <a:p>
          <a:pPr algn="l" rtl="0">
            <a:defRPr sz="1000"/>
          </a:pPr>
          <a:r>
            <a:rPr lang="en-US" sz="1050" b="0" i="0" strike="noStrike">
              <a:solidFill>
                <a:srgbClr val="000000"/>
              </a:solidFill>
              <a:latin typeface="Times New Roman" pitchFamily="18" charset="0"/>
              <a:ea typeface="+mn-ea"/>
              <a:cs typeface="Times New Roman" pitchFamily="18" charset="0"/>
            </a:rPr>
            <a:t> Gjensidige,</a:t>
          </a:r>
        </a:p>
        <a:p>
          <a:pPr algn="l" rtl="0">
            <a:defRPr sz="1000"/>
          </a:pPr>
          <a:r>
            <a:rPr lang="en-US" sz="1050" b="0" i="0" strike="noStrike">
              <a:solidFill>
                <a:srgbClr val="000000"/>
              </a:solidFill>
              <a:latin typeface="Times New Roman" pitchFamily="18" charset="0"/>
              <a:ea typeface="+mn-ea"/>
              <a:cs typeface="Times New Roman" pitchFamily="18" charset="0"/>
            </a:rPr>
            <a:t> If Skadeforsikring,</a:t>
          </a:r>
        </a:p>
        <a:p>
          <a:pPr algn="l" rtl="0">
            <a:defRPr sz="1000"/>
          </a:pPr>
          <a:r>
            <a:rPr lang="en-US" sz="1050" b="0" i="0" strike="noStrike">
              <a:solidFill>
                <a:srgbClr val="000000"/>
              </a:solidFill>
              <a:latin typeface="Times New Roman" pitchFamily="18" charset="0"/>
              <a:ea typeface="+mn-ea"/>
              <a:cs typeface="Times New Roman" pitchFamily="18" charset="0"/>
            </a:rPr>
            <a:t> Insr,</a:t>
          </a:r>
        </a:p>
        <a:p>
          <a:pPr algn="l" rtl="0">
            <a:defRPr sz="1000"/>
          </a:pPr>
          <a:r>
            <a:rPr lang="en-US" sz="1050" b="0" i="0" strike="noStrike">
              <a:solidFill>
                <a:srgbClr val="000000"/>
              </a:solidFill>
              <a:latin typeface="Times New Roman" pitchFamily="18" charset="0"/>
              <a:ea typeface="+mn-ea"/>
              <a:cs typeface="Times New Roman" pitchFamily="18" charset="0"/>
            </a:rPr>
            <a:t> Inter Hannover,</a:t>
          </a:r>
        </a:p>
        <a:p>
          <a:pPr algn="l" rtl="0">
            <a:defRPr sz="1000"/>
          </a:pPr>
          <a:r>
            <a:rPr lang="en-US" sz="1050" b="0" i="0" strike="noStrike">
              <a:solidFill>
                <a:srgbClr val="000000"/>
              </a:solidFill>
              <a:latin typeface="Times New Roman" pitchFamily="18" charset="0"/>
              <a:ea typeface="+mn-ea"/>
              <a:cs typeface="Times New Roman" pitchFamily="18" charset="0"/>
            </a:rPr>
            <a:t> Jernbanepersonalets bank og forsikring,</a:t>
          </a:r>
        </a:p>
        <a:p>
          <a:pPr algn="l" rtl="0">
            <a:defRPr sz="1000"/>
          </a:pPr>
          <a:r>
            <a:rPr lang="en-US" sz="1050" b="0" i="0" strike="noStrike">
              <a:solidFill>
                <a:srgbClr val="000000"/>
              </a:solidFill>
              <a:latin typeface="Times New Roman" pitchFamily="18" charset="0"/>
              <a:ea typeface="+mn-ea"/>
              <a:cs typeface="Times New Roman" pitchFamily="18" charset="0"/>
            </a:rPr>
            <a:t> KLP skadeforsikring,</a:t>
          </a:r>
        </a:p>
        <a:p>
          <a:pPr algn="l" rtl="0">
            <a:defRPr sz="1000"/>
          </a:pPr>
          <a:r>
            <a:rPr lang="en-US" sz="1050" b="0" i="0" strike="noStrike">
              <a:solidFill>
                <a:srgbClr val="000000"/>
              </a:solidFill>
              <a:latin typeface="Times New Roman" pitchFamily="18" charset="0"/>
              <a:ea typeface="+mn-ea"/>
              <a:cs typeface="Times New Roman" pitchFamily="18" charset="0"/>
            </a:rPr>
            <a:t> KNIF Trygghet Forsikring,</a:t>
          </a:r>
        </a:p>
        <a:p>
          <a:pPr algn="l" rtl="0">
            <a:defRPr sz="1000"/>
          </a:pPr>
          <a:r>
            <a:rPr lang="en-US" sz="1050" b="0" i="0" strike="noStrike">
              <a:solidFill>
                <a:srgbClr val="000000"/>
              </a:solidFill>
              <a:latin typeface="Times New Roman" pitchFamily="18" charset="0"/>
              <a:ea typeface="+mn-ea"/>
              <a:cs typeface="Times New Roman" pitchFamily="18" charset="0"/>
            </a:rPr>
            <a:t> Landkreditt Forsikring,</a:t>
          </a:r>
        </a:p>
        <a:p>
          <a:pPr algn="l" rtl="0">
            <a:defRPr sz="1000"/>
          </a:pPr>
          <a:r>
            <a:rPr lang="en-US" sz="1050" b="0" i="0" strike="noStrike">
              <a:solidFill>
                <a:srgbClr val="000000"/>
              </a:solidFill>
              <a:latin typeface="Times New Roman" pitchFamily="18" charset="0"/>
              <a:ea typeface="+mn-ea"/>
              <a:cs typeface="Times New Roman" pitchFamily="18" charset="0"/>
            </a:rPr>
            <a:t> Møretrygd,</a:t>
          </a:r>
        </a:p>
        <a:p>
          <a:pPr algn="l" rtl="0">
            <a:defRPr sz="1000"/>
          </a:pPr>
          <a:r>
            <a:rPr lang="en-US" sz="1050" b="0" i="0" strike="noStrike">
              <a:solidFill>
                <a:srgbClr val="000000"/>
              </a:solidFill>
              <a:latin typeface="Times New Roman" pitchFamily="18" charset="0"/>
              <a:ea typeface="+mn-ea"/>
              <a:cs typeface="Times New Roman" pitchFamily="18" charset="0"/>
            </a:rPr>
            <a:t> NEMI,</a:t>
          </a:r>
        </a:p>
        <a:p>
          <a:pPr algn="l" rtl="0">
            <a:defRPr sz="1000"/>
          </a:pPr>
          <a:r>
            <a:rPr lang="en-US" sz="1050" b="0" i="0" strike="noStrike">
              <a:solidFill>
                <a:srgbClr val="000000"/>
              </a:solidFill>
              <a:latin typeface="Times New Roman" pitchFamily="18" charset="0"/>
              <a:ea typeface="+mn-ea"/>
              <a:cs typeface="Times New Roman" pitchFamily="18" charset="0"/>
            </a:rPr>
            <a:t> Nordea,</a:t>
          </a:r>
        </a:p>
        <a:p>
          <a:pPr algn="l" rtl="0">
            <a:defRPr sz="1000"/>
          </a:pPr>
          <a:r>
            <a:rPr lang="en-US" sz="1050" b="0" i="0" strike="noStrike">
              <a:solidFill>
                <a:srgbClr val="000000"/>
              </a:solidFill>
              <a:latin typeface="Times New Roman" pitchFamily="18" charset="0"/>
              <a:ea typeface="+mn-ea"/>
              <a:cs typeface="Times New Roman" pitchFamily="18" charset="0"/>
            </a:rPr>
            <a:t> OBOS Skadeforsikring,</a:t>
          </a:r>
        </a:p>
        <a:p>
          <a:pPr algn="l" rtl="0">
            <a:defRPr sz="1000"/>
          </a:pPr>
          <a:r>
            <a:rPr lang="en-US" sz="1050" b="0" i="0" strike="noStrike">
              <a:solidFill>
                <a:srgbClr val="000000"/>
              </a:solidFill>
              <a:latin typeface="Times New Roman" pitchFamily="18" charset="0"/>
              <a:ea typeface="+mn-ea"/>
              <a:cs typeface="Times New Roman" pitchFamily="18" charset="0"/>
            </a:rPr>
            <a:t> Oslo Forsikring,</a:t>
          </a:r>
        </a:p>
        <a:p>
          <a:pPr algn="l" rtl="0">
            <a:defRPr sz="1000"/>
          </a:pPr>
          <a:r>
            <a:rPr lang="en-US" sz="1050" b="0" i="0" strike="noStrike">
              <a:solidFill>
                <a:srgbClr val="000000"/>
              </a:solidFill>
              <a:latin typeface="Times New Roman" pitchFamily="18" charset="0"/>
              <a:ea typeface="+mn-ea"/>
              <a:cs typeface="Times New Roman" pitchFamily="18" charset="0"/>
            </a:rPr>
            <a:t> Oslo Pensjonsforsikring,</a:t>
          </a:r>
        </a:p>
        <a:p>
          <a:pPr algn="l" rtl="0">
            <a:defRPr sz="1000"/>
          </a:pPr>
          <a:r>
            <a:rPr lang="en-US" sz="1050" b="0" i="0" strike="noStrike">
              <a:solidFill>
                <a:srgbClr val="000000"/>
              </a:solidFill>
              <a:latin typeface="Times New Roman" pitchFamily="18" charset="0"/>
              <a:ea typeface="+mn-ea"/>
              <a:cs typeface="Times New Roman" pitchFamily="18" charset="0"/>
            </a:rPr>
            <a:t> Protector Forsikring,</a:t>
          </a:r>
        </a:p>
        <a:p>
          <a:pPr algn="l" rtl="0">
            <a:defRPr sz="1000"/>
          </a:pPr>
          <a:r>
            <a:rPr lang="en-US" sz="1050" b="0" i="0" strike="noStrike">
              <a:solidFill>
                <a:srgbClr val="000000"/>
              </a:solidFill>
              <a:latin typeface="Times New Roman" pitchFamily="18" charset="0"/>
              <a:ea typeface="+mn-ea"/>
              <a:cs typeface="Times New Roman" pitchFamily="18" charset="0"/>
            </a:rPr>
            <a:t> Skogbrand,</a:t>
          </a:r>
        </a:p>
        <a:p>
          <a:pPr algn="l" rtl="0">
            <a:defRPr sz="1000"/>
          </a:pPr>
          <a:r>
            <a:rPr lang="en-US" sz="1050" b="0" i="0" strike="noStrike">
              <a:solidFill>
                <a:srgbClr val="000000"/>
              </a:solidFill>
              <a:latin typeface="Times New Roman" pitchFamily="18" charset="0"/>
              <a:ea typeface="+mn-ea"/>
              <a:cs typeface="Times New Roman" pitchFamily="18" charset="0"/>
            </a:rPr>
            <a:t> SpareBank 1 Livsforsikring,</a:t>
          </a:r>
        </a:p>
        <a:p>
          <a:pPr algn="l" rtl="0">
            <a:defRPr sz="1000"/>
          </a:pPr>
          <a:r>
            <a:rPr lang="en-US" sz="1050" b="0" i="0" strike="noStrike">
              <a:solidFill>
                <a:srgbClr val="000000"/>
              </a:solidFill>
              <a:latin typeface="Times New Roman" pitchFamily="18" charset="0"/>
              <a:ea typeface="+mn-ea"/>
              <a:cs typeface="Times New Roman" pitchFamily="18" charset="0"/>
            </a:rPr>
            <a:t> Sparebank 1 Skadeforsikring,</a:t>
          </a:r>
        </a:p>
        <a:p>
          <a:pPr algn="l" rtl="0">
            <a:defRPr sz="1000"/>
          </a:pPr>
          <a:r>
            <a:rPr lang="en-US" sz="1050" b="0" i="0" strike="noStrike">
              <a:solidFill>
                <a:srgbClr val="000000"/>
              </a:solidFill>
              <a:latin typeface="Times New Roman" pitchFamily="18" charset="0"/>
              <a:ea typeface="+mn-ea"/>
              <a:cs typeface="Times New Roman" pitchFamily="18" charset="0"/>
            </a:rPr>
            <a:t> Storebrand Forsikring,</a:t>
          </a:r>
        </a:p>
        <a:p>
          <a:pPr algn="l" rtl="0">
            <a:defRPr sz="1000"/>
          </a:pPr>
          <a:r>
            <a:rPr lang="en-US" sz="1050" b="0" i="0" strike="noStrike">
              <a:solidFill>
                <a:srgbClr val="000000"/>
              </a:solidFill>
              <a:latin typeface="Times New Roman" pitchFamily="18" charset="0"/>
              <a:ea typeface="+mn-ea"/>
              <a:cs typeface="Times New Roman" pitchFamily="18" charset="0"/>
            </a:rPr>
            <a:t> Telenor Forsikring,</a:t>
          </a:r>
        </a:p>
        <a:p>
          <a:pPr algn="l" rtl="0">
            <a:defRPr sz="1000"/>
          </a:pPr>
          <a:r>
            <a:rPr lang="en-US" sz="1050" b="0" i="0" strike="noStrike">
              <a:solidFill>
                <a:srgbClr val="000000"/>
              </a:solidFill>
              <a:latin typeface="Times New Roman" pitchFamily="18" charset="0"/>
              <a:ea typeface="+mn-ea"/>
              <a:cs typeface="Times New Roman" pitchFamily="18" charset="0"/>
            </a:rPr>
            <a:t> Troll Forsikring,</a:t>
          </a:r>
        </a:p>
        <a:p>
          <a:pPr algn="l" rtl="0">
            <a:defRPr sz="1000"/>
          </a:pPr>
          <a:r>
            <a:rPr lang="en-US" sz="1050" b="0" i="0" strike="noStrike">
              <a:solidFill>
                <a:srgbClr val="000000"/>
              </a:solidFill>
              <a:latin typeface="Times New Roman" pitchFamily="18" charset="0"/>
              <a:ea typeface="+mn-ea"/>
              <a:cs typeface="Times New Roman" pitchFamily="18" charset="0"/>
            </a:rPr>
            <a:t> Tryg,</a:t>
          </a:r>
        </a:p>
        <a:p>
          <a:pPr algn="l" rtl="0">
            <a:defRPr sz="1000"/>
          </a:pPr>
          <a:r>
            <a:rPr lang="en-US" sz="1050" b="0" i="0" strike="noStrike">
              <a:solidFill>
                <a:srgbClr val="000000"/>
              </a:solidFill>
              <a:latin typeface="Times New Roman" pitchFamily="18" charset="0"/>
              <a:ea typeface="+mn-ea"/>
              <a:cs typeface="Times New Roman" pitchFamily="18" charset="0"/>
            </a:rPr>
            <a:t> W. R. Berkley &amp;</a:t>
          </a:r>
        </a:p>
        <a:p>
          <a:pPr algn="l" rtl="0">
            <a:defRPr sz="1000"/>
          </a:pPr>
          <a:r>
            <a:rPr lang="en-US" sz="1050" b="0" i="0" strike="noStrike">
              <a:solidFill>
                <a:srgbClr val="000000"/>
              </a:solidFill>
              <a:latin typeface="Times New Roman" pitchFamily="18" charset="0"/>
              <a:ea typeface="+mn-ea"/>
              <a:cs typeface="Times New Roman" pitchFamily="18" charset="0"/>
            </a:rPr>
            <a:t> WaterCircles Forsikring</a:t>
          </a:r>
          <a:endParaRPr lang="nb-NO" sz="1050" b="0" i="0" strike="noStrike">
            <a:solidFill>
              <a:srgbClr val="000000"/>
            </a:solidFill>
            <a:latin typeface="Times New Roman" pitchFamily="18" charset="0"/>
            <a:ea typeface="+mn-ea"/>
            <a:cs typeface="Times New Roman" pitchFamily="18" charset="0"/>
          </a:endParaRPr>
        </a:p>
        <a:p>
          <a:pPr algn="l" rtl="0">
            <a:defRPr sz="1000"/>
          </a:pPr>
          <a:r>
            <a:rPr lang="nb-NO" sz="1050" b="0" i="0" strike="noStrike">
              <a:solidFill>
                <a:srgbClr val="000000"/>
              </a:solidFill>
              <a:latin typeface="Times New Roman" pitchFamily="18" charset="0"/>
              <a:ea typeface="+mn-ea"/>
              <a:cs typeface="Times New Roman" pitchFamily="18" charset="0"/>
            </a:rPr>
            <a:t>(merk at noen av disse nå</a:t>
          </a:r>
          <a:r>
            <a:rPr lang="nb-NO" sz="1050" b="0" i="0" strike="noStrike" baseline="0">
              <a:solidFill>
                <a:srgbClr val="000000"/>
              </a:solidFill>
              <a:latin typeface="Times New Roman" pitchFamily="18" charset="0"/>
              <a:ea typeface="+mn-ea"/>
              <a:cs typeface="Times New Roman" pitchFamily="18" charset="0"/>
            </a:rPr>
            <a:t> har </a:t>
          </a:r>
          <a:r>
            <a:rPr lang="nb-NO" sz="1050" b="0" i="0" strike="noStrike">
              <a:solidFill>
                <a:srgbClr val="000000"/>
              </a:solidFill>
              <a:latin typeface="Times New Roman" pitchFamily="18" charset="0"/>
              <a:ea typeface="+mn-ea"/>
              <a:cs typeface="Times New Roman" pitchFamily="18" charset="0"/>
            </a:rPr>
            <a:t>blitt kjøpt opp, slått seg sammen med andre selskap, meldt seg ut av Finans Norge, eller endret navn.)</a:t>
          </a:r>
        </a:p>
        <a:p>
          <a:pPr algn="l" rtl="0">
            <a:defRPr sz="1000"/>
          </a:pPr>
          <a:endParaRPr lang="en-US" sz="1050" b="0" i="0" strike="noStrike">
            <a:solidFill>
              <a:srgbClr val="000000"/>
            </a:solidFill>
            <a:latin typeface="Times New Roman" pitchFamily="18" charset="0"/>
            <a:ea typeface="+mn-ea"/>
            <a:cs typeface="Times New Roman" pitchFamily="18" charset="0"/>
          </a:endParaRPr>
        </a:p>
        <a:p>
          <a:pPr algn="l" rtl="0">
            <a:defRPr sz="1000"/>
          </a:pPr>
          <a:r>
            <a:rPr lang="en-US" sz="1200" b="0" i="0" strike="noStrike">
              <a:solidFill>
                <a:srgbClr val="000000"/>
              </a:solidFill>
              <a:latin typeface="Times New Roman"/>
              <a:cs typeface="Times New Roman"/>
            </a:rPr>
            <a:t>Disse selskapene utgjør hovedtyngden av det norske markedet for landbasert skadeforsikring, men vi gjør oppmerksom på at dette varierer fra bransje til bransje. F.eks. vil disse selskapene utgjøre så å si hele motorvognmarkedet, mens for industriforsikring eksisterer det en rekke andre aktører (captives og utenlandske selskaper) som ikke rapporterer til denne statistikken.</a:t>
          </a:r>
        </a:p>
        <a:p>
          <a:pPr algn="l" rtl="0">
            <a:defRPr sz="1000"/>
          </a:pPr>
          <a:endParaRPr lang="en-US" sz="1200" b="0" i="0" strike="noStrike">
            <a:solidFill>
              <a:srgbClr val="000000"/>
            </a:solidFill>
            <a:latin typeface="Times New Roman"/>
            <a:cs typeface="Times New Roman"/>
          </a:endParaRPr>
        </a:p>
      </xdr:txBody>
    </xdr:sp>
    <xdr:clientData/>
  </xdr:twoCellAnchor>
  <xdr:twoCellAnchor>
    <xdr:from>
      <xdr:col>2</xdr:col>
      <xdr:colOff>460375</xdr:colOff>
      <xdr:row>4</xdr:row>
      <xdr:rowOff>96537</xdr:rowOff>
    </xdr:from>
    <xdr:to>
      <xdr:col>7</xdr:col>
      <xdr:colOff>0</xdr:colOff>
      <xdr:row>50</xdr:row>
      <xdr:rowOff>142874</xdr:rowOff>
    </xdr:to>
    <xdr:sp macro="" textlink="">
      <xdr:nvSpPr>
        <xdr:cNvPr id="6146" name="Text Box 2">
          <a:extLst>
            <a:ext uri="{FF2B5EF4-FFF2-40B4-BE49-F238E27FC236}">
              <a16:creationId xmlns:a16="http://schemas.microsoft.com/office/drawing/2014/main" id="{00000000-0008-0000-1600-000002180000}"/>
            </a:ext>
          </a:extLst>
        </xdr:cNvPr>
        <xdr:cNvSpPr txBox="1">
          <a:spLocks noChangeArrowheads="1"/>
        </xdr:cNvSpPr>
      </xdr:nvSpPr>
      <xdr:spPr bwMode="auto">
        <a:xfrm>
          <a:off x="2968625" y="604537"/>
          <a:ext cx="2492375" cy="9539587"/>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endParaRPr lang="en-US" sz="1200" b="1" i="0" strike="noStrike">
            <a:solidFill>
              <a:srgbClr val="000000"/>
            </a:solidFill>
            <a:latin typeface="Times New Roman"/>
            <a:cs typeface="Times New Roman"/>
          </a:endParaRPr>
        </a:p>
        <a:p>
          <a:pPr algn="l" rtl="0">
            <a:defRPr sz="1000"/>
          </a:pPr>
          <a:r>
            <a:rPr lang="en-US" sz="1200" b="0" i="1" strike="noStrike">
              <a:solidFill>
                <a:srgbClr val="000000"/>
              </a:solidFill>
              <a:latin typeface="Times New Roman"/>
              <a:cs typeface="Times New Roman"/>
            </a:rPr>
            <a:t>Naturskadeutbetalingene</a:t>
          </a:r>
          <a:r>
            <a:rPr lang="en-US" sz="1200" b="0" i="0" strike="noStrike">
              <a:solidFill>
                <a:srgbClr val="000000"/>
              </a:solidFill>
              <a:latin typeface="Times New Roman"/>
              <a:cs typeface="Times New Roman"/>
            </a:rPr>
            <a:t> er holdt utenfor statistikken. Det samme gjelder </a:t>
          </a:r>
          <a:r>
            <a:rPr lang="en-US" sz="1200" b="0" i="1" strike="noStrike">
              <a:solidFill>
                <a:srgbClr val="000000"/>
              </a:solidFill>
              <a:latin typeface="Times New Roman"/>
              <a:cs typeface="Times New Roman"/>
            </a:rPr>
            <a:t>kreditt</a:t>
          </a:r>
          <a:r>
            <a:rPr lang="en-US" sz="1200" b="0" i="0" strike="noStrike">
              <a:solidFill>
                <a:srgbClr val="000000"/>
              </a:solidFill>
              <a:latin typeface="Times New Roman"/>
              <a:cs typeface="Times New Roman"/>
            </a:rPr>
            <a:t>- og </a:t>
          </a:r>
          <a:r>
            <a:rPr lang="en-US" sz="1200" b="0" i="1" strike="noStrike">
              <a:solidFill>
                <a:srgbClr val="000000"/>
              </a:solidFill>
              <a:latin typeface="Times New Roman"/>
              <a:cs typeface="Times New Roman"/>
            </a:rPr>
            <a:t>sjøforsikring.</a:t>
          </a:r>
          <a:endParaRPr lang="en-US" sz="1200" b="0" i="0" strike="noStrike">
            <a:solidFill>
              <a:srgbClr val="000000"/>
            </a:solidFill>
            <a:latin typeface="Times New Roman"/>
            <a:cs typeface="Times New Roman"/>
          </a:endParaRPr>
        </a:p>
        <a:p>
          <a:pPr algn="l" rtl="0">
            <a:defRPr sz="1000"/>
          </a:pPr>
          <a:endParaRPr lang="en-US" sz="1200" b="1" i="0" strike="noStrike">
            <a:solidFill>
              <a:srgbClr val="000000"/>
            </a:solidFill>
            <a:latin typeface="Times New Roman" pitchFamily="18" charset="0"/>
            <a:cs typeface="Times New Roman" pitchFamily="18" charset="0"/>
          </a:endParaRPr>
        </a:p>
        <a:p>
          <a:pPr rtl="0"/>
          <a:r>
            <a:rPr lang="en-US" sz="1200" b="1" i="0">
              <a:latin typeface="Times New Roman" pitchFamily="18" charset="0"/>
              <a:ea typeface="+mn-ea"/>
              <a:cs typeface="Times New Roman" pitchFamily="18" charset="0"/>
            </a:rPr>
            <a:t>Prinsipper</a:t>
          </a:r>
          <a:endParaRPr lang="en-US" sz="1200" b="0" i="0">
            <a:latin typeface="Times New Roman" pitchFamily="18" charset="0"/>
            <a:ea typeface="+mn-ea"/>
            <a:cs typeface="Times New Roman" pitchFamily="18" charset="0"/>
          </a:endParaRPr>
        </a:p>
        <a:p>
          <a:pPr rtl="0"/>
          <a:r>
            <a:rPr lang="en-US" sz="1200" b="0" i="0">
              <a:latin typeface="Times New Roman" pitchFamily="18" charset="0"/>
              <a:ea typeface="+mn-ea"/>
              <a:cs typeface="Times New Roman" pitchFamily="18" charset="0"/>
            </a:rPr>
            <a:t>Det er lagt vekt på å kunne presentere så aktuelle tall som mulig. Tidligere tall oppdateres ikke, men presenteres for å vise hva man trodde på tilsvarende tidspunkt for de to foregående år. </a:t>
          </a:r>
          <a:endParaRPr lang="nb-NO" sz="1200">
            <a:latin typeface="Times New Roman" pitchFamily="18" charset="0"/>
            <a:cs typeface="Times New Roman" pitchFamily="18" charset="0"/>
          </a:endParaRPr>
        </a:p>
        <a:p>
          <a:pPr rtl="0"/>
          <a:endParaRPr lang="en-US" sz="1200" b="0" i="0">
            <a:latin typeface="Times New Roman" pitchFamily="18" charset="0"/>
            <a:ea typeface="+mn-ea"/>
            <a:cs typeface="Times New Roman" pitchFamily="18" charset="0"/>
          </a:endParaRPr>
        </a:p>
        <a:p>
          <a:pPr algn="l" rtl="0">
            <a:defRPr sz="1000"/>
          </a:pPr>
          <a:r>
            <a:rPr lang="en-US" sz="1200" b="1" i="0" strike="noStrike">
              <a:solidFill>
                <a:srgbClr val="000000"/>
              </a:solidFill>
              <a:latin typeface="Times New Roman"/>
              <a:cs typeface="Times New Roman"/>
            </a:rPr>
            <a:t>Begreper </a:t>
          </a:r>
        </a:p>
        <a:p>
          <a:pPr algn="l" rtl="0">
            <a:defRPr sz="1000"/>
          </a:pPr>
          <a:r>
            <a:rPr lang="en-US" sz="1200" b="0" i="1" strike="noStrike">
              <a:solidFill>
                <a:srgbClr val="000000"/>
              </a:solidFill>
              <a:latin typeface="Times New Roman"/>
              <a:cs typeface="Times New Roman"/>
            </a:rPr>
            <a:t>Bransjene</a:t>
          </a:r>
          <a:r>
            <a:rPr lang="en-US" sz="1200" b="0" i="0" strike="noStrike">
              <a:solidFill>
                <a:srgbClr val="000000"/>
              </a:solidFill>
              <a:latin typeface="Times New Roman"/>
              <a:cs typeface="Times New Roman"/>
            </a:rPr>
            <a:t> angir hovedforretnings-områdene i henhold til bransjeinndeling utarbeidet i samarbeid med Finanstilsynet.</a:t>
          </a:r>
        </a:p>
        <a:p>
          <a:pPr algn="l" rtl="0">
            <a:defRPr sz="1000"/>
          </a:pP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Hver bransje er så gruppert etter </a:t>
          </a:r>
          <a:r>
            <a:rPr lang="en-US" sz="1200" b="0" i="1" strike="noStrike">
              <a:solidFill>
                <a:srgbClr val="000000"/>
              </a:solidFill>
              <a:latin typeface="Times New Roman"/>
              <a:cs typeface="Times New Roman"/>
            </a:rPr>
            <a:t>skadetype. </a:t>
          </a:r>
          <a:r>
            <a:rPr lang="en-US" sz="1200" b="0" i="0" strike="noStrike">
              <a:solidFill>
                <a:srgbClr val="000000"/>
              </a:solidFill>
              <a:latin typeface="Times New Roman"/>
              <a:cs typeface="Times New Roman"/>
            </a:rPr>
            <a:t>Det gjøres oppmerksom på at antall skader for de ulike skadetypene under en bransje ikke nødvendigvis er lik totalen, siden en skade kan fordele seg på flere skadetyper.</a:t>
          </a:r>
        </a:p>
        <a:p>
          <a:pPr algn="l" rtl="0">
            <a:defRPr sz="1000"/>
          </a:pPr>
          <a:endParaRPr lang="en-US" sz="1200" b="0" i="0" strike="noStrike">
            <a:solidFill>
              <a:srgbClr val="000000"/>
            </a:solidFill>
            <a:latin typeface="Times New Roman"/>
            <a:cs typeface="Times New Roman"/>
          </a:endParaRPr>
        </a:p>
        <a:p>
          <a:pPr algn="l" rtl="0">
            <a:defRPr sz="1000"/>
          </a:pPr>
          <a:r>
            <a:rPr lang="en-US" sz="1200" b="0" i="1" strike="noStrike">
              <a:solidFill>
                <a:srgbClr val="000000"/>
              </a:solidFill>
              <a:latin typeface="Times New Roman"/>
              <a:cs typeface="Times New Roman"/>
            </a:rPr>
            <a:t>Anslått erstatning</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Med anslått erstatning menes betalte erstatninger pluss erstatningsavsetninger for de skader som har skjedd i den tidsperioden statistikken omfatter. Dette omfatter også skader som ennå ikke er meldt til selskapene. </a:t>
          </a:r>
        </a:p>
        <a:p>
          <a:pPr algn="l" rtl="0">
            <a:defRPr sz="1000"/>
          </a:pPr>
          <a:endParaRPr lang="en-US" sz="1200" b="0" i="0" strike="noStrike">
            <a:solidFill>
              <a:srgbClr val="000000"/>
            </a:solidFill>
            <a:latin typeface="Times New Roman"/>
            <a:cs typeface="Times New Roman"/>
          </a:endParaRPr>
        </a:p>
        <a:p>
          <a:pPr algn="l" rtl="0">
            <a:defRPr sz="1000"/>
          </a:pPr>
          <a:r>
            <a:rPr lang="en-US" sz="1200" b="0" i="1" strike="noStrike">
              <a:solidFill>
                <a:srgbClr val="000000"/>
              </a:solidFill>
              <a:latin typeface="Times New Roman"/>
              <a:cs typeface="Times New Roman"/>
            </a:rPr>
            <a:t>Meldt skade</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Med meldt skade menes skade på en forsikring </a:t>
          </a:r>
          <a:r>
            <a:rPr lang="en-US" sz="1200" b="0" i="1" strike="noStrike">
              <a:solidFill>
                <a:srgbClr val="000000"/>
              </a:solidFill>
              <a:latin typeface="Times New Roman"/>
              <a:cs typeface="Times New Roman"/>
            </a:rPr>
            <a:t>meldt</a:t>
          </a:r>
          <a:r>
            <a:rPr lang="en-US" sz="1200" b="0" i="0" strike="noStrike">
              <a:solidFill>
                <a:srgbClr val="000000"/>
              </a:solidFill>
              <a:latin typeface="Times New Roman"/>
              <a:cs typeface="Times New Roman"/>
            </a:rPr>
            <a:t> til selskapet i den tidsperiode statistikken omfatter. I dette begrepet inngår </a:t>
          </a:r>
          <a:r>
            <a:rPr lang="en-US" sz="1200" b="0" i="1" strike="noStrike">
              <a:solidFill>
                <a:srgbClr val="000000"/>
              </a:solidFill>
              <a:latin typeface="Times New Roman"/>
              <a:cs typeface="Times New Roman"/>
            </a:rPr>
            <a:t>ikke</a:t>
          </a:r>
          <a:r>
            <a:rPr lang="en-US" sz="1200" b="0" i="0" strike="noStrike">
              <a:solidFill>
                <a:srgbClr val="000000"/>
              </a:solidFill>
              <a:latin typeface="Times New Roman"/>
              <a:cs typeface="Times New Roman"/>
            </a:rPr>
            <a:t> de skader som ennå ikke er meldt, j.fr. definisjonen av anslått erstatning. I antall skader inngår også såkalte </a:t>
          </a:r>
          <a:r>
            <a:rPr lang="en-US" sz="1200" b="0" i="1" strike="noStrike">
              <a:solidFill>
                <a:srgbClr val="000000"/>
              </a:solidFill>
              <a:latin typeface="Times New Roman"/>
              <a:cs typeface="Times New Roman"/>
            </a:rPr>
            <a:t>nullskader.</a:t>
          </a: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a:p>
          <a:pPr algn="l" rtl="0">
            <a:defRPr sz="1000"/>
          </a:pPr>
          <a:r>
            <a:rPr lang="en-US" sz="1200" b="0" i="1" strike="noStrike">
              <a:solidFill>
                <a:srgbClr val="000000"/>
              </a:solidFill>
              <a:latin typeface="Times New Roman"/>
              <a:cs typeface="Times New Roman"/>
            </a:rPr>
            <a:t>Gjennomsnittsskade</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Vi gjør oppmerksom på at siden tallene for antall anmeldte skader og anslåtte erstatninger har ulik tidsavgrensning er de ikke direkte sammenlignbare. En nøyaktig beregning av gjennomsnittsskaden kan derfor ikke gjøres ut fra dette materialet. Spesielt gjelder dette ”langhalede” bransjer som yrkesskade og personskade motorvogn.</a:t>
          </a:r>
        </a:p>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twoCellAnchor>
  <xdr:twoCellAnchor>
    <xdr:from>
      <xdr:col>7</xdr:col>
      <xdr:colOff>104775</xdr:colOff>
      <xdr:row>4</xdr:row>
      <xdr:rowOff>96437</xdr:rowOff>
    </xdr:from>
    <xdr:to>
      <xdr:col>10</xdr:col>
      <xdr:colOff>371475</xdr:colOff>
      <xdr:row>50</xdr:row>
      <xdr:rowOff>152518</xdr:rowOff>
    </xdr:to>
    <xdr:sp macro="" textlink="">
      <xdr:nvSpPr>
        <xdr:cNvPr id="6151" name="Text Box 7">
          <a:extLst>
            <a:ext uri="{FF2B5EF4-FFF2-40B4-BE49-F238E27FC236}">
              <a16:creationId xmlns:a16="http://schemas.microsoft.com/office/drawing/2014/main" id="{00000000-0008-0000-1600-000007180000}"/>
            </a:ext>
          </a:extLst>
        </xdr:cNvPr>
        <xdr:cNvSpPr txBox="1">
          <a:spLocks noChangeArrowheads="1"/>
        </xdr:cNvSpPr>
      </xdr:nvSpPr>
      <xdr:spPr bwMode="auto">
        <a:xfrm>
          <a:off x="5629275" y="601262"/>
          <a:ext cx="2552700" cy="9257231"/>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0" i="1" strike="noStrike">
              <a:solidFill>
                <a:srgbClr val="000000"/>
              </a:solidFill>
              <a:latin typeface="Times New Roman"/>
              <a:cs typeface="Times New Roman"/>
            </a:rPr>
            <a:t>Prognose</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I rapporten for 1., 2. og 3. kvartal gis det en prognose for antall skader og anslått erstatning for inneværende skadeår. Alle prognosetall er merket med *. Prognosen gir uttrykk for hva årsresultatet blir om den gjenværende del av året utvikler seg  på samme vis som de de to foregående skadeår, gitt volumet for antall skader og anslått erstatning hittil i år. Prognosen blir derfor særlig sårbar hvis det er meldt storskader tidlig i året. Dette vil normalt bli omtalt i rapportens kommentardel.</a:t>
          </a:r>
        </a:p>
        <a:p>
          <a:pPr algn="l" rtl="0">
            <a:defRPr sz="1000"/>
          </a:pPr>
          <a:endParaRPr lang="en-US" sz="1200" b="0" i="0" strike="noStrike">
            <a:solidFill>
              <a:srgbClr val="000000"/>
            </a:solidFill>
            <a:latin typeface="Times New Roman"/>
            <a:cs typeface="Times New Roman"/>
          </a:endParaRPr>
        </a:p>
        <a:p>
          <a:pPr algn="l" rtl="0">
            <a:defRPr sz="1000"/>
          </a:pPr>
          <a:r>
            <a:rPr lang="en-US" sz="1200" b="1" i="0" strike="noStrike">
              <a:solidFill>
                <a:srgbClr val="000000"/>
              </a:solidFill>
              <a:latin typeface="Times New Roman"/>
              <a:cs typeface="Times New Roman"/>
            </a:rPr>
            <a:t>Usikkerhet i erstatningsanslagene</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De anslåtte erstatningene tar høyde for skader som er inntruffet, men som ennå ikke er meldt selskapene. Videre er det usikkerhet i hva de skadesakene som ikke er ferdig oppgjort vil koste. Tidligere skadehistorikk m.m. brukes for å gjøre denne usikkerheten så liten som mulig, men spesielt for ”langhalet” forretning vil erstatningsanslagene variere over tid.</a:t>
          </a:r>
        </a:p>
        <a:p>
          <a:pPr algn="l" rtl="0">
            <a:defRPr sz="1000"/>
          </a:pPr>
          <a:endParaRPr lang="en-US" sz="1200" b="0" i="0" strike="noStrike">
            <a:solidFill>
              <a:srgbClr val="000000"/>
            </a:solidFill>
            <a:latin typeface="Times New Roman"/>
            <a:cs typeface="Times New Roman"/>
          </a:endParaRPr>
        </a:p>
        <a:p>
          <a:pPr algn="l" rtl="0">
            <a:defRPr sz="1000"/>
          </a:pPr>
          <a:r>
            <a:rPr lang="en-US" sz="1200" b="1" i="0" strike="noStrike">
              <a:solidFill>
                <a:srgbClr val="000000"/>
              </a:solidFill>
              <a:latin typeface="Times New Roman"/>
              <a:cs typeface="Times New Roman"/>
            </a:rPr>
            <a:t>Spesielle merknader</a:t>
          </a:r>
          <a:endParaRPr lang="en-US" sz="1200" b="0" i="0" strike="noStrike">
            <a:solidFill>
              <a:srgbClr val="000000"/>
            </a:solidFill>
            <a:latin typeface="Times New Roman"/>
            <a:cs typeface="Times New Roman"/>
          </a:endParaRPr>
        </a:p>
        <a:p>
          <a:pPr rtl="0"/>
          <a:r>
            <a:rPr lang="en-US" sz="1200" b="0" i="1" strike="noStrike">
              <a:solidFill>
                <a:srgbClr val="000000"/>
              </a:solidFill>
              <a:latin typeface="Times New Roman"/>
              <a:ea typeface="+mn-ea"/>
              <a:cs typeface="Times New Roman"/>
            </a:rPr>
            <a:t>Brann</a:t>
          </a:r>
        </a:p>
        <a:p>
          <a:pPr rtl="0"/>
          <a:r>
            <a:rPr lang="en-US" sz="1200" b="0" i="0" strike="noStrike">
              <a:solidFill>
                <a:srgbClr val="000000"/>
              </a:solidFill>
              <a:latin typeface="Times New Roman"/>
              <a:ea typeface="+mn-ea"/>
              <a:cs typeface="Times New Roman"/>
            </a:rPr>
            <a:t>Ved å summere brann-tallene fra de to Brann-kombinerte bransjene vil totalen bli forskjellig fra Brannstatistikken utgitt av Finans Norge (BRASK). Det henvises til den statistikken hvis totale skadetall for hele markedet skal benyttes. </a:t>
          </a:r>
          <a:endParaRPr lang="nb-NO" sz="1200" b="0" i="0" strike="noStrike">
            <a:solidFill>
              <a:srgbClr val="000000"/>
            </a:solidFill>
            <a:latin typeface="Times New Roman"/>
            <a:ea typeface="+mn-ea"/>
            <a:cs typeface="Times New Roman"/>
          </a:endParaRPr>
        </a:p>
        <a:p>
          <a:pPr rtl="0"/>
          <a:endParaRPr lang="en-US" sz="1100" b="0" i="0">
            <a:latin typeface="+mn-lt"/>
            <a:ea typeface="+mn-ea"/>
            <a:cs typeface="+mn-cs"/>
          </a:endParaRPr>
        </a:p>
        <a:p>
          <a:pPr marL="0" indent="0" rtl="0"/>
          <a:r>
            <a:rPr lang="en-US" sz="1200" b="0" i="1" strike="noStrike">
              <a:solidFill>
                <a:srgbClr val="000000"/>
              </a:solidFill>
              <a:latin typeface="Times New Roman"/>
              <a:ea typeface="+mn-ea"/>
              <a:cs typeface="Times New Roman"/>
            </a:rPr>
            <a:t>Yrkesskadeforsikring</a:t>
          </a:r>
        </a:p>
        <a:p>
          <a:pPr rtl="0"/>
          <a:r>
            <a:rPr lang="en-US" sz="1200" b="0" i="0" strike="noStrike">
              <a:solidFill>
                <a:srgbClr val="000000"/>
              </a:solidFill>
              <a:latin typeface="Times New Roman"/>
              <a:ea typeface="+mn-ea"/>
              <a:cs typeface="Times New Roman"/>
            </a:rPr>
            <a:t>Her vises yrkesskader etter lov om yrkesskadeforsikring. Tilleggsdekninger rapporteres under trygghetsforsikring.</a:t>
          </a:r>
          <a:endParaRPr lang="nb-NO" sz="1200" b="0" i="0" strike="noStrike">
            <a:solidFill>
              <a:srgbClr val="000000"/>
            </a:solidFill>
            <a:latin typeface="Times New Roman"/>
            <a:ea typeface="+mn-ea"/>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twoCellAnchor>
  <xdr:twoCellAnchor>
    <xdr:from>
      <xdr:col>10</xdr:col>
      <xdr:colOff>454823</xdr:colOff>
      <xdr:row>4</xdr:row>
      <xdr:rowOff>66675</xdr:rowOff>
    </xdr:from>
    <xdr:to>
      <xdr:col>13</xdr:col>
      <xdr:colOff>721523</xdr:colOff>
      <xdr:row>50</xdr:row>
      <xdr:rowOff>133350</xdr:rowOff>
    </xdr:to>
    <xdr:sp macro="" textlink="">
      <xdr:nvSpPr>
        <xdr:cNvPr id="6152" name="Text Box 8">
          <a:extLst>
            <a:ext uri="{FF2B5EF4-FFF2-40B4-BE49-F238E27FC236}">
              <a16:creationId xmlns:a16="http://schemas.microsoft.com/office/drawing/2014/main" id="{00000000-0008-0000-1600-000008180000}"/>
            </a:ext>
          </a:extLst>
        </xdr:cNvPr>
        <xdr:cNvSpPr txBox="1">
          <a:spLocks noChangeArrowheads="1"/>
        </xdr:cNvSpPr>
      </xdr:nvSpPr>
      <xdr:spPr bwMode="auto">
        <a:xfrm>
          <a:off x="8205792" y="578644"/>
          <a:ext cx="2552700" cy="9377362"/>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endParaRPr lang="en-US" sz="1200" b="0"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Kvartalstatistikkene\Premiestatistikk\Rapport\premiestatistikk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
      <sheetName val="Innhold"/>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Tab16"/>
      <sheetName val="Tab17"/>
      <sheetName val="Tab18"/>
      <sheetName val="DATA_11"/>
      <sheetName val="DATA_12"/>
      <sheetName val="DATA_21"/>
      <sheetName val="DATA_31"/>
      <sheetName val="DATA_32"/>
      <sheetName val="DATA_41"/>
      <sheetName val="DATA_42"/>
      <sheetName val="DATA_51"/>
      <sheetName val="DATA_52"/>
      <sheetName val="DATA_61"/>
      <sheetName val="DATA_62"/>
      <sheetName val="DATA_63"/>
      <sheetName val="DATA_64"/>
      <sheetName val="DATA_71"/>
      <sheetName val="DATA_72"/>
      <sheetName val="DATA_81"/>
      <sheetName val="DATA_82"/>
      <sheetName val="DATA_91"/>
      <sheetName val="DATA_92"/>
      <sheetName val="DATA_93"/>
      <sheetName val="DATA_B1"/>
      <sheetName val="DATA_B2"/>
      <sheetName val="DATA_K1"/>
      <sheetName val="DATA_K2"/>
      <sheetName val="DATA_M1"/>
      <sheetName val="DATA_M2"/>
      <sheetName val="Forside"/>
      <sheetName val="DATA_P1"/>
      <sheetName val="DATA_P2"/>
    </sheetNames>
    <sheetDataSet>
      <sheetData sheetId="0"/>
      <sheetData sheetId="1"/>
      <sheetData sheetId="2"/>
      <sheetData sheetId="3"/>
      <sheetData sheetId="4"/>
      <sheetData sheetId="5"/>
      <sheetData sheetId="6">
        <row r="6">
          <cell r="B6" t="str">
            <v>31.12.2011</v>
          </cell>
          <cell r="C6" t="str">
            <v>31.12.2012</v>
          </cell>
          <cell r="D6" t="str">
            <v>31.12.2013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J57"/>
  <sheetViews>
    <sheetView showGridLines="0" showRowColHeaders="0" zoomScale="70" zoomScaleNormal="70" zoomScaleSheetLayoutView="70" workbookViewId="0"/>
  </sheetViews>
  <sheetFormatPr defaultColWidth="11.42578125" defaultRowHeight="12.75" x14ac:dyDescent="0.2"/>
  <cols>
    <col min="1" max="1" width="16.42578125" style="100" customWidth="1"/>
    <col min="2" max="4" width="11.42578125" style="100"/>
    <col min="5" max="5" width="14.140625" style="100" bestFit="1" customWidth="1"/>
    <col min="6" max="7" width="11.42578125" style="100"/>
    <col min="8" max="8" width="13.42578125" style="100" customWidth="1"/>
    <col min="9" max="9" width="11.42578125" style="100"/>
    <col min="10" max="10" width="13.42578125" style="100" bestFit="1" customWidth="1"/>
    <col min="11" max="256" width="11.42578125" style="100"/>
    <col min="257" max="257" width="16.42578125" style="100" customWidth="1"/>
    <col min="258" max="260" width="11.42578125" style="100"/>
    <col min="261" max="261" width="14.140625" style="100" bestFit="1" customWidth="1"/>
    <col min="262" max="263" width="11.42578125" style="100"/>
    <col min="264" max="264" width="13.42578125" style="100" customWidth="1"/>
    <col min="265" max="265" width="11.42578125" style="100"/>
    <col min="266" max="266" width="13.42578125" style="100" bestFit="1" customWidth="1"/>
    <col min="267" max="512" width="11.42578125" style="100"/>
    <col min="513" max="513" width="16.42578125" style="100" customWidth="1"/>
    <col min="514" max="516" width="11.42578125" style="100"/>
    <col min="517" max="517" width="14.140625" style="100" bestFit="1" customWidth="1"/>
    <col min="518" max="519" width="11.42578125" style="100"/>
    <col min="520" max="520" width="13.42578125" style="100" customWidth="1"/>
    <col min="521" max="521" width="11.42578125" style="100"/>
    <col min="522" max="522" width="13.42578125" style="100" bestFit="1" customWidth="1"/>
    <col min="523" max="768" width="11.42578125" style="100"/>
    <col min="769" max="769" width="16.42578125" style="100" customWidth="1"/>
    <col min="770" max="772" width="11.42578125" style="100"/>
    <col min="773" max="773" width="14.140625" style="100" bestFit="1" customWidth="1"/>
    <col min="774" max="775" width="11.42578125" style="100"/>
    <col min="776" max="776" width="13.42578125" style="100" customWidth="1"/>
    <col min="777" max="777" width="11.42578125" style="100"/>
    <col min="778" max="778" width="13.42578125" style="100" bestFit="1" customWidth="1"/>
    <col min="779" max="1024" width="11.42578125" style="100"/>
    <col min="1025" max="1025" width="16.42578125" style="100" customWidth="1"/>
    <col min="1026" max="1028" width="11.42578125" style="100"/>
    <col min="1029" max="1029" width="14.140625" style="100" bestFit="1" customWidth="1"/>
    <col min="1030" max="1031" width="11.42578125" style="100"/>
    <col min="1032" max="1032" width="13.42578125" style="100" customWidth="1"/>
    <col min="1033" max="1033" width="11.42578125" style="100"/>
    <col min="1034" max="1034" width="13.42578125" style="100" bestFit="1" customWidth="1"/>
    <col min="1035" max="1280" width="11.42578125" style="100"/>
    <col min="1281" max="1281" width="16.42578125" style="100" customWidth="1"/>
    <col min="1282" max="1284" width="11.42578125" style="100"/>
    <col min="1285" max="1285" width="14.140625" style="100" bestFit="1" customWidth="1"/>
    <col min="1286" max="1287" width="11.42578125" style="100"/>
    <col min="1288" max="1288" width="13.42578125" style="100" customWidth="1"/>
    <col min="1289" max="1289" width="11.42578125" style="100"/>
    <col min="1290" max="1290" width="13.42578125" style="100" bestFit="1" customWidth="1"/>
    <col min="1291" max="1536" width="11.42578125" style="100"/>
    <col min="1537" max="1537" width="16.42578125" style="100" customWidth="1"/>
    <col min="1538" max="1540" width="11.42578125" style="100"/>
    <col min="1541" max="1541" width="14.140625" style="100" bestFit="1" customWidth="1"/>
    <col min="1542" max="1543" width="11.42578125" style="100"/>
    <col min="1544" max="1544" width="13.42578125" style="100" customWidth="1"/>
    <col min="1545" max="1545" width="11.42578125" style="100"/>
    <col min="1546" max="1546" width="13.42578125" style="100" bestFit="1" customWidth="1"/>
    <col min="1547" max="1792" width="11.42578125" style="100"/>
    <col min="1793" max="1793" width="16.42578125" style="100" customWidth="1"/>
    <col min="1794" max="1796" width="11.42578125" style="100"/>
    <col min="1797" max="1797" width="14.140625" style="100" bestFit="1" customWidth="1"/>
    <col min="1798" max="1799" width="11.42578125" style="100"/>
    <col min="1800" max="1800" width="13.42578125" style="100" customWidth="1"/>
    <col min="1801" max="1801" width="11.42578125" style="100"/>
    <col min="1802" max="1802" width="13.42578125" style="100" bestFit="1" customWidth="1"/>
    <col min="1803" max="2048" width="11.42578125" style="100"/>
    <col min="2049" max="2049" width="16.42578125" style="100" customWidth="1"/>
    <col min="2050" max="2052" width="11.42578125" style="100"/>
    <col min="2053" max="2053" width="14.140625" style="100" bestFit="1" customWidth="1"/>
    <col min="2054" max="2055" width="11.42578125" style="100"/>
    <col min="2056" max="2056" width="13.42578125" style="100" customWidth="1"/>
    <col min="2057" max="2057" width="11.42578125" style="100"/>
    <col min="2058" max="2058" width="13.42578125" style="100" bestFit="1" customWidth="1"/>
    <col min="2059" max="2304" width="11.42578125" style="100"/>
    <col min="2305" max="2305" width="16.42578125" style="100" customWidth="1"/>
    <col min="2306" max="2308" width="11.42578125" style="100"/>
    <col min="2309" max="2309" width="14.140625" style="100" bestFit="1" customWidth="1"/>
    <col min="2310" max="2311" width="11.42578125" style="100"/>
    <col min="2312" max="2312" width="13.42578125" style="100" customWidth="1"/>
    <col min="2313" max="2313" width="11.42578125" style="100"/>
    <col min="2314" max="2314" width="13.42578125" style="100" bestFit="1" customWidth="1"/>
    <col min="2315" max="2560" width="11.42578125" style="100"/>
    <col min="2561" max="2561" width="16.42578125" style="100" customWidth="1"/>
    <col min="2562" max="2564" width="11.42578125" style="100"/>
    <col min="2565" max="2565" width="14.140625" style="100" bestFit="1" customWidth="1"/>
    <col min="2566" max="2567" width="11.42578125" style="100"/>
    <col min="2568" max="2568" width="13.42578125" style="100" customWidth="1"/>
    <col min="2569" max="2569" width="11.42578125" style="100"/>
    <col min="2570" max="2570" width="13.42578125" style="100" bestFit="1" customWidth="1"/>
    <col min="2571" max="2816" width="11.42578125" style="100"/>
    <col min="2817" max="2817" width="16.42578125" style="100" customWidth="1"/>
    <col min="2818" max="2820" width="11.42578125" style="100"/>
    <col min="2821" max="2821" width="14.140625" style="100" bestFit="1" customWidth="1"/>
    <col min="2822" max="2823" width="11.42578125" style="100"/>
    <col min="2824" max="2824" width="13.42578125" style="100" customWidth="1"/>
    <col min="2825" max="2825" width="11.42578125" style="100"/>
    <col min="2826" max="2826" width="13.42578125" style="100" bestFit="1" customWidth="1"/>
    <col min="2827" max="3072" width="11.42578125" style="100"/>
    <col min="3073" max="3073" width="16.42578125" style="100" customWidth="1"/>
    <col min="3074" max="3076" width="11.42578125" style="100"/>
    <col min="3077" max="3077" width="14.140625" style="100" bestFit="1" customWidth="1"/>
    <col min="3078" max="3079" width="11.42578125" style="100"/>
    <col min="3080" max="3080" width="13.42578125" style="100" customWidth="1"/>
    <col min="3081" max="3081" width="11.42578125" style="100"/>
    <col min="3082" max="3082" width="13.42578125" style="100" bestFit="1" customWidth="1"/>
    <col min="3083" max="3328" width="11.42578125" style="100"/>
    <col min="3329" max="3329" width="16.42578125" style="100" customWidth="1"/>
    <col min="3330" max="3332" width="11.42578125" style="100"/>
    <col min="3333" max="3333" width="14.140625" style="100" bestFit="1" customWidth="1"/>
    <col min="3334" max="3335" width="11.42578125" style="100"/>
    <col min="3336" max="3336" width="13.42578125" style="100" customWidth="1"/>
    <col min="3337" max="3337" width="11.42578125" style="100"/>
    <col min="3338" max="3338" width="13.42578125" style="100" bestFit="1" customWidth="1"/>
    <col min="3339" max="3584" width="11.42578125" style="100"/>
    <col min="3585" max="3585" width="16.42578125" style="100" customWidth="1"/>
    <col min="3586" max="3588" width="11.42578125" style="100"/>
    <col min="3589" max="3589" width="14.140625" style="100" bestFit="1" customWidth="1"/>
    <col min="3590" max="3591" width="11.42578125" style="100"/>
    <col min="3592" max="3592" width="13.42578125" style="100" customWidth="1"/>
    <col min="3593" max="3593" width="11.42578125" style="100"/>
    <col min="3594" max="3594" width="13.42578125" style="100" bestFit="1" customWidth="1"/>
    <col min="3595" max="3840" width="11.42578125" style="100"/>
    <col min="3841" max="3841" width="16.42578125" style="100" customWidth="1"/>
    <col min="3842" max="3844" width="11.42578125" style="100"/>
    <col min="3845" max="3845" width="14.140625" style="100" bestFit="1" customWidth="1"/>
    <col min="3846" max="3847" width="11.42578125" style="100"/>
    <col min="3848" max="3848" width="13.42578125" style="100" customWidth="1"/>
    <col min="3849" max="3849" width="11.42578125" style="100"/>
    <col min="3850" max="3850" width="13.42578125" style="100" bestFit="1" customWidth="1"/>
    <col min="3851" max="4096" width="11.42578125" style="100"/>
    <col min="4097" max="4097" width="16.42578125" style="100" customWidth="1"/>
    <col min="4098" max="4100" width="11.42578125" style="100"/>
    <col min="4101" max="4101" width="14.140625" style="100" bestFit="1" customWidth="1"/>
    <col min="4102" max="4103" width="11.42578125" style="100"/>
    <col min="4104" max="4104" width="13.42578125" style="100" customWidth="1"/>
    <col min="4105" max="4105" width="11.42578125" style="100"/>
    <col min="4106" max="4106" width="13.42578125" style="100" bestFit="1" customWidth="1"/>
    <col min="4107" max="4352" width="11.42578125" style="100"/>
    <col min="4353" max="4353" width="16.42578125" style="100" customWidth="1"/>
    <col min="4354" max="4356" width="11.42578125" style="100"/>
    <col min="4357" max="4357" width="14.140625" style="100" bestFit="1" customWidth="1"/>
    <col min="4358" max="4359" width="11.42578125" style="100"/>
    <col min="4360" max="4360" width="13.42578125" style="100" customWidth="1"/>
    <col min="4361" max="4361" width="11.42578125" style="100"/>
    <col min="4362" max="4362" width="13.42578125" style="100" bestFit="1" customWidth="1"/>
    <col min="4363" max="4608" width="11.42578125" style="100"/>
    <col min="4609" max="4609" width="16.42578125" style="100" customWidth="1"/>
    <col min="4610" max="4612" width="11.42578125" style="100"/>
    <col min="4613" max="4613" width="14.140625" style="100" bestFit="1" customWidth="1"/>
    <col min="4614" max="4615" width="11.42578125" style="100"/>
    <col min="4616" max="4616" width="13.42578125" style="100" customWidth="1"/>
    <col min="4617" max="4617" width="11.42578125" style="100"/>
    <col min="4618" max="4618" width="13.42578125" style="100" bestFit="1" customWidth="1"/>
    <col min="4619" max="4864" width="11.42578125" style="100"/>
    <col min="4865" max="4865" width="16.42578125" style="100" customWidth="1"/>
    <col min="4866" max="4868" width="11.42578125" style="100"/>
    <col min="4869" max="4869" width="14.140625" style="100" bestFit="1" customWidth="1"/>
    <col min="4870" max="4871" width="11.42578125" style="100"/>
    <col min="4872" max="4872" width="13.42578125" style="100" customWidth="1"/>
    <col min="4873" max="4873" width="11.42578125" style="100"/>
    <col min="4874" max="4874" width="13.42578125" style="100" bestFit="1" customWidth="1"/>
    <col min="4875" max="5120" width="11.42578125" style="100"/>
    <col min="5121" max="5121" width="16.42578125" style="100" customWidth="1"/>
    <col min="5122" max="5124" width="11.42578125" style="100"/>
    <col min="5125" max="5125" width="14.140625" style="100" bestFit="1" customWidth="1"/>
    <col min="5126" max="5127" width="11.42578125" style="100"/>
    <col min="5128" max="5128" width="13.42578125" style="100" customWidth="1"/>
    <col min="5129" max="5129" width="11.42578125" style="100"/>
    <col min="5130" max="5130" width="13.42578125" style="100" bestFit="1" customWidth="1"/>
    <col min="5131" max="5376" width="11.42578125" style="100"/>
    <col min="5377" max="5377" width="16.42578125" style="100" customWidth="1"/>
    <col min="5378" max="5380" width="11.42578125" style="100"/>
    <col min="5381" max="5381" width="14.140625" style="100" bestFit="1" customWidth="1"/>
    <col min="5382" max="5383" width="11.42578125" style="100"/>
    <col min="5384" max="5384" width="13.42578125" style="100" customWidth="1"/>
    <col min="5385" max="5385" width="11.42578125" style="100"/>
    <col min="5386" max="5386" width="13.42578125" style="100" bestFit="1" customWidth="1"/>
    <col min="5387" max="5632" width="11.42578125" style="100"/>
    <col min="5633" max="5633" width="16.42578125" style="100" customWidth="1"/>
    <col min="5634" max="5636" width="11.42578125" style="100"/>
    <col min="5637" max="5637" width="14.140625" style="100" bestFit="1" customWidth="1"/>
    <col min="5638" max="5639" width="11.42578125" style="100"/>
    <col min="5640" max="5640" width="13.42578125" style="100" customWidth="1"/>
    <col min="5641" max="5641" width="11.42578125" style="100"/>
    <col min="5642" max="5642" width="13.42578125" style="100" bestFit="1" customWidth="1"/>
    <col min="5643" max="5888" width="11.42578125" style="100"/>
    <col min="5889" max="5889" width="16.42578125" style="100" customWidth="1"/>
    <col min="5890" max="5892" width="11.42578125" style="100"/>
    <col min="5893" max="5893" width="14.140625" style="100" bestFit="1" customWidth="1"/>
    <col min="5894" max="5895" width="11.42578125" style="100"/>
    <col min="5896" max="5896" width="13.42578125" style="100" customWidth="1"/>
    <col min="5897" max="5897" width="11.42578125" style="100"/>
    <col min="5898" max="5898" width="13.42578125" style="100" bestFit="1" customWidth="1"/>
    <col min="5899" max="6144" width="11.42578125" style="100"/>
    <col min="6145" max="6145" width="16.42578125" style="100" customWidth="1"/>
    <col min="6146" max="6148" width="11.42578125" style="100"/>
    <col min="6149" max="6149" width="14.140625" style="100" bestFit="1" customWidth="1"/>
    <col min="6150" max="6151" width="11.42578125" style="100"/>
    <col min="6152" max="6152" width="13.42578125" style="100" customWidth="1"/>
    <col min="6153" max="6153" width="11.42578125" style="100"/>
    <col min="6154" max="6154" width="13.42578125" style="100" bestFit="1" customWidth="1"/>
    <col min="6155" max="6400" width="11.42578125" style="100"/>
    <col min="6401" max="6401" width="16.42578125" style="100" customWidth="1"/>
    <col min="6402" max="6404" width="11.42578125" style="100"/>
    <col min="6405" max="6405" width="14.140625" style="100" bestFit="1" customWidth="1"/>
    <col min="6406" max="6407" width="11.42578125" style="100"/>
    <col min="6408" max="6408" width="13.42578125" style="100" customWidth="1"/>
    <col min="6409" max="6409" width="11.42578125" style="100"/>
    <col min="6410" max="6410" width="13.42578125" style="100" bestFit="1" customWidth="1"/>
    <col min="6411" max="6656" width="11.42578125" style="100"/>
    <col min="6657" max="6657" width="16.42578125" style="100" customWidth="1"/>
    <col min="6658" max="6660" width="11.42578125" style="100"/>
    <col min="6661" max="6661" width="14.140625" style="100" bestFit="1" customWidth="1"/>
    <col min="6662" max="6663" width="11.42578125" style="100"/>
    <col min="6664" max="6664" width="13.42578125" style="100" customWidth="1"/>
    <col min="6665" max="6665" width="11.42578125" style="100"/>
    <col min="6666" max="6666" width="13.42578125" style="100" bestFit="1" customWidth="1"/>
    <col min="6667" max="6912" width="11.42578125" style="100"/>
    <col min="6913" max="6913" width="16.42578125" style="100" customWidth="1"/>
    <col min="6914" max="6916" width="11.42578125" style="100"/>
    <col min="6917" max="6917" width="14.140625" style="100" bestFit="1" customWidth="1"/>
    <col min="6918" max="6919" width="11.42578125" style="100"/>
    <col min="6920" max="6920" width="13.42578125" style="100" customWidth="1"/>
    <col min="6921" max="6921" width="11.42578125" style="100"/>
    <col min="6922" max="6922" width="13.42578125" style="100" bestFit="1" customWidth="1"/>
    <col min="6923" max="7168" width="11.42578125" style="100"/>
    <col min="7169" max="7169" width="16.42578125" style="100" customWidth="1"/>
    <col min="7170" max="7172" width="11.42578125" style="100"/>
    <col min="7173" max="7173" width="14.140625" style="100" bestFit="1" customWidth="1"/>
    <col min="7174" max="7175" width="11.42578125" style="100"/>
    <col min="7176" max="7176" width="13.42578125" style="100" customWidth="1"/>
    <col min="7177" max="7177" width="11.42578125" style="100"/>
    <col min="7178" max="7178" width="13.42578125" style="100" bestFit="1" customWidth="1"/>
    <col min="7179" max="7424" width="11.42578125" style="100"/>
    <col min="7425" max="7425" width="16.42578125" style="100" customWidth="1"/>
    <col min="7426" max="7428" width="11.42578125" style="100"/>
    <col min="7429" max="7429" width="14.140625" style="100" bestFit="1" customWidth="1"/>
    <col min="7430" max="7431" width="11.42578125" style="100"/>
    <col min="7432" max="7432" width="13.42578125" style="100" customWidth="1"/>
    <col min="7433" max="7433" width="11.42578125" style="100"/>
    <col min="7434" max="7434" width="13.42578125" style="100" bestFit="1" customWidth="1"/>
    <col min="7435" max="7680" width="11.42578125" style="100"/>
    <col min="7681" max="7681" width="16.42578125" style="100" customWidth="1"/>
    <col min="7682" max="7684" width="11.42578125" style="100"/>
    <col min="7685" max="7685" width="14.140625" style="100" bestFit="1" customWidth="1"/>
    <col min="7686" max="7687" width="11.42578125" style="100"/>
    <col min="7688" max="7688" width="13.42578125" style="100" customWidth="1"/>
    <col min="7689" max="7689" width="11.42578125" style="100"/>
    <col min="7690" max="7690" width="13.42578125" style="100" bestFit="1" customWidth="1"/>
    <col min="7691" max="7936" width="11.42578125" style="100"/>
    <col min="7937" max="7937" width="16.42578125" style="100" customWidth="1"/>
    <col min="7938" max="7940" width="11.42578125" style="100"/>
    <col min="7941" max="7941" width="14.140625" style="100" bestFit="1" customWidth="1"/>
    <col min="7942" max="7943" width="11.42578125" style="100"/>
    <col min="7944" max="7944" width="13.42578125" style="100" customWidth="1"/>
    <col min="7945" max="7945" width="11.42578125" style="100"/>
    <col min="7946" max="7946" width="13.42578125" style="100" bestFit="1" customWidth="1"/>
    <col min="7947" max="8192" width="11.42578125" style="100"/>
    <col min="8193" max="8193" width="16.42578125" style="100" customWidth="1"/>
    <col min="8194" max="8196" width="11.42578125" style="100"/>
    <col min="8197" max="8197" width="14.140625" style="100" bestFit="1" customWidth="1"/>
    <col min="8198" max="8199" width="11.42578125" style="100"/>
    <col min="8200" max="8200" width="13.42578125" style="100" customWidth="1"/>
    <col min="8201" max="8201" width="11.42578125" style="100"/>
    <col min="8202" max="8202" width="13.42578125" style="100" bestFit="1" customWidth="1"/>
    <col min="8203" max="8448" width="11.42578125" style="100"/>
    <col min="8449" max="8449" width="16.42578125" style="100" customWidth="1"/>
    <col min="8450" max="8452" width="11.42578125" style="100"/>
    <col min="8453" max="8453" width="14.140625" style="100" bestFit="1" customWidth="1"/>
    <col min="8454" max="8455" width="11.42578125" style="100"/>
    <col min="8456" max="8456" width="13.42578125" style="100" customWidth="1"/>
    <col min="8457" max="8457" width="11.42578125" style="100"/>
    <col min="8458" max="8458" width="13.42578125" style="100" bestFit="1" customWidth="1"/>
    <col min="8459" max="8704" width="11.42578125" style="100"/>
    <col min="8705" max="8705" width="16.42578125" style="100" customWidth="1"/>
    <col min="8706" max="8708" width="11.42578125" style="100"/>
    <col min="8709" max="8709" width="14.140625" style="100" bestFit="1" customWidth="1"/>
    <col min="8710" max="8711" width="11.42578125" style="100"/>
    <col min="8712" max="8712" width="13.42578125" style="100" customWidth="1"/>
    <col min="8713" max="8713" width="11.42578125" style="100"/>
    <col min="8714" max="8714" width="13.42578125" style="100" bestFit="1" customWidth="1"/>
    <col min="8715" max="8960" width="11.42578125" style="100"/>
    <col min="8961" max="8961" width="16.42578125" style="100" customWidth="1"/>
    <col min="8962" max="8964" width="11.42578125" style="100"/>
    <col min="8965" max="8965" width="14.140625" style="100" bestFit="1" customWidth="1"/>
    <col min="8966" max="8967" width="11.42578125" style="100"/>
    <col min="8968" max="8968" width="13.42578125" style="100" customWidth="1"/>
    <col min="8969" max="8969" width="11.42578125" style="100"/>
    <col min="8970" max="8970" width="13.42578125" style="100" bestFit="1" customWidth="1"/>
    <col min="8971" max="9216" width="11.42578125" style="100"/>
    <col min="9217" max="9217" width="16.42578125" style="100" customWidth="1"/>
    <col min="9218" max="9220" width="11.42578125" style="100"/>
    <col min="9221" max="9221" width="14.140625" style="100" bestFit="1" customWidth="1"/>
    <col min="9222" max="9223" width="11.42578125" style="100"/>
    <col min="9224" max="9224" width="13.42578125" style="100" customWidth="1"/>
    <col min="9225" max="9225" width="11.42578125" style="100"/>
    <col min="9226" max="9226" width="13.42578125" style="100" bestFit="1" customWidth="1"/>
    <col min="9227" max="9472" width="11.42578125" style="100"/>
    <col min="9473" max="9473" width="16.42578125" style="100" customWidth="1"/>
    <col min="9474" max="9476" width="11.42578125" style="100"/>
    <col min="9477" max="9477" width="14.140625" style="100" bestFit="1" customWidth="1"/>
    <col min="9478" max="9479" width="11.42578125" style="100"/>
    <col min="9480" max="9480" width="13.42578125" style="100" customWidth="1"/>
    <col min="9481" max="9481" width="11.42578125" style="100"/>
    <col min="9482" max="9482" width="13.42578125" style="100" bestFit="1" customWidth="1"/>
    <col min="9483" max="9728" width="11.42578125" style="100"/>
    <col min="9729" max="9729" width="16.42578125" style="100" customWidth="1"/>
    <col min="9730" max="9732" width="11.42578125" style="100"/>
    <col min="9733" max="9733" width="14.140625" style="100" bestFit="1" customWidth="1"/>
    <col min="9734" max="9735" width="11.42578125" style="100"/>
    <col min="9736" max="9736" width="13.42578125" style="100" customWidth="1"/>
    <col min="9737" max="9737" width="11.42578125" style="100"/>
    <col min="9738" max="9738" width="13.42578125" style="100" bestFit="1" customWidth="1"/>
    <col min="9739" max="9984" width="11.42578125" style="100"/>
    <col min="9985" max="9985" width="16.42578125" style="100" customWidth="1"/>
    <col min="9986" max="9988" width="11.42578125" style="100"/>
    <col min="9989" max="9989" width="14.140625" style="100" bestFit="1" customWidth="1"/>
    <col min="9990" max="9991" width="11.42578125" style="100"/>
    <col min="9992" max="9992" width="13.42578125" style="100" customWidth="1"/>
    <col min="9993" max="9993" width="11.42578125" style="100"/>
    <col min="9994" max="9994" width="13.42578125" style="100" bestFit="1" customWidth="1"/>
    <col min="9995" max="10240" width="11.42578125" style="100"/>
    <col min="10241" max="10241" width="16.42578125" style="100" customWidth="1"/>
    <col min="10242" max="10244" width="11.42578125" style="100"/>
    <col min="10245" max="10245" width="14.140625" style="100" bestFit="1" customWidth="1"/>
    <col min="10246" max="10247" width="11.42578125" style="100"/>
    <col min="10248" max="10248" width="13.42578125" style="100" customWidth="1"/>
    <col min="10249" max="10249" width="11.42578125" style="100"/>
    <col min="10250" max="10250" width="13.42578125" style="100" bestFit="1" customWidth="1"/>
    <col min="10251" max="10496" width="11.42578125" style="100"/>
    <col min="10497" max="10497" width="16.42578125" style="100" customWidth="1"/>
    <col min="10498" max="10500" width="11.42578125" style="100"/>
    <col min="10501" max="10501" width="14.140625" style="100" bestFit="1" customWidth="1"/>
    <col min="10502" max="10503" width="11.42578125" style="100"/>
    <col min="10504" max="10504" width="13.42578125" style="100" customWidth="1"/>
    <col min="10505" max="10505" width="11.42578125" style="100"/>
    <col min="10506" max="10506" width="13.42578125" style="100" bestFit="1" customWidth="1"/>
    <col min="10507" max="10752" width="11.42578125" style="100"/>
    <col min="10753" max="10753" width="16.42578125" style="100" customWidth="1"/>
    <col min="10754" max="10756" width="11.42578125" style="100"/>
    <col min="10757" max="10757" width="14.140625" style="100" bestFit="1" customWidth="1"/>
    <col min="10758" max="10759" width="11.42578125" style="100"/>
    <col min="10760" max="10760" width="13.42578125" style="100" customWidth="1"/>
    <col min="10761" max="10761" width="11.42578125" style="100"/>
    <col min="10762" max="10762" width="13.42578125" style="100" bestFit="1" customWidth="1"/>
    <col min="10763" max="11008" width="11.42578125" style="100"/>
    <col min="11009" max="11009" width="16.42578125" style="100" customWidth="1"/>
    <col min="11010" max="11012" width="11.42578125" style="100"/>
    <col min="11013" max="11013" width="14.140625" style="100" bestFit="1" customWidth="1"/>
    <col min="11014" max="11015" width="11.42578125" style="100"/>
    <col min="11016" max="11016" width="13.42578125" style="100" customWidth="1"/>
    <col min="11017" max="11017" width="11.42578125" style="100"/>
    <col min="11018" max="11018" width="13.42578125" style="100" bestFit="1" customWidth="1"/>
    <col min="11019" max="11264" width="11.42578125" style="100"/>
    <col min="11265" max="11265" width="16.42578125" style="100" customWidth="1"/>
    <col min="11266" max="11268" width="11.42578125" style="100"/>
    <col min="11269" max="11269" width="14.140625" style="100" bestFit="1" customWidth="1"/>
    <col min="11270" max="11271" width="11.42578125" style="100"/>
    <col min="11272" max="11272" width="13.42578125" style="100" customWidth="1"/>
    <col min="11273" max="11273" width="11.42578125" style="100"/>
    <col min="11274" max="11274" width="13.42578125" style="100" bestFit="1" customWidth="1"/>
    <col min="11275" max="11520" width="11.42578125" style="100"/>
    <col min="11521" max="11521" width="16.42578125" style="100" customWidth="1"/>
    <col min="11522" max="11524" width="11.42578125" style="100"/>
    <col min="11525" max="11525" width="14.140625" style="100" bestFit="1" customWidth="1"/>
    <col min="11526" max="11527" width="11.42578125" style="100"/>
    <col min="11528" max="11528" width="13.42578125" style="100" customWidth="1"/>
    <col min="11529" max="11529" width="11.42578125" style="100"/>
    <col min="11530" max="11530" width="13.42578125" style="100" bestFit="1" customWidth="1"/>
    <col min="11531" max="11776" width="11.42578125" style="100"/>
    <col min="11777" max="11777" width="16.42578125" style="100" customWidth="1"/>
    <col min="11778" max="11780" width="11.42578125" style="100"/>
    <col min="11781" max="11781" width="14.140625" style="100" bestFit="1" customWidth="1"/>
    <col min="11782" max="11783" width="11.42578125" style="100"/>
    <col min="11784" max="11784" width="13.42578125" style="100" customWidth="1"/>
    <col min="11785" max="11785" width="11.42578125" style="100"/>
    <col min="11786" max="11786" width="13.42578125" style="100" bestFit="1" customWidth="1"/>
    <col min="11787" max="12032" width="11.42578125" style="100"/>
    <col min="12033" max="12033" width="16.42578125" style="100" customWidth="1"/>
    <col min="12034" max="12036" width="11.42578125" style="100"/>
    <col min="12037" max="12037" width="14.140625" style="100" bestFit="1" customWidth="1"/>
    <col min="12038" max="12039" width="11.42578125" style="100"/>
    <col min="12040" max="12040" width="13.42578125" style="100" customWidth="1"/>
    <col min="12041" max="12041" width="11.42578125" style="100"/>
    <col min="12042" max="12042" width="13.42578125" style="100" bestFit="1" customWidth="1"/>
    <col min="12043" max="12288" width="11.42578125" style="100"/>
    <col min="12289" max="12289" width="16.42578125" style="100" customWidth="1"/>
    <col min="12290" max="12292" width="11.42578125" style="100"/>
    <col min="12293" max="12293" width="14.140625" style="100" bestFit="1" customWidth="1"/>
    <col min="12294" max="12295" width="11.42578125" style="100"/>
    <col min="12296" max="12296" width="13.42578125" style="100" customWidth="1"/>
    <col min="12297" max="12297" width="11.42578125" style="100"/>
    <col min="12298" max="12298" width="13.42578125" style="100" bestFit="1" customWidth="1"/>
    <col min="12299" max="12544" width="11.42578125" style="100"/>
    <col min="12545" max="12545" width="16.42578125" style="100" customWidth="1"/>
    <col min="12546" max="12548" width="11.42578125" style="100"/>
    <col min="12549" max="12549" width="14.140625" style="100" bestFit="1" customWidth="1"/>
    <col min="12550" max="12551" width="11.42578125" style="100"/>
    <col min="12552" max="12552" width="13.42578125" style="100" customWidth="1"/>
    <col min="12553" max="12553" width="11.42578125" style="100"/>
    <col min="12554" max="12554" width="13.42578125" style="100" bestFit="1" customWidth="1"/>
    <col min="12555" max="12800" width="11.42578125" style="100"/>
    <col min="12801" max="12801" width="16.42578125" style="100" customWidth="1"/>
    <col min="12802" max="12804" width="11.42578125" style="100"/>
    <col min="12805" max="12805" width="14.140625" style="100" bestFit="1" customWidth="1"/>
    <col min="12806" max="12807" width="11.42578125" style="100"/>
    <col min="12808" max="12808" width="13.42578125" style="100" customWidth="1"/>
    <col min="12809" max="12809" width="11.42578125" style="100"/>
    <col min="12810" max="12810" width="13.42578125" style="100" bestFit="1" customWidth="1"/>
    <col min="12811" max="13056" width="11.42578125" style="100"/>
    <col min="13057" max="13057" width="16.42578125" style="100" customWidth="1"/>
    <col min="13058" max="13060" width="11.42578125" style="100"/>
    <col min="13061" max="13061" width="14.140625" style="100" bestFit="1" customWidth="1"/>
    <col min="13062" max="13063" width="11.42578125" style="100"/>
    <col min="13064" max="13064" width="13.42578125" style="100" customWidth="1"/>
    <col min="13065" max="13065" width="11.42578125" style="100"/>
    <col min="13066" max="13066" width="13.42578125" style="100" bestFit="1" customWidth="1"/>
    <col min="13067" max="13312" width="11.42578125" style="100"/>
    <col min="13313" max="13313" width="16.42578125" style="100" customWidth="1"/>
    <col min="13314" max="13316" width="11.42578125" style="100"/>
    <col min="13317" max="13317" width="14.140625" style="100" bestFit="1" customWidth="1"/>
    <col min="13318" max="13319" width="11.42578125" style="100"/>
    <col min="13320" max="13320" width="13.42578125" style="100" customWidth="1"/>
    <col min="13321" max="13321" width="11.42578125" style="100"/>
    <col min="13322" max="13322" width="13.42578125" style="100" bestFit="1" customWidth="1"/>
    <col min="13323" max="13568" width="11.42578125" style="100"/>
    <col min="13569" max="13569" width="16.42578125" style="100" customWidth="1"/>
    <col min="13570" max="13572" width="11.42578125" style="100"/>
    <col min="13573" max="13573" width="14.140625" style="100" bestFit="1" customWidth="1"/>
    <col min="13574" max="13575" width="11.42578125" style="100"/>
    <col min="13576" max="13576" width="13.42578125" style="100" customWidth="1"/>
    <col min="13577" max="13577" width="11.42578125" style="100"/>
    <col min="13578" max="13578" width="13.42578125" style="100" bestFit="1" customWidth="1"/>
    <col min="13579" max="13824" width="11.42578125" style="100"/>
    <col min="13825" max="13825" width="16.42578125" style="100" customWidth="1"/>
    <col min="13826" max="13828" width="11.42578125" style="100"/>
    <col min="13829" max="13829" width="14.140625" style="100" bestFit="1" customWidth="1"/>
    <col min="13830" max="13831" width="11.42578125" style="100"/>
    <col min="13832" max="13832" width="13.42578125" style="100" customWidth="1"/>
    <col min="13833" max="13833" width="11.42578125" style="100"/>
    <col min="13834" max="13834" width="13.42578125" style="100" bestFit="1" customWidth="1"/>
    <col min="13835" max="14080" width="11.42578125" style="100"/>
    <col min="14081" max="14081" width="16.42578125" style="100" customWidth="1"/>
    <col min="14082" max="14084" width="11.42578125" style="100"/>
    <col min="14085" max="14085" width="14.140625" style="100" bestFit="1" customWidth="1"/>
    <col min="14086" max="14087" width="11.42578125" style="100"/>
    <col min="14088" max="14088" width="13.42578125" style="100" customWidth="1"/>
    <col min="14089" max="14089" width="11.42578125" style="100"/>
    <col min="14090" max="14090" width="13.42578125" style="100" bestFit="1" customWidth="1"/>
    <col min="14091" max="14336" width="11.42578125" style="100"/>
    <col min="14337" max="14337" width="16.42578125" style="100" customWidth="1"/>
    <col min="14338" max="14340" width="11.42578125" style="100"/>
    <col min="14341" max="14341" width="14.140625" style="100" bestFit="1" customWidth="1"/>
    <col min="14342" max="14343" width="11.42578125" style="100"/>
    <col min="14344" max="14344" width="13.42578125" style="100" customWidth="1"/>
    <col min="14345" max="14345" width="11.42578125" style="100"/>
    <col min="14346" max="14346" width="13.42578125" style="100" bestFit="1" customWidth="1"/>
    <col min="14347" max="14592" width="11.42578125" style="100"/>
    <col min="14593" max="14593" width="16.42578125" style="100" customWidth="1"/>
    <col min="14594" max="14596" width="11.42578125" style="100"/>
    <col min="14597" max="14597" width="14.140625" style="100" bestFit="1" customWidth="1"/>
    <col min="14598" max="14599" width="11.42578125" style="100"/>
    <col min="14600" max="14600" width="13.42578125" style="100" customWidth="1"/>
    <col min="14601" max="14601" width="11.42578125" style="100"/>
    <col min="14602" max="14602" width="13.42578125" style="100" bestFit="1" customWidth="1"/>
    <col min="14603" max="14848" width="11.42578125" style="100"/>
    <col min="14849" max="14849" width="16.42578125" style="100" customWidth="1"/>
    <col min="14850" max="14852" width="11.42578125" style="100"/>
    <col min="14853" max="14853" width="14.140625" style="100" bestFit="1" customWidth="1"/>
    <col min="14854" max="14855" width="11.42578125" style="100"/>
    <col min="14856" max="14856" width="13.42578125" style="100" customWidth="1"/>
    <col min="14857" max="14857" width="11.42578125" style="100"/>
    <col min="14858" max="14858" width="13.42578125" style="100" bestFit="1" customWidth="1"/>
    <col min="14859" max="15104" width="11.42578125" style="100"/>
    <col min="15105" max="15105" width="16.42578125" style="100" customWidth="1"/>
    <col min="15106" max="15108" width="11.42578125" style="100"/>
    <col min="15109" max="15109" width="14.140625" style="100" bestFit="1" customWidth="1"/>
    <col min="15110" max="15111" width="11.42578125" style="100"/>
    <col min="15112" max="15112" width="13.42578125" style="100" customWidth="1"/>
    <col min="15113" max="15113" width="11.42578125" style="100"/>
    <col min="15114" max="15114" width="13.42578125" style="100" bestFit="1" customWidth="1"/>
    <col min="15115" max="15360" width="11.42578125" style="100"/>
    <col min="15361" max="15361" width="16.42578125" style="100" customWidth="1"/>
    <col min="15362" max="15364" width="11.42578125" style="100"/>
    <col min="15365" max="15365" width="14.140625" style="100" bestFit="1" customWidth="1"/>
    <col min="15366" max="15367" width="11.42578125" style="100"/>
    <col min="15368" max="15368" width="13.42578125" style="100" customWidth="1"/>
    <col min="15369" max="15369" width="11.42578125" style="100"/>
    <col min="15370" max="15370" width="13.42578125" style="100" bestFit="1" customWidth="1"/>
    <col min="15371" max="15616" width="11.42578125" style="100"/>
    <col min="15617" max="15617" width="16.42578125" style="100" customWidth="1"/>
    <col min="15618" max="15620" width="11.42578125" style="100"/>
    <col min="15621" max="15621" width="14.140625" style="100" bestFit="1" customWidth="1"/>
    <col min="15622" max="15623" width="11.42578125" style="100"/>
    <col min="15624" max="15624" width="13.42578125" style="100" customWidth="1"/>
    <col min="15625" max="15625" width="11.42578125" style="100"/>
    <col min="15626" max="15626" width="13.42578125" style="100" bestFit="1" customWidth="1"/>
    <col min="15627" max="15872" width="11.42578125" style="100"/>
    <col min="15873" max="15873" width="16.42578125" style="100" customWidth="1"/>
    <col min="15874" max="15876" width="11.42578125" style="100"/>
    <col min="15877" max="15877" width="14.140625" style="100" bestFit="1" customWidth="1"/>
    <col min="15878" max="15879" width="11.42578125" style="100"/>
    <col min="15880" max="15880" width="13.42578125" style="100" customWidth="1"/>
    <col min="15881" max="15881" width="11.42578125" style="100"/>
    <col min="15882" max="15882" width="13.42578125" style="100" bestFit="1" customWidth="1"/>
    <col min="15883" max="16128" width="11.42578125" style="100"/>
    <col min="16129" max="16129" width="16.42578125" style="100" customWidth="1"/>
    <col min="16130" max="16132" width="11.42578125" style="100"/>
    <col min="16133" max="16133" width="14.140625" style="100" bestFit="1" customWidth="1"/>
    <col min="16134" max="16135" width="11.42578125" style="100"/>
    <col min="16136" max="16136" width="13.42578125" style="100" customWidth="1"/>
    <col min="16137" max="16137" width="11.42578125" style="100"/>
    <col min="16138" max="16138" width="13.42578125" style="100" bestFit="1" customWidth="1"/>
    <col min="16139" max="16384" width="11.42578125" style="100"/>
  </cols>
  <sheetData>
    <row r="5" spans="2:9" x14ac:dyDescent="0.2">
      <c r="B5" s="99"/>
      <c r="C5" s="99"/>
      <c r="D5" s="99"/>
      <c r="E5" s="99"/>
      <c r="F5" s="99"/>
      <c r="G5" s="99"/>
      <c r="H5" s="99"/>
    </row>
    <row r="6" spans="2:9" ht="23.25" x14ac:dyDescent="0.35">
      <c r="B6" s="101"/>
      <c r="C6" s="99"/>
      <c r="D6" s="99"/>
      <c r="E6" s="99"/>
      <c r="F6" s="99"/>
      <c r="G6" s="99"/>
      <c r="H6" s="99"/>
      <c r="I6" s="102"/>
    </row>
    <row r="7" spans="2:9" x14ac:dyDescent="0.2">
      <c r="B7" s="99"/>
      <c r="C7" s="99"/>
      <c r="D7" s="99"/>
      <c r="E7" s="99"/>
      <c r="F7" s="99"/>
      <c r="G7" s="99"/>
      <c r="H7" s="99"/>
      <c r="I7" s="99"/>
    </row>
    <row r="8" spans="2:9" x14ac:dyDescent="0.2">
      <c r="B8" s="99"/>
      <c r="C8" s="99"/>
      <c r="D8" s="99"/>
      <c r="F8" s="99"/>
      <c r="G8" s="99"/>
      <c r="H8" s="99"/>
    </row>
    <row r="9" spans="2:9" x14ac:dyDescent="0.2">
      <c r="B9" s="99"/>
      <c r="C9" s="99"/>
      <c r="D9" s="99"/>
      <c r="E9" s="99"/>
      <c r="F9" s="99"/>
      <c r="G9" s="99"/>
      <c r="H9" s="99"/>
    </row>
    <row r="10" spans="2:9" ht="23.25" x14ac:dyDescent="0.35">
      <c r="B10" s="99"/>
      <c r="C10" s="99"/>
      <c r="D10" s="99"/>
      <c r="I10" s="102"/>
    </row>
    <row r="11" spans="2:9" x14ac:dyDescent="0.2">
      <c r="B11" s="99"/>
      <c r="C11" s="99"/>
      <c r="D11" s="99"/>
    </row>
    <row r="12" spans="2:9" ht="27" customHeight="1" x14ac:dyDescent="0.35">
      <c r="B12" s="99"/>
      <c r="C12" s="99"/>
      <c r="D12" s="99"/>
      <c r="E12" s="99"/>
      <c r="F12" s="99"/>
      <c r="G12" s="99"/>
      <c r="H12" s="99"/>
      <c r="I12" s="102"/>
    </row>
    <row r="13" spans="2:9" ht="19.5" customHeight="1" x14ac:dyDescent="0.35">
      <c r="B13" s="99"/>
      <c r="C13" s="94"/>
      <c r="D13" s="94"/>
      <c r="E13" s="94"/>
      <c r="F13" s="94"/>
      <c r="G13" s="94"/>
      <c r="H13" s="94"/>
      <c r="I13" s="102"/>
    </row>
    <row r="14" spans="2:9" x14ac:dyDescent="0.2">
      <c r="B14" s="99"/>
      <c r="C14" s="99"/>
      <c r="D14" s="99"/>
      <c r="F14" s="99"/>
      <c r="G14" s="99"/>
      <c r="H14" s="99"/>
    </row>
    <row r="15" spans="2:9" x14ac:dyDescent="0.2">
      <c r="B15" s="99"/>
      <c r="C15" s="99"/>
      <c r="D15" s="99"/>
      <c r="F15" s="99"/>
      <c r="G15" s="99"/>
      <c r="H15" s="99"/>
      <c r="I15" s="99"/>
    </row>
    <row r="16" spans="2:9" ht="34.5" x14ac:dyDescent="0.45">
      <c r="B16" s="99"/>
      <c r="C16" s="99"/>
      <c r="D16" s="99"/>
      <c r="E16" s="103"/>
      <c r="F16" s="99"/>
      <c r="G16" s="99"/>
      <c r="H16" s="99"/>
      <c r="I16" s="99"/>
    </row>
    <row r="17" spans="2:9" ht="33" x14ac:dyDescent="0.45">
      <c r="B17" s="99"/>
      <c r="C17" s="99"/>
      <c r="D17" s="99"/>
      <c r="E17" s="104"/>
      <c r="F17" s="99"/>
      <c r="G17" s="99"/>
      <c r="H17" s="99"/>
      <c r="I17" s="99"/>
    </row>
    <row r="18" spans="2:9" ht="33" x14ac:dyDescent="0.45">
      <c r="D18" s="104"/>
    </row>
    <row r="19" spans="2:9" ht="18.75" x14ac:dyDescent="0.3">
      <c r="E19" s="105"/>
      <c r="I19" s="106"/>
    </row>
    <row r="21" spans="2:9" x14ac:dyDescent="0.2">
      <c r="E21" s="107"/>
    </row>
    <row r="22" spans="2:9" ht="26.25" x14ac:dyDescent="0.4">
      <c r="E22" s="108"/>
    </row>
    <row r="25" spans="2:9" ht="18.75" x14ac:dyDescent="0.3">
      <c r="E25" s="109"/>
    </row>
    <row r="26" spans="2:9" ht="18.75" x14ac:dyDescent="0.3">
      <c r="E26" s="110"/>
    </row>
    <row r="28" spans="2:9" x14ac:dyDescent="0.2">
      <c r="D28" s="94"/>
      <c r="E28" s="94"/>
      <c r="F28" s="94"/>
      <c r="G28" s="94"/>
      <c r="H28" s="94"/>
    </row>
    <row r="33" spans="1:9" ht="35.25" x14ac:dyDescent="0.2">
      <c r="A33" s="111"/>
    </row>
    <row r="36" spans="1:9" ht="33" x14ac:dyDescent="0.2">
      <c r="B36" s="112"/>
    </row>
    <row r="39" spans="1:9" ht="18" x14ac:dyDescent="0.25">
      <c r="B39" s="113"/>
    </row>
    <row r="41" spans="1:9" ht="18.75" x14ac:dyDescent="0.3">
      <c r="I41" s="114"/>
    </row>
    <row r="43" spans="1:9" ht="18.75" x14ac:dyDescent="0.3">
      <c r="B43" s="206"/>
      <c r="C43" s="206"/>
      <c r="D43" s="206"/>
    </row>
    <row r="57" spans="10:10" ht="18.75" x14ac:dyDescent="0.3">
      <c r="J57" s="115"/>
    </row>
  </sheetData>
  <mergeCells count="1">
    <mergeCell ref="B43:D43"/>
  </mergeCells>
  <pageMargins left="0.78740157480314965" right="0.78740157480314965" top="0.98425196850393704" bottom="0.98425196850393704" header="0.51181102362204722" footer="0.51181102362204722"/>
  <pageSetup paperSize="9" scale="8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148</v>
      </c>
      <c r="B4" s="5"/>
      <c r="C4" s="5"/>
      <c r="D4" s="5"/>
      <c r="E4" s="5"/>
      <c r="F4" s="5"/>
      <c r="G4" s="5"/>
      <c r="H4" s="6"/>
    </row>
    <row r="5" spans="1:8" x14ac:dyDescent="0.2">
      <c r="A5" s="7"/>
      <c r="B5" s="8"/>
      <c r="C5" s="9"/>
      <c r="D5" s="8"/>
      <c r="E5" s="10"/>
      <c r="F5" s="11"/>
      <c r="G5" s="212" t="s">
        <v>1</v>
      </c>
      <c r="H5" s="213"/>
    </row>
    <row r="6" spans="1:8" x14ac:dyDescent="0.2">
      <c r="A6" s="12"/>
      <c r="B6" s="13"/>
      <c r="C6" s="14" t="s">
        <v>234</v>
      </c>
      <c r="D6" s="15" t="s">
        <v>235</v>
      </c>
      <c r="E6" s="15" t="s">
        <v>236</v>
      </c>
      <c r="F6" s="16"/>
      <c r="G6" s="17" t="s">
        <v>237</v>
      </c>
      <c r="H6" s="18" t="s">
        <v>238</v>
      </c>
    </row>
    <row r="7" spans="1:8" x14ac:dyDescent="0.2">
      <c r="A7" s="214" t="s">
        <v>42</v>
      </c>
      <c r="B7" s="19" t="s">
        <v>3</v>
      </c>
      <c r="C7" s="20">
        <v>154164.24328634961</v>
      </c>
      <c r="D7" s="20">
        <v>177509.24782434295</v>
      </c>
      <c r="E7" s="21">
        <v>222194.30998228368</v>
      </c>
      <c r="F7" s="22" t="s">
        <v>239</v>
      </c>
      <c r="G7" s="23">
        <v>44.12830449248392</v>
      </c>
      <c r="H7" s="24">
        <v>25.173371362690645</v>
      </c>
    </row>
    <row r="8" spans="1:8" x14ac:dyDescent="0.2">
      <c r="A8" s="215"/>
      <c r="B8" s="25" t="s">
        <v>240</v>
      </c>
      <c r="C8" s="26">
        <v>36252.135017270091</v>
      </c>
      <c r="D8" s="26">
        <v>34728.323898219358</v>
      </c>
      <c r="E8" s="26">
        <v>46049.703657196675</v>
      </c>
      <c r="F8" s="27"/>
      <c r="G8" s="28">
        <v>27.026183796510566</v>
      </c>
      <c r="H8" s="29">
        <v>32.599844991533843</v>
      </c>
    </row>
    <row r="9" spans="1:8" x14ac:dyDescent="0.2">
      <c r="A9" s="30" t="s">
        <v>18</v>
      </c>
      <c r="B9" s="31" t="s">
        <v>3</v>
      </c>
      <c r="C9" s="20">
        <v>9654.8295664633042</v>
      </c>
      <c r="D9" s="20">
        <v>9931.9197217391302</v>
      </c>
      <c r="E9" s="21">
        <v>9769.2783472926094</v>
      </c>
      <c r="F9" s="22" t="s">
        <v>239</v>
      </c>
      <c r="G9" s="32">
        <v>1.1854044656246572</v>
      </c>
      <c r="H9" s="33">
        <v>-1.6375623142676972</v>
      </c>
    </row>
    <row r="10" spans="1:8" x14ac:dyDescent="0.2">
      <c r="A10" s="34"/>
      <c r="B10" s="25" t="s">
        <v>240</v>
      </c>
      <c r="C10" s="26">
        <v>2355.1916135299566</v>
      </c>
      <c r="D10" s="26">
        <v>1709.2085652173914</v>
      </c>
      <c r="E10" s="26">
        <v>1864.242647826087</v>
      </c>
      <c r="F10" s="27"/>
      <c r="G10" s="35">
        <v>-20.845393762592252</v>
      </c>
      <c r="H10" s="29">
        <v>9.0705187046015538</v>
      </c>
    </row>
    <row r="11" spans="1:8" x14ac:dyDescent="0.2">
      <c r="A11" s="30" t="s">
        <v>19</v>
      </c>
      <c r="B11" s="31" t="s">
        <v>3</v>
      </c>
      <c r="C11" s="20">
        <v>6431.7652215443477</v>
      </c>
      <c r="D11" s="20">
        <v>6782.0657391304348</v>
      </c>
      <c r="E11" s="21">
        <v>7539.8029808243928</v>
      </c>
      <c r="F11" s="22" t="s">
        <v>239</v>
      </c>
      <c r="G11" s="37">
        <v>17.227584047509609</v>
      </c>
      <c r="H11" s="33">
        <v>11.172661410844881</v>
      </c>
    </row>
    <row r="12" spans="1:8" x14ac:dyDescent="0.2">
      <c r="A12" s="34"/>
      <c r="B12" s="25" t="s">
        <v>240</v>
      </c>
      <c r="C12" s="26">
        <v>1592.6387117665217</v>
      </c>
      <c r="D12" s="26">
        <v>1565.6952173913044</v>
      </c>
      <c r="E12" s="26">
        <v>1780.8088260869565</v>
      </c>
      <c r="F12" s="27"/>
      <c r="G12" s="28">
        <v>11.814990614646078</v>
      </c>
      <c r="H12" s="29">
        <v>13.739175179577117</v>
      </c>
    </row>
    <row r="13" spans="1:8" x14ac:dyDescent="0.2">
      <c r="A13" s="30" t="s">
        <v>20</v>
      </c>
      <c r="B13" s="31" t="s">
        <v>3</v>
      </c>
      <c r="C13" s="20">
        <v>20706.316772163977</v>
      </c>
      <c r="D13" s="20">
        <v>22790.459875776396</v>
      </c>
      <c r="E13" s="21">
        <v>27757.785925470671</v>
      </c>
      <c r="F13" s="22" t="s">
        <v>239</v>
      </c>
      <c r="G13" s="23">
        <v>34.05467631397471</v>
      </c>
      <c r="H13" s="24">
        <v>21.795637634210109</v>
      </c>
    </row>
    <row r="14" spans="1:8" x14ac:dyDescent="0.2">
      <c r="A14" s="34"/>
      <c r="B14" s="25" t="s">
        <v>240</v>
      </c>
      <c r="C14" s="26">
        <v>4101.3041484602481</v>
      </c>
      <c r="D14" s="26">
        <v>3568.3310559006213</v>
      </c>
      <c r="E14" s="26">
        <v>4672.3851552795031</v>
      </c>
      <c r="F14" s="27"/>
      <c r="G14" s="38">
        <v>13.924375909395948</v>
      </c>
      <c r="H14" s="24">
        <v>30.940349482237906</v>
      </c>
    </row>
    <row r="15" spans="1:8" x14ac:dyDescent="0.2">
      <c r="A15" s="30" t="s">
        <v>21</v>
      </c>
      <c r="B15" s="31" t="s">
        <v>3</v>
      </c>
      <c r="C15" s="20">
        <v>1533.384058547826</v>
      </c>
      <c r="D15" s="20">
        <v>1303.4257971014492</v>
      </c>
      <c r="E15" s="21">
        <v>1396.4917580145427</v>
      </c>
      <c r="F15" s="22" t="s">
        <v>239</v>
      </c>
      <c r="G15" s="37">
        <v>-8.9274633951083047</v>
      </c>
      <c r="H15" s="33">
        <v>7.1401042637066752</v>
      </c>
    </row>
    <row r="16" spans="1:8" x14ac:dyDescent="0.2">
      <c r="A16" s="34"/>
      <c r="B16" s="25" t="s">
        <v>240</v>
      </c>
      <c r="C16" s="26">
        <v>477.08870996757247</v>
      </c>
      <c r="D16" s="26">
        <v>228.09655797101451</v>
      </c>
      <c r="E16" s="26">
        <v>286.11233695652174</v>
      </c>
      <c r="F16" s="27"/>
      <c r="G16" s="28">
        <v>-40.029530991004023</v>
      </c>
      <c r="H16" s="29">
        <v>25.434745487426255</v>
      </c>
    </row>
    <row r="17" spans="1:8" x14ac:dyDescent="0.2">
      <c r="A17" s="30" t="s">
        <v>22</v>
      </c>
      <c r="B17" s="31" t="s">
        <v>3</v>
      </c>
      <c r="C17" s="20">
        <v>5296.3840585478265</v>
      </c>
      <c r="D17" s="20">
        <v>7081.4257971014495</v>
      </c>
      <c r="E17" s="21">
        <v>6731.4469614671898</v>
      </c>
      <c r="F17" s="22" t="s">
        <v>239</v>
      </c>
      <c r="G17" s="37">
        <v>27.09514429194985</v>
      </c>
      <c r="H17" s="33">
        <v>-4.9422086125298677</v>
      </c>
    </row>
    <row r="18" spans="1:8" x14ac:dyDescent="0.2">
      <c r="A18" s="34"/>
      <c r="B18" s="25" t="s">
        <v>240</v>
      </c>
      <c r="C18" s="26">
        <v>1109.0887099675724</v>
      </c>
      <c r="D18" s="26">
        <v>1204.0965579710146</v>
      </c>
      <c r="E18" s="26">
        <v>1221.1123369565216</v>
      </c>
      <c r="F18" s="27"/>
      <c r="G18" s="28">
        <v>10.100510985476035</v>
      </c>
      <c r="H18" s="29">
        <v>1.4131573479605208</v>
      </c>
    </row>
    <row r="19" spans="1:8" x14ac:dyDescent="0.2">
      <c r="A19" s="30" t="s">
        <v>189</v>
      </c>
      <c r="B19" s="31" t="s">
        <v>3</v>
      </c>
      <c r="C19" s="20">
        <v>78412.291930409934</v>
      </c>
      <c r="D19" s="20">
        <v>79580.649689440994</v>
      </c>
      <c r="E19" s="21">
        <v>114626.76606250074</v>
      </c>
      <c r="F19" s="22" t="s">
        <v>239</v>
      </c>
      <c r="G19" s="23">
        <v>46.184690232279877</v>
      </c>
      <c r="H19" s="24">
        <v>44.038489896507798</v>
      </c>
    </row>
    <row r="20" spans="1:8" x14ac:dyDescent="0.2">
      <c r="A20" s="30"/>
      <c r="B20" s="25" t="s">
        <v>240</v>
      </c>
      <c r="C20" s="26">
        <v>19238.76037115062</v>
      </c>
      <c r="D20" s="26">
        <v>18447.827639751551</v>
      </c>
      <c r="E20" s="26">
        <v>27069.962888198759</v>
      </c>
      <c r="F20" s="27"/>
      <c r="G20" s="38">
        <v>40.705338420823523</v>
      </c>
      <c r="H20" s="24">
        <v>46.737943441471401</v>
      </c>
    </row>
    <row r="21" spans="1:8" x14ac:dyDescent="0.2">
      <c r="A21" s="39" t="s">
        <v>12</v>
      </c>
      <c r="B21" s="31" t="s">
        <v>3</v>
      </c>
      <c r="C21" s="20">
        <v>1364.2304351286957</v>
      </c>
      <c r="D21" s="20">
        <v>1491.2554782608695</v>
      </c>
      <c r="E21" s="21">
        <v>1666.2657656963711</v>
      </c>
      <c r="F21" s="22" t="s">
        <v>239</v>
      </c>
      <c r="G21" s="37">
        <v>22.139612399072647</v>
      </c>
      <c r="H21" s="33">
        <v>11.735768282950559</v>
      </c>
    </row>
    <row r="22" spans="1:8" x14ac:dyDescent="0.2">
      <c r="A22" s="34"/>
      <c r="B22" s="25" t="s">
        <v>240</v>
      </c>
      <c r="C22" s="26">
        <v>265.05322598054352</v>
      </c>
      <c r="D22" s="26">
        <v>222.0579347826087</v>
      </c>
      <c r="E22" s="26">
        <v>269.06740217391302</v>
      </c>
      <c r="F22" s="27"/>
      <c r="G22" s="28">
        <v>1.5144792818572199</v>
      </c>
      <c r="H22" s="29">
        <v>21.169911103300976</v>
      </c>
    </row>
    <row r="23" spans="1:8" x14ac:dyDescent="0.2">
      <c r="A23" s="39" t="s">
        <v>23</v>
      </c>
      <c r="B23" s="31" t="s">
        <v>3</v>
      </c>
      <c r="C23" s="20">
        <v>4566.3840585478265</v>
      </c>
      <c r="D23" s="20">
        <v>4781.4257971014495</v>
      </c>
      <c r="E23" s="21">
        <v>5008.9495723185764</v>
      </c>
      <c r="F23" s="22" t="s">
        <v>239</v>
      </c>
      <c r="G23" s="23">
        <v>9.6918154079114345</v>
      </c>
      <c r="H23" s="24">
        <v>4.7584922337402702</v>
      </c>
    </row>
    <row r="24" spans="1:8" x14ac:dyDescent="0.2">
      <c r="A24" s="34"/>
      <c r="B24" s="25" t="s">
        <v>240</v>
      </c>
      <c r="C24" s="26">
        <v>1213.0887099675724</v>
      </c>
      <c r="D24" s="26">
        <v>1206.0965579710146</v>
      </c>
      <c r="E24" s="26">
        <v>1285.1123369565216</v>
      </c>
      <c r="F24" s="27"/>
      <c r="G24" s="28">
        <v>5.9372102301466896</v>
      </c>
      <c r="H24" s="29">
        <v>6.5513642720640206</v>
      </c>
    </row>
    <row r="25" spans="1:8" x14ac:dyDescent="0.2">
      <c r="A25" s="30" t="s">
        <v>24</v>
      </c>
      <c r="B25" s="31" t="s">
        <v>3</v>
      </c>
      <c r="C25" s="20">
        <v>27731.768117095653</v>
      </c>
      <c r="D25" s="20">
        <v>47693.851594202897</v>
      </c>
      <c r="E25" s="21">
        <v>48577.959808078573</v>
      </c>
      <c r="F25" s="22" t="s">
        <v>239</v>
      </c>
      <c r="G25" s="23">
        <v>75.170799074048148</v>
      </c>
      <c r="H25" s="24">
        <v>1.8537152784346347</v>
      </c>
    </row>
    <row r="26" spans="1:8" ht="13.5" thickBot="1" x14ac:dyDescent="0.25">
      <c r="A26" s="41"/>
      <c r="B26" s="42" t="s">
        <v>240</v>
      </c>
      <c r="C26" s="43">
        <v>6360.1774199351448</v>
      </c>
      <c r="D26" s="43">
        <v>6918.1931159420292</v>
      </c>
      <c r="E26" s="43">
        <v>8030.2246739130433</v>
      </c>
      <c r="F26" s="44"/>
      <c r="G26" s="45">
        <v>26.25787212701573</v>
      </c>
      <c r="H26" s="46">
        <v>16.074017295187801</v>
      </c>
    </row>
    <row r="31" spans="1:8" x14ac:dyDescent="0.2">
      <c r="A31" s="47"/>
      <c r="B31" s="48"/>
      <c r="C31" s="49"/>
      <c r="D31" s="55"/>
      <c r="E31" s="49"/>
      <c r="F31" s="49"/>
      <c r="G31" s="50"/>
      <c r="H31" s="51"/>
    </row>
    <row r="32" spans="1:8" ht="16.5" thickBot="1" x14ac:dyDescent="0.3">
      <c r="A32" s="4" t="s">
        <v>43</v>
      </c>
      <c r="B32" s="5"/>
      <c r="C32" s="5"/>
      <c r="D32" s="5"/>
      <c r="E32" s="5"/>
      <c r="F32" s="5"/>
      <c r="G32" s="5"/>
      <c r="H32" s="6"/>
    </row>
    <row r="33" spans="1:8" x14ac:dyDescent="0.2">
      <c r="A33" s="7"/>
      <c r="B33" s="8"/>
      <c r="C33" s="216" t="s">
        <v>16</v>
      </c>
      <c r="D33" s="212"/>
      <c r="E33" s="212"/>
      <c r="F33" s="217"/>
      <c r="G33" s="212" t="s">
        <v>1</v>
      </c>
      <c r="H33" s="213"/>
    </row>
    <row r="34" spans="1:8" x14ac:dyDescent="0.2">
      <c r="A34" s="12"/>
      <c r="B34" s="13"/>
      <c r="C34" s="14" t="s">
        <v>234</v>
      </c>
      <c r="D34" s="15" t="s">
        <v>235</v>
      </c>
      <c r="E34" s="15" t="s">
        <v>236</v>
      </c>
      <c r="F34" s="16"/>
      <c r="G34" s="17" t="s">
        <v>237</v>
      </c>
      <c r="H34" s="18" t="s">
        <v>238</v>
      </c>
    </row>
    <row r="35" spans="1:8" ht="12.75" customHeight="1" x14ac:dyDescent="0.2">
      <c r="A35" s="214" t="s">
        <v>42</v>
      </c>
      <c r="B35" s="19" t="s">
        <v>3</v>
      </c>
      <c r="C35" s="80">
        <v>1382.3195291147865</v>
      </c>
      <c r="D35" s="80">
        <v>1546.2412040680647</v>
      </c>
      <c r="E35" s="83">
        <v>1433.0071945828122</v>
      </c>
      <c r="F35" s="22" t="s">
        <v>239</v>
      </c>
      <c r="G35" s="23">
        <v>3.6668559186518337</v>
      </c>
      <c r="H35" s="24">
        <v>-7.3231788926165393</v>
      </c>
    </row>
    <row r="36" spans="1:8" ht="12.75" customHeight="1" x14ac:dyDescent="0.2">
      <c r="A36" s="215"/>
      <c r="B36" s="25" t="s">
        <v>240</v>
      </c>
      <c r="C36" s="82">
        <v>386.36936083596868</v>
      </c>
      <c r="D36" s="82">
        <v>344.45237253732813</v>
      </c>
      <c r="E36" s="82">
        <v>342.39646626630201</v>
      </c>
      <c r="F36" s="27"/>
      <c r="G36" s="28">
        <v>-11.381051146116931</v>
      </c>
      <c r="H36" s="29">
        <v>-0.59686227616369081</v>
      </c>
    </row>
    <row r="37" spans="1:8" x14ac:dyDescent="0.2">
      <c r="A37" s="30" t="s">
        <v>18</v>
      </c>
      <c r="B37" s="31" t="s">
        <v>3</v>
      </c>
      <c r="C37" s="80">
        <v>442.97258612085284</v>
      </c>
      <c r="D37" s="80">
        <v>492.17972909280644</v>
      </c>
      <c r="E37" s="83">
        <v>383.59919044131357</v>
      </c>
      <c r="F37" s="22" t="s">
        <v>239</v>
      </c>
      <c r="G37" s="32">
        <v>-13.403401822103021</v>
      </c>
      <c r="H37" s="33">
        <v>-22.061156165783231</v>
      </c>
    </row>
    <row r="38" spans="1:8" x14ac:dyDescent="0.2">
      <c r="A38" s="34"/>
      <c r="B38" s="25" t="s">
        <v>240</v>
      </c>
      <c r="C38" s="82">
        <v>141.73136685075173</v>
      </c>
      <c r="D38" s="82">
        <v>113.2966455478721</v>
      </c>
      <c r="E38" s="82">
        <v>97.411501649131054</v>
      </c>
      <c r="F38" s="27"/>
      <c r="G38" s="35">
        <v>-31.270329346566655</v>
      </c>
      <c r="H38" s="29">
        <v>-14.020842207573551</v>
      </c>
    </row>
    <row r="39" spans="1:8" x14ac:dyDescent="0.2">
      <c r="A39" s="30" t="s">
        <v>19</v>
      </c>
      <c r="B39" s="31" t="s">
        <v>3</v>
      </c>
      <c r="C39" s="80">
        <v>139.92775588724291</v>
      </c>
      <c r="D39" s="80">
        <v>143.40503966759903</v>
      </c>
      <c r="E39" s="83">
        <v>124.00488224886095</v>
      </c>
      <c r="F39" s="22" t="s">
        <v>239</v>
      </c>
      <c r="G39" s="37">
        <v>-11.379353250839657</v>
      </c>
      <c r="H39" s="33">
        <v>-13.528225691165403</v>
      </c>
    </row>
    <row r="40" spans="1:8" x14ac:dyDescent="0.2">
      <c r="A40" s="34"/>
      <c r="B40" s="25" t="s">
        <v>240</v>
      </c>
      <c r="C40" s="82">
        <v>33.907187603470696</v>
      </c>
      <c r="D40" s="82">
        <v>31.951442014591155</v>
      </c>
      <c r="E40" s="82">
        <v>28.391078275948701</v>
      </c>
      <c r="F40" s="27"/>
      <c r="G40" s="28">
        <v>-16.268259674115143</v>
      </c>
      <c r="H40" s="29">
        <v>-11.143045553363621</v>
      </c>
    </row>
    <row r="41" spans="1:8" x14ac:dyDescent="0.2">
      <c r="A41" s="30" t="s">
        <v>20</v>
      </c>
      <c r="B41" s="31" t="s">
        <v>3</v>
      </c>
      <c r="C41" s="80">
        <v>246.86392278839625</v>
      </c>
      <c r="D41" s="80">
        <v>244.72721945667445</v>
      </c>
      <c r="E41" s="83">
        <v>227.40607809304851</v>
      </c>
      <c r="F41" s="22" t="s">
        <v>239</v>
      </c>
      <c r="G41" s="23">
        <v>-7.8820122744409247</v>
      </c>
      <c r="H41" s="24">
        <v>-7.077733895755884</v>
      </c>
    </row>
    <row r="42" spans="1:8" x14ac:dyDescent="0.2">
      <c r="A42" s="34"/>
      <c r="B42" s="25" t="s">
        <v>240</v>
      </c>
      <c r="C42" s="82">
        <v>57.846366706216088</v>
      </c>
      <c r="D42" s="82">
        <v>47.883413822441511</v>
      </c>
      <c r="E42" s="82">
        <v>47.084038908283276</v>
      </c>
      <c r="F42" s="27"/>
      <c r="G42" s="38">
        <v>-18.605019486515658</v>
      </c>
      <c r="H42" s="24">
        <v>-1.6694192212828227</v>
      </c>
    </row>
    <row r="43" spans="1:8" x14ac:dyDescent="0.2">
      <c r="A43" s="30" t="s">
        <v>21</v>
      </c>
      <c r="B43" s="31" t="s">
        <v>3</v>
      </c>
      <c r="C43" s="80">
        <v>8.9882224831339759</v>
      </c>
      <c r="D43" s="80">
        <v>9.2872953346467142</v>
      </c>
      <c r="E43" s="83">
        <v>7.6018557265854589</v>
      </c>
      <c r="F43" s="22" t="s">
        <v>239</v>
      </c>
      <c r="G43" s="37">
        <v>-15.424259458975072</v>
      </c>
      <c r="H43" s="33">
        <v>-18.147798119153592</v>
      </c>
    </row>
    <row r="44" spans="1:8" x14ac:dyDescent="0.2">
      <c r="A44" s="34"/>
      <c r="B44" s="25" t="s">
        <v>240</v>
      </c>
      <c r="C44" s="82">
        <v>2.3633517429976774</v>
      </c>
      <c r="D44" s="82">
        <v>1.5918666355501778</v>
      </c>
      <c r="E44" s="82">
        <v>1.4740275796233937</v>
      </c>
      <c r="F44" s="27"/>
      <c r="G44" s="28">
        <v>-37.629784309899804</v>
      </c>
      <c r="H44" s="29">
        <v>-7.4025708746673189</v>
      </c>
    </row>
    <row r="45" spans="1:8" x14ac:dyDescent="0.2">
      <c r="A45" s="30" t="s">
        <v>22</v>
      </c>
      <c r="B45" s="31" t="s">
        <v>3</v>
      </c>
      <c r="C45" s="80">
        <v>24.568454492397112</v>
      </c>
      <c r="D45" s="80">
        <v>33.964077106086414</v>
      </c>
      <c r="E45" s="83">
        <v>29.619618312937224</v>
      </c>
      <c r="F45" s="22" t="s">
        <v>239</v>
      </c>
      <c r="G45" s="37">
        <v>20.5595505492754</v>
      </c>
      <c r="H45" s="33">
        <v>-12.791334737520828</v>
      </c>
    </row>
    <row r="46" spans="1:8" x14ac:dyDescent="0.2">
      <c r="A46" s="34"/>
      <c r="B46" s="25" t="s">
        <v>240</v>
      </c>
      <c r="C46" s="82">
        <v>5.2019991372738463</v>
      </c>
      <c r="D46" s="82">
        <v>5.7108980829126601</v>
      </c>
      <c r="E46" s="82">
        <v>5.3473491191873403</v>
      </c>
      <c r="F46" s="27"/>
      <c r="G46" s="28">
        <v>2.7941177627658362</v>
      </c>
      <c r="H46" s="29">
        <v>-6.3658807852495158</v>
      </c>
    </row>
    <row r="47" spans="1:8" x14ac:dyDescent="0.2">
      <c r="A47" s="30" t="s">
        <v>189</v>
      </c>
      <c r="B47" s="31" t="s">
        <v>3</v>
      </c>
      <c r="C47" s="80">
        <v>265.384559319164</v>
      </c>
      <c r="D47" s="80">
        <v>283.32529641478544</v>
      </c>
      <c r="E47" s="83">
        <v>332.05678065928294</v>
      </c>
      <c r="F47" s="22" t="s">
        <v>239</v>
      </c>
      <c r="G47" s="23">
        <v>25.1228713197047</v>
      </c>
      <c r="H47" s="24">
        <v>17.199835263969888</v>
      </c>
    </row>
    <row r="48" spans="1:8" x14ac:dyDescent="0.2">
      <c r="A48" s="30"/>
      <c r="B48" s="25" t="s">
        <v>240</v>
      </c>
      <c r="C48" s="82">
        <v>77.235593105403652</v>
      </c>
      <c r="D48" s="82">
        <v>74.594858659680838</v>
      </c>
      <c r="E48" s="82">
        <v>90.294852569156319</v>
      </c>
      <c r="F48" s="27"/>
      <c r="G48" s="38">
        <v>16.908343599991071</v>
      </c>
      <c r="H48" s="24">
        <v>21.04701877793282</v>
      </c>
    </row>
    <row r="49" spans="1:8" x14ac:dyDescent="0.2">
      <c r="A49" s="39" t="s">
        <v>12</v>
      </c>
      <c r="B49" s="31" t="s">
        <v>3</v>
      </c>
      <c r="C49" s="80">
        <v>11.175463042254536</v>
      </c>
      <c r="D49" s="80">
        <v>14.33973090419448</v>
      </c>
      <c r="E49" s="83">
        <v>9.1223529540871642</v>
      </c>
      <c r="F49" s="22" t="s">
        <v>239</v>
      </c>
      <c r="G49" s="37">
        <v>-18.371588545410091</v>
      </c>
      <c r="H49" s="33">
        <v>-36.384071534990895</v>
      </c>
    </row>
    <row r="50" spans="1:8" x14ac:dyDescent="0.2">
      <c r="A50" s="34"/>
      <c r="B50" s="25" t="s">
        <v>240</v>
      </c>
      <c r="C50" s="82">
        <v>3.9848356571614252</v>
      </c>
      <c r="D50" s="82">
        <v>3.6378018979357671</v>
      </c>
      <c r="E50" s="82">
        <v>2.5604851890283982</v>
      </c>
      <c r="F50" s="27"/>
      <c r="G50" s="28">
        <v>-35.744271299450645</v>
      </c>
      <c r="H50" s="29">
        <v>-29.614496312146116</v>
      </c>
    </row>
    <row r="51" spans="1:8" x14ac:dyDescent="0.2">
      <c r="A51" s="39" t="s">
        <v>23</v>
      </c>
      <c r="B51" s="31" t="s">
        <v>3</v>
      </c>
      <c r="C51" s="80">
        <v>97.447353648543157</v>
      </c>
      <c r="D51" s="80">
        <v>106.80605752157328</v>
      </c>
      <c r="E51" s="83">
        <v>99.2280706536868</v>
      </c>
      <c r="F51" s="22" t="s">
        <v>239</v>
      </c>
      <c r="G51" s="23">
        <v>1.8273631232368075</v>
      </c>
      <c r="H51" s="24">
        <v>-7.0950909000230098</v>
      </c>
    </row>
    <row r="52" spans="1:8" x14ac:dyDescent="0.2">
      <c r="A52" s="34"/>
      <c r="B52" s="25" t="s">
        <v>240</v>
      </c>
      <c r="C52" s="82">
        <v>26.180649426879476</v>
      </c>
      <c r="D52" s="82">
        <v>24.289087507731342</v>
      </c>
      <c r="E52" s="82">
        <v>23.782991192685348</v>
      </c>
      <c r="F52" s="27"/>
      <c r="G52" s="38">
        <v>-9.1581312407493982</v>
      </c>
      <c r="H52" s="24">
        <v>-2.0836365914730237</v>
      </c>
    </row>
    <row r="53" spans="1:8" x14ac:dyDescent="0.2">
      <c r="A53" s="30" t="s">
        <v>24</v>
      </c>
      <c r="B53" s="31" t="s">
        <v>3</v>
      </c>
      <c r="C53" s="80">
        <v>144.99121133280178</v>
      </c>
      <c r="D53" s="80">
        <v>218.20675856969845</v>
      </c>
      <c r="E53" s="83">
        <v>220.13072557306819</v>
      </c>
      <c r="F53" s="22" t="s">
        <v>239</v>
      </c>
      <c r="G53" s="37">
        <v>51.823495748164277</v>
      </c>
      <c r="H53" s="33">
        <v>0.88171742066147374</v>
      </c>
    </row>
    <row r="54" spans="1:8" ht="13.5" thickBot="1" x14ac:dyDescent="0.25">
      <c r="A54" s="41"/>
      <c r="B54" s="42" t="s">
        <v>240</v>
      </c>
      <c r="C54" s="86">
        <v>37.918010605814018</v>
      </c>
      <c r="D54" s="86">
        <v>41.496358368612562</v>
      </c>
      <c r="E54" s="86">
        <v>46.050141783258212</v>
      </c>
      <c r="F54" s="44"/>
      <c r="G54" s="45">
        <v>21.446618763794746</v>
      </c>
      <c r="H54" s="46">
        <v>10.973935047972986</v>
      </c>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tr">
        <f>+Innhold!$B$123</f>
        <v>Finans Norge / Skadestatistikk</v>
      </c>
      <c r="H61" s="207">
        <v>14</v>
      </c>
    </row>
    <row r="62" spans="1:8" ht="12.75" customHeight="1" x14ac:dyDescent="0.2">
      <c r="A62" s="54" t="str">
        <f>+Innhold!$B$124</f>
        <v>Skadestatistikk for landbasert forsikring 1. kvartal 2019</v>
      </c>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33" display="Tilbake til innholdsfortegnelsen" xr:uid="{00000000-0004-0000-09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149</v>
      </c>
      <c r="B4" s="5"/>
      <c r="C4" s="5"/>
      <c r="D4" s="5"/>
      <c r="E4" s="5"/>
      <c r="F4" s="5"/>
      <c r="G4" s="5"/>
      <c r="H4" s="6"/>
    </row>
    <row r="5" spans="1:8" x14ac:dyDescent="0.2">
      <c r="A5" s="7"/>
      <c r="B5" s="8"/>
      <c r="C5" s="9"/>
      <c r="D5" s="8"/>
      <c r="E5" s="10"/>
      <c r="F5" s="11"/>
      <c r="G5" s="212" t="s">
        <v>1</v>
      </c>
      <c r="H5" s="213"/>
    </row>
    <row r="6" spans="1:8" x14ac:dyDescent="0.2">
      <c r="A6" s="12"/>
      <c r="B6" s="13"/>
      <c r="C6" s="14" t="s">
        <v>234</v>
      </c>
      <c r="D6" s="15" t="s">
        <v>235</v>
      </c>
      <c r="E6" s="15" t="s">
        <v>236</v>
      </c>
      <c r="F6" s="16"/>
      <c r="G6" s="17" t="s">
        <v>237</v>
      </c>
      <c r="H6" s="18" t="s">
        <v>238</v>
      </c>
    </row>
    <row r="7" spans="1:8" x14ac:dyDescent="0.2">
      <c r="A7" s="214" t="s">
        <v>44</v>
      </c>
      <c r="B7" s="19" t="s">
        <v>3</v>
      </c>
      <c r="C7" s="20">
        <v>110274.26144282252</v>
      </c>
      <c r="D7" s="20">
        <v>130489.07753884791</v>
      </c>
      <c r="E7" s="21">
        <v>122468.31145988124</v>
      </c>
      <c r="F7" s="22" t="s">
        <v>239</v>
      </c>
      <c r="G7" s="23">
        <v>11.057929436581503</v>
      </c>
      <c r="H7" s="24">
        <v>-6.1466953635094939</v>
      </c>
    </row>
    <row r="8" spans="1:8" x14ac:dyDescent="0.2">
      <c r="A8" s="215"/>
      <c r="B8" s="25" t="s">
        <v>240</v>
      </c>
      <c r="C8" s="26">
        <v>28116.800986039172</v>
      </c>
      <c r="D8" s="26">
        <v>33394.176842986446</v>
      </c>
      <c r="E8" s="26">
        <v>31302.909694972008</v>
      </c>
      <c r="F8" s="27"/>
      <c r="G8" s="28">
        <v>11.331689940526417</v>
      </c>
      <c r="H8" s="29">
        <v>-6.2623707056688573</v>
      </c>
    </row>
    <row r="9" spans="1:8" x14ac:dyDescent="0.2">
      <c r="A9" s="30" t="s">
        <v>18</v>
      </c>
      <c r="B9" s="31" t="s">
        <v>3</v>
      </c>
      <c r="C9" s="20">
        <v>11102.819455970435</v>
      </c>
      <c r="D9" s="20">
        <v>12430.674886956522</v>
      </c>
      <c r="E9" s="21">
        <v>11166.452005391233</v>
      </c>
      <c r="F9" s="22" t="s">
        <v>239</v>
      </c>
      <c r="G9" s="32">
        <v>0.57312063546687853</v>
      </c>
      <c r="H9" s="33">
        <v>-10.17018700160709</v>
      </c>
    </row>
    <row r="10" spans="1:8" x14ac:dyDescent="0.2">
      <c r="A10" s="34"/>
      <c r="B10" s="25" t="s">
        <v>240</v>
      </c>
      <c r="C10" s="26">
        <v>2938.1875228950435</v>
      </c>
      <c r="D10" s="26">
        <v>3000.8494913043478</v>
      </c>
      <c r="E10" s="26">
        <v>2776.9024913043477</v>
      </c>
      <c r="F10" s="27"/>
      <c r="G10" s="35">
        <v>-5.489269501484344</v>
      </c>
      <c r="H10" s="29">
        <v>-7.4627868091664737</v>
      </c>
    </row>
    <row r="11" spans="1:8" x14ac:dyDescent="0.2">
      <c r="A11" s="30" t="s">
        <v>19</v>
      </c>
      <c r="B11" s="31" t="s">
        <v>3</v>
      </c>
      <c r="C11" s="20">
        <v>49201.064853234784</v>
      </c>
      <c r="D11" s="20">
        <v>56876.582956521743</v>
      </c>
      <c r="E11" s="21">
        <v>52003.423948258336</v>
      </c>
      <c r="F11" s="22" t="s">
        <v>239</v>
      </c>
      <c r="G11" s="37">
        <v>5.6957285444591434</v>
      </c>
      <c r="H11" s="33">
        <v>-8.567953197871617</v>
      </c>
    </row>
    <row r="12" spans="1:8" x14ac:dyDescent="0.2">
      <c r="A12" s="34"/>
      <c r="B12" s="25" t="s">
        <v>240</v>
      </c>
      <c r="C12" s="26">
        <v>12524.291742983478</v>
      </c>
      <c r="D12" s="26">
        <v>15884.498304347826</v>
      </c>
      <c r="E12" s="26">
        <v>14068.008304347826</v>
      </c>
      <c r="F12" s="27"/>
      <c r="G12" s="28">
        <v>12.325779317853943</v>
      </c>
      <c r="H12" s="29">
        <v>-11.435614554491778</v>
      </c>
    </row>
    <row r="13" spans="1:8" x14ac:dyDescent="0.2">
      <c r="A13" s="30" t="s">
        <v>20</v>
      </c>
      <c r="B13" s="31" t="s">
        <v>3</v>
      </c>
      <c r="C13" s="20">
        <v>3289.2213586832299</v>
      </c>
      <c r="D13" s="20">
        <v>3234.7537888198758</v>
      </c>
      <c r="E13" s="21">
        <v>3599.4108221966853</v>
      </c>
      <c r="F13" s="22" t="s">
        <v>239</v>
      </c>
      <c r="G13" s="23">
        <v>9.4304830744998327</v>
      </c>
      <c r="H13" s="24">
        <v>11.27310012394625</v>
      </c>
    </row>
    <row r="14" spans="1:8" x14ac:dyDescent="0.2">
      <c r="A14" s="34"/>
      <c r="B14" s="25" t="s">
        <v>240</v>
      </c>
      <c r="C14" s="26">
        <v>694.23416332546583</v>
      </c>
      <c r="D14" s="26">
        <v>548.28490683229813</v>
      </c>
      <c r="E14" s="26">
        <v>652.95633540372671</v>
      </c>
      <c r="F14" s="27"/>
      <c r="G14" s="38">
        <v>-5.9458076398910293</v>
      </c>
      <c r="H14" s="24">
        <v>19.090700339749461</v>
      </c>
    </row>
    <row r="15" spans="1:8" x14ac:dyDescent="0.2">
      <c r="A15" s="30" t="s">
        <v>21</v>
      </c>
      <c r="B15" s="31" t="s">
        <v>3</v>
      </c>
      <c r="C15" s="20">
        <v>2811.5645629492756</v>
      </c>
      <c r="D15" s="20">
        <v>3121.8865217391303</v>
      </c>
      <c r="E15" s="21">
        <v>3514.285396577553</v>
      </c>
      <c r="F15" s="22" t="s">
        <v>239</v>
      </c>
      <c r="G15" s="37">
        <v>24.993942621439828</v>
      </c>
      <c r="H15" s="33">
        <v>12.569286939354413</v>
      </c>
    </row>
    <row r="16" spans="1:8" x14ac:dyDescent="0.2">
      <c r="A16" s="34"/>
      <c r="B16" s="25" t="s">
        <v>240</v>
      </c>
      <c r="C16" s="26">
        <v>670.40163096992751</v>
      </c>
      <c r="D16" s="26">
        <v>546.70809782608694</v>
      </c>
      <c r="E16" s="26">
        <v>675.1955978260869</v>
      </c>
      <c r="F16" s="27"/>
      <c r="G16" s="28">
        <v>0.71508878181330715</v>
      </c>
      <c r="H16" s="29">
        <v>23.502029787177776</v>
      </c>
    </row>
    <row r="17" spans="1:8" x14ac:dyDescent="0.2">
      <c r="A17" s="30" t="s">
        <v>22</v>
      </c>
      <c r="B17" s="31" t="s">
        <v>3</v>
      </c>
      <c r="C17" s="20">
        <v>492.56456294927534</v>
      </c>
      <c r="D17" s="20">
        <v>548.88652173913044</v>
      </c>
      <c r="E17" s="21">
        <v>400.8954341231107</v>
      </c>
      <c r="F17" s="22" t="s">
        <v>239</v>
      </c>
      <c r="G17" s="37">
        <v>-18.610581377857827</v>
      </c>
      <c r="H17" s="33">
        <v>-26.962055316482264</v>
      </c>
    </row>
    <row r="18" spans="1:8" x14ac:dyDescent="0.2">
      <c r="A18" s="34"/>
      <c r="B18" s="25" t="s">
        <v>240</v>
      </c>
      <c r="C18" s="26">
        <v>95.401630969927538</v>
      </c>
      <c r="D18" s="26">
        <v>91.708097826086956</v>
      </c>
      <c r="E18" s="26">
        <v>70.195597826086953</v>
      </c>
      <c r="F18" s="27"/>
      <c r="G18" s="28">
        <v>-26.420966693730861</v>
      </c>
      <c r="H18" s="29">
        <v>-23.457579548532109</v>
      </c>
    </row>
    <row r="19" spans="1:8" x14ac:dyDescent="0.2">
      <c r="A19" s="30" t="s">
        <v>189</v>
      </c>
      <c r="B19" s="31" t="s">
        <v>3</v>
      </c>
      <c r="C19" s="20">
        <v>29414.553396708074</v>
      </c>
      <c r="D19" s="20">
        <v>38409.884472049685</v>
      </c>
      <c r="E19" s="21">
        <v>36360.098191499928</v>
      </c>
      <c r="F19" s="22" t="s">
        <v>239</v>
      </c>
      <c r="G19" s="23">
        <v>23.612613460822303</v>
      </c>
      <c r="H19" s="24">
        <v>-5.3366114184523354</v>
      </c>
    </row>
    <row r="20" spans="1:8" x14ac:dyDescent="0.2">
      <c r="A20" s="30"/>
      <c r="B20" s="25" t="s">
        <v>240</v>
      </c>
      <c r="C20" s="26">
        <v>7420.5854083136646</v>
      </c>
      <c r="D20" s="26">
        <v>9249.2122670807457</v>
      </c>
      <c r="E20" s="26">
        <v>8890.3908385093164</v>
      </c>
      <c r="F20" s="27"/>
      <c r="G20" s="38">
        <v>19.807135816386577</v>
      </c>
      <c r="H20" s="24">
        <v>-3.8794809569732251</v>
      </c>
    </row>
    <row r="21" spans="1:8" x14ac:dyDescent="0.2">
      <c r="A21" s="39" t="s">
        <v>12</v>
      </c>
      <c r="B21" s="31" t="s">
        <v>3</v>
      </c>
      <c r="C21" s="20">
        <v>397.33873776956523</v>
      </c>
      <c r="D21" s="20">
        <v>407.13191304347828</v>
      </c>
      <c r="E21" s="21">
        <v>493.43626840713404</v>
      </c>
      <c r="F21" s="22" t="s">
        <v>239</v>
      </c>
      <c r="G21" s="37">
        <v>24.185291164160333</v>
      </c>
      <c r="H21" s="33">
        <v>21.198130777441463</v>
      </c>
    </row>
    <row r="22" spans="1:8" x14ac:dyDescent="0.2">
      <c r="A22" s="34"/>
      <c r="B22" s="25" t="s">
        <v>240</v>
      </c>
      <c r="C22" s="26">
        <v>74.440978581956529</v>
      </c>
      <c r="D22" s="26">
        <v>75.624858695652179</v>
      </c>
      <c r="E22" s="26">
        <v>91.917358695652183</v>
      </c>
      <c r="F22" s="27"/>
      <c r="G22" s="28">
        <v>23.476827476757123</v>
      </c>
      <c r="H22" s="29">
        <v>21.54384190728635</v>
      </c>
    </row>
    <row r="23" spans="1:8" x14ac:dyDescent="0.2">
      <c r="A23" s="39" t="s">
        <v>23</v>
      </c>
      <c r="B23" s="31" t="s">
        <v>3</v>
      </c>
      <c r="C23" s="20">
        <v>6183.5645629492756</v>
      </c>
      <c r="D23" s="20">
        <v>6115.8865217391303</v>
      </c>
      <c r="E23" s="21">
        <v>5689.2190037260307</v>
      </c>
      <c r="F23" s="22" t="s">
        <v>239</v>
      </c>
      <c r="G23" s="23">
        <v>-7.9945079280851701</v>
      </c>
      <c r="H23" s="24">
        <v>-6.9763805540945754</v>
      </c>
    </row>
    <row r="24" spans="1:8" x14ac:dyDescent="0.2">
      <c r="A24" s="34"/>
      <c r="B24" s="25" t="s">
        <v>240</v>
      </c>
      <c r="C24" s="26">
        <v>1647.4016309699275</v>
      </c>
      <c r="D24" s="26">
        <v>1547.7080978260869</v>
      </c>
      <c r="E24" s="26">
        <v>1464.1955978260869</v>
      </c>
      <c r="F24" s="27"/>
      <c r="G24" s="28">
        <v>-11.120908811773845</v>
      </c>
      <c r="H24" s="29">
        <v>-5.3958818279300687</v>
      </c>
    </row>
    <row r="25" spans="1:8" x14ac:dyDescent="0.2">
      <c r="A25" s="30" t="s">
        <v>24</v>
      </c>
      <c r="B25" s="31" t="s">
        <v>3</v>
      </c>
      <c r="C25" s="20">
        <v>11500.129125898551</v>
      </c>
      <c r="D25" s="20">
        <v>16033.773043478261</v>
      </c>
      <c r="E25" s="21">
        <v>16497.388905436866</v>
      </c>
      <c r="F25" s="22" t="s">
        <v>239</v>
      </c>
      <c r="G25" s="23">
        <v>43.453944949925585</v>
      </c>
      <c r="H25" s="24">
        <v>2.8914957240659049</v>
      </c>
    </row>
    <row r="26" spans="1:8" ht="13.5" thickBot="1" x14ac:dyDescent="0.25">
      <c r="A26" s="41"/>
      <c r="B26" s="42" t="s">
        <v>240</v>
      </c>
      <c r="C26" s="43">
        <v>2866.803261939855</v>
      </c>
      <c r="D26" s="43">
        <v>3858.4161956521739</v>
      </c>
      <c r="E26" s="43">
        <v>4016.3911956521738</v>
      </c>
      <c r="F26" s="44"/>
      <c r="G26" s="45">
        <v>40.099993919165456</v>
      </c>
      <c r="H26" s="46">
        <v>4.0942965193338381</v>
      </c>
    </row>
    <row r="31" spans="1:8" x14ac:dyDescent="0.2">
      <c r="A31" s="47"/>
      <c r="B31" s="48"/>
      <c r="C31" s="49"/>
      <c r="D31" s="55"/>
      <c r="E31" s="49"/>
      <c r="F31" s="49"/>
      <c r="G31" s="50"/>
      <c r="H31" s="51"/>
    </row>
    <row r="32" spans="1:8" ht="16.5" thickBot="1" x14ac:dyDescent="0.3">
      <c r="A32" s="4" t="s">
        <v>99</v>
      </c>
      <c r="B32" s="5"/>
      <c r="C32" s="5"/>
      <c r="D32" s="5"/>
      <c r="E32" s="5"/>
      <c r="F32" s="5"/>
      <c r="G32" s="5"/>
      <c r="H32" s="6"/>
    </row>
    <row r="33" spans="1:8" x14ac:dyDescent="0.2">
      <c r="A33" s="7"/>
      <c r="B33" s="8"/>
      <c r="C33" s="216" t="s">
        <v>16</v>
      </c>
      <c r="D33" s="212"/>
      <c r="E33" s="212"/>
      <c r="F33" s="217"/>
      <c r="G33" s="212" t="s">
        <v>1</v>
      </c>
      <c r="H33" s="213"/>
    </row>
    <row r="34" spans="1:8" x14ac:dyDescent="0.2">
      <c r="A34" s="12"/>
      <c r="B34" s="13"/>
      <c r="C34" s="14" t="s">
        <v>234</v>
      </c>
      <c r="D34" s="15" t="s">
        <v>235</v>
      </c>
      <c r="E34" s="15" t="s">
        <v>236</v>
      </c>
      <c r="F34" s="16"/>
      <c r="G34" s="17" t="s">
        <v>237</v>
      </c>
      <c r="H34" s="18" t="s">
        <v>238</v>
      </c>
    </row>
    <row r="35" spans="1:8" ht="12.75" customHeight="1" x14ac:dyDescent="0.2">
      <c r="A35" s="214" t="s">
        <v>44</v>
      </c>
      <c r="B35" s="19" t="s">
        <v>3</v>
      </c>
      <c r="C35" s="80">
        <v>4897.4303161549897</v>
      </c>
      <c r="D35" s="80">
        <v>6096.22890689415</v>
      </c>
      <c r="E35" s="83">
        <v>5345.9405767369708</v>
      </c>
      <c r="F35" s="22" t="s">
        <v>239</v>
      </c>
      <c r="G35" s="23">
        <v>9.1580733492520778</v>
      </c>
      <c r="H35" s="24">
        <v>-12.307417283965293</v>
      </c>
    </row>
    <row r="36" spans="1:8" ht="12.75" customHeight="1" x14ac:dyDescent="0.2">
      <c r="A36" s="215"/>
      <c r="B36" s="25" t="s">
        <v>240</v>
      </c>
      <c r="C36" s="82">
        <v>1284.8332314342367</v>
      </c>
      <c r="D36" s="82">
        <v>1547.3154032866828</v>
      </c>
      <c r="E36" s="82">
        <v>1371.7536117383806</v>
      </c>
      <c r="F36" s="27"/>
      <c r="G36" s="28">
        <v>6.7651099129119103</v>
      </c>
      <c r="H36" s="29">
        <v>-11.346218823608169</v>
      </c>
    </row>
    <row r="37" spans="1:8" x14ac:dyDescent="0.2">
      <c r="A37" s="30" t="s">
        <v>18</v>
      </c>
      <c r="B37" s="31" t="s">
        <v>3</v>
      </c>
      <c r="C37" s="80">
        <v>1802.8785468535357</v>
      </c>
      <c r="D37" s="80">
        <v>2186.7087796288642</v>
      </c>
      <c r="E37" s="83">
        <v>1705.3275632864518</v>
      </c>
      <c r="F37" s="22" t="s">
        <v>239</v>
      </c>
      <c r="G37" s="32">
        <v>-5.4108461014933198</v>
      </c>
      <c r="H37" s="33">
        <v>-22.013960927349189</v>
      </c>
    </row>
    <row r="38" spans="1:8" x14ac:dyDescent="0.2">
      <c r="A38" s="34"/>
      <c r="B38" s="25" t="s">
        <v>240</v>
      </c>
      <c r="C38" s="82">
        <v>492.47101880134773</v>
      </c>
      <c r="D38" s="82">
        <v>538.04542629886976</v>
      </c>
      <c r="E38" s="82">
        <v>433.95410941917697</v>
      </c>
      <c r="F38" s="27"/>
      <c r="G38" s="35">
        <v>-11.882305181043606</v>
      </c>
      <c r="H38" s="29">
        <v>-19.346194910664082</v>
      </c>
    </row>
    <row r="39" spans="1:8" x14ac:dyDescent="0.2">
      <c r="A39" s="30" t="s">
        <v>19</v>
      </c>
      <c r="B39" s="31" t="s">
        <v>3</v>
      </c>
      <c r="C39" s="80">
        <v>2124.904571399853</v>
      </c>
      <c r="D39" s="80">
        <v>2512.6743999063697</v>
      </c>
      <c r="E39" s="83">
        <v>2431.7441641204177</v>
      </c>
      <c r="F39" s="22" t="s">
        <v>239</v>
      </c>
      <c r="G39" s="37">
        <v>14.440158718206519</v>
      </c>
      <c r="H39" s="33">
        <v>-3.220880341239905</v>
      </c>
    </row>
    <row r="40" spans="1:8" x14ac:dyDescent="0.2">
      <c r="A40" s="34"/>
      <c r="B40" s="25" t="s">
        <v>240</v>
      </c>
      <c r="C40" s="82">
        <v>527.50576297444093</v>
      </c>
      <c r="D40" s="82">
        <v>647.99674455193781</v>
      </c>
      <c r="E40" s="82">
        <v>619.11005058217347</v>
      </c>
      <c r="F40" s="27"/>
      <c r="G40" s="28">
        <v>17.365552006712591</v>
      </c>
      <c r="H40" s="29">
        <v>-4.4578455389831078</v>
      </c>
    </row>
    <row r="41" spans="1:8" x14ac:dyDescent="0.2">
      <c r="A41" s="30" t="s">
        <v>20</v>
      </c>
      <c r="B41" s="31" t="s">
        <v>3</v>
      </c>
      <c r="C41" s="80">
        <v>57.24495489448104</v>
      </c>
      <c r="D41" s="80">
        <v>59.419368311101763</v>
      </c>
      <c r="E41" s="83">
        <v>53.060450856443268</v>
      </c>
      <c r="F41" s="22" t="s">
        <v>239</v>
      </c>
      <c r="G41" s="23">
        <v>-7.3098215305628571</v>
      </c>
      <c r="H41" s="24">
        <v>-10.701758762168481</v>
      </c>
    </row>
    <row r="42" spans="1:8" x14ac:dyDescent="0.2">
      <c r="A42" s="34"/>
      <c r="B42" s="25" t="s">
        <v>240</v>
      </c>
      <c r="C42" s="82">
        <v>17.701137251234915</v>
      </c>
      <c r="D42" s="82">
        <v>14.046902396439279</v>
      </c>
      <c r="E42" s="82">
        <v>13.612097871582513</v>
      </c>
      <c r="F42" s="27"/>
      <c r="G42" s="38">
        <v>-23.10043316209601</v>
      </c>
      <c r="H42" s="24">
        <v>-3.0953765647790306</v>
      </c>
    </row>
    <row r="43" spans="1:8" x14ac:dyDescent="0.2">
      <c r="A43" s="30" t="s">
        <v>21</v>
      </c>
      <c r="B43" s="31" t="s">
        <v>3</v>
      </c>
      <c r="C43" s="80">
        <v>25.130934273230867</v>
      </c>
      <c r="D43" s="80">
        <v>28.451073242228507</v>
      </c>
      <c r="E43" s="83">
        <v>31.032083380243662</v>
      </c>
      <c r="F43" s="22" t="s">
        <v>239</v>
      </c>
      <c r="G43" s="37">
        <v>23.48161450288228</v>
      </c>
      <c r="H43" s="33">
        <v>9.0717496526081476</v>
      </c>
    </row>
    <row r="44" spans="1:8" x14ac:dyDescent="0.2">
      <c r="A44" s="34"/>
      <c r="B44" s="25" t="s">
        <v>240</v>
      </c>
      <c r="C44" s="82">
        <v>6.2325498482128987</v>
      </c>
      <c r="D44" s="82">
        <v>5.9364705000032343</v>
      </c>
      <c r="E44" s="82">
        <v>6.8365713092532037</v>
      </c>
      <c r="F44" s="27"/>
      <c r="G44" s="28">
        <v>9.6914020064115363</v>
      </c>
      <c r="H44" s="29">
        <v>15.162221546447157</v>
      </c>
    </row>
    <row r="45" spans="1:8" x14ac:dyDescent="0.2">
      <c r="A45" s="30" t="s">
        <v>22</v>
      </c>
      <c r="B45" s="31" t="s">
        <v>3</v>
      </c>
      <c r="C45" s="80">
        <v>3.1847164883244874</v>
      </c>
      <c r="D45" s="80">
        <v>3.8473118467760594</v>
      </c>
      <c r="E45" s="83">
        <v>3.1656285292883521</v>
      </c>
      <c r="F45" s="22" t="s">
        <v>239</v>
      </c>
      <c r="G45" s="37">
        <v>-0.59936132795851904</v>
      </c>
      <c r="H45" s="33">
        <v>-17.718431586431933</v>
      </c>
    </row>
    <row r="46" spans="1:8" x14ac:dyDescent="0.2">
      <c r="A46" s="34"/>
      <c r="B46" s="25" t="s">
        <v>240</v>
      </c>
      <c r="C46" s="82">
        <v>0.74324298827627189</v>
      </c>
      <c r="D46" s="82">
        <v>0.74612789422671766</v>
      </c>
      <c r="E46" s="82">
        <v>0.65057705803620258</v>
      </c>
      <c r="F46" s="27"/>
      <c r="G46" s="28">
        <v>-12.467783982056801</v>
      </c>
      <c r="H46" s="29">
        <v>-12.806227582409775</v>
      </c>
    </row>
    <row r="47" spans="1:8" x14ac:dyDescent="0.2">
      <c r="A47" s="30" t="s">
        <v>189</v>
      </c>
      <c r="B47" s="31" t="s">
        <v>3</v>
      </c>
      <c r="C47" s="80">
        <v>412.2553555697537</v>
      </c>
      <c r="D47" s="80">
        <v>672.03403952948145</v>
      </c>
      <c r="E47" s="83">
        <v>506.66786119480344</v>
      </c>
      <c r="F47" s="22" t="s">
        <v>239</v>
      </c>
      <c r="G47" s="23">
        <v>22.901462491510344</v>
      </c>
      <c r="H47" s="24">
        <v>-24.606815817016894</v>
      </c>
    </row>
    <row r="48" spans="1:8" x14ac:dyDescent="0.2">
      <c r="A48" s="30"/>
      <c r="B48" s="25" t="s">
        <v>240</v>
      </c>
      <c r="C48" s="82">
        <v>117.79522885836475</v>
      </c>
      <c r="D48" s="82">
        <v>189.74375386844088</v>
      </c>
      <c r="E48" s="82">
        <v>143.62204196695498</v>
      </c>
      <c r="F48" s="27"/>
      <c r="G48" s="38">
        <v>21.925177580531724</v>
      </c>
      <c r="H48" s="24">
        <v>-24.307367679393792</v>
      </c>
    </row>
    <row r="49" spans="1:8" x14ac:dyDescent="0.2">
      <c r="A49" s="39" t="s">
        <v>12</v>
      </c>
      <c r="B49" s="31" t="s">
        <v>3</v>
      </c>
      <c r="C49" s="80">
        <v>7.0997260827995694</v>
      </c>
      <c r="D49" s="80">
        <v>6.6752799770858973</v>
      </c>
      <c r="E49" s="83">
        <v>10.306329423832167</v>
      </c>
      <c r="F49" s="22" t="s">
        <v>239</v>
      </c>
      <c r="G49" s="37">
        <v>45.165169805652113</v>
      </c>
      <c r="H49" s="33">
        <v>54.395462950026115</v>
      </c>
    </row>
    <row r="50" spans="1:8" x14ac:dyDescent="0.2">
      <c r="A50" s="34"/>
      <c r="B50" s="25" t="s">
        <v>240</v>
      </c>
      <c r="C50" s="82">
        <v>0.65256024432081483</v>
      </c>
      <c r="D50" s="82">
        <v>1.1134230783070167</v>
      </c>
      <c r="E50" s="82">
        <v>1.3519242168366321</v>
      </c>
      <c r="F50" s="27"/>
      <c r="G50" s="28">
        <v>107.17232295444475</v>
      </c>
      <c r="H50" s="29">
        <v>21.420531258635435</v>
      </c>
    </row>
    <row r="51" spans="1:8" x14ac:dyDescent="0.2">
      <c r="A51" s="39" t="s">
        <v>23</v>
      </c>
      <c r="B51" s="31" t="s">
        <v>3</v>
      </c>
      <c r="C51" s="80">
        <v>157.79113540605209</v>
      </c>
      <c r="D51" s="80">
        <v>160.89232808708007</v>
      </c>
      <c r="E51" s="83">
        <v>146.02044721867881</v>
      </c>
      <c r="F51" s="22" t="s">
        <v>239</v>
      </c>
      <c r="G51" s="23">
        <v>-7.4596637872483456</v>
      </c>
      <c r="H51" s="24">
        <v>-9.2433747744343151</v>
      </c>
    </row>
    <row r="52" spans="1:8" x14ac:dyDescent="0.2">
      <c r="A52" s="34"/>
      <c r="B52" s="25" t="s">
        <v>240</v>
      </c>
      <c r="C52" s="82">
        <v>38.909778410888748</v>
      </c>
      <c r="D52" s="82">
        <v>37.924177029941752</v>
      </c>
      <c r="E52" s="82">
        <v>34.932409247850757</v>
      </c>
      <c r="F52" s="27"/>
      <c r="G52" s="28">
        <v>-10.222029848221752</v>
      </c>
      <c r="H52" s="29">
        <v>-7.8888139872592262</v>
      </c>
    </row>
    <row r="53" spans="1:8" x14ac:dyDescent="0.2">
      <c r="A53" s="30" t="s">
        <v>24</v>
      </c>
      <c r="B53" s="31" t="s">
        <v>3</v>
      </c>
      <c r="C53" s="80">
        <v>306.94037518695728</v>
      </c>
      <c r="D53" s="80">
        <v>465.52632636516074</v>
      </c>
      <c r="E53" s="83">
        <v>472.17386611062739</v>
      </c>
      <c r="F53" s="22" t="s">
        <v>239</v>
      </c>
      <c r="G53" s="23">
        <v>53.83243922309876</v>
      </c>
      <c r="H53" s="24">
        <v>1.4279621514363612</v>
      </c>
    </row>
    <row r="54" spans="1:8" ht="13.5" thickBot="1" x14ac:dyDescent="0.25">
      <c r="A54" s="41"/>
      <c r="B54" s="42" t="s">
        <v>240</v>
      </c>
      <c r="C54" s="86">
        <v>82.821952057149488</v>
      </c>
      <c r="D54" s="86">
        <v>111.76237766851615</v>
      </c>
      <c r="E54" s="86">
        <v>117.68383006651557</v>
      </c>
      <c r="F54" s="44"/>
      <c r="G54" s="45">
        <v>42.092557762114097</v>
      </c>
      <c r="H54" s="46">
        <v>5.2982519892000397</v>
      </c>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tr">
        <f>+Innhold!$B$123</f>
        <v>Finans Norge / Skadestatistikk</v>
      </c>
      <c r="G61" s="53"/>
      <c r="H61" s="211">
        <v>15</v>
      </c>
    </row>
    <row r="62" spans="1:8" ht="12.75" customHeight="1" x14ac:dyDescent="0.2">
      <c r="A62" s="54" t="str">
        <f>+Innhold!$B$124</f>
        <v>Skadestatistikk for landbasert forsikring 1. kvartal 2019</v>
      </c>
      <c r="G62" s="53"/>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35" display="Tilbake til innholdsfortegnelsen" xr:uid="{00000000-0004-0000-0A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150</v>
      </c>
      <c r="B4" s="5"/>
      <c r="C4" s="5"/>
      <c r="D4" s="5"/>
      <c r="E4" s="5"/>
      <c r="F4" s="5"/>
      <c r="G4" s="5"/>
      <c r="H4" s="6"/>
    </row>
    <row r="5" spans="1:8" x14ac:dyDescent="0.2">
      <c r="A5" s="7"/>
      <c r="B5" s="8"/>
      <c r="C5" s="9"/>
      <c r="D5" s="8"/>
      <c r="E5" s="10"/>
      <c r="F5" s="11"/>
      <c r="G5" s="212" t="s">
        <v>1</v>
      </c>
      <c r="H5" s="213"/>
    </row>
    <row r="6" spans="1:8" x14ac:dyDescent="0.2">
      <c r="A6" s="12"/>
      <c r="B6" s="13"/>
      <c r="C6" s="14" t="s">
        <v>234</v>
      </c>
      <c r="D6" s="15" t="s">
        <v>235</v>
      </c>
      <c r="E6" s="15" t="s">
        <v>236</v>
      </c>
      <c r="F6" s="16"/>
      <c r="G6" s="17" t="s">
        <v>237</v>
      </c>
      <c r="H6" s="18" t="s">
        <v>238</v>
      </c>
    </row>
    <row r="7" spans="1:8" ht="12.75" customHeight="1" x14ac:dyDescent="0.2">
      <c r="A7" s="214" t="s">
        <v>45</v>
      </c>
      <c r="B7" s="19" t="s">
        <v>3</v>
      </c>
      <c r="C7" s="20">
        <v>14731.573261968293</v>
      </c>
      <c r="D7" s="20">
        <v>18679.167529953433</v>
      </c>
      <c r="E7" s="21">
        <v>13219.38656058878</v>
      </c>
      <c r="F7" s="22" t="s">
        <v>239</v>
      </c>
      <c r="G7" s="23">
        <v>-10.264936911276436</v>
      </c>
      <c r="H7" s="24">
        <v>-29.229252109921319</v>
      </c>
    </row>
    <row r="8" spans="1:8" ht="12.75" customHeight="1" x14ac:dyDescent="0.2">
      <c r="A8" s="215"/>
      <c r="B8" s="25" t="s">
        <v>240</v>
      </c>
      <c r="C8" s="26">
        <v>3415.9517354156856</v>
      </c>
      <c r="D8" s="26">
        <v>4327.0239104274578</v>
      </c>
      <c r="E8" s="26">
        <v>3063.2796002720661</v>
      </c>
      <c r="F8" s="27"/>
      <c r="G8" s="28">
        <v>-10.324271607447145</v>
      </c>
      <c r="H8" s="29">
        <v>-29.205854562300047</v>
      </c>
    </row>
    <row r="9" spans="1:8" x14ac:dyDescent="0.2">
      <c r="A9" s="30" t="s">
        <v>18</v>
      </c>
      <c r="B9" s="31" t="s">
        <v>3</v>
      </c>
      <c r="C9" s="20">
        <v>1820.9106131151304</v>
      </c>
      <c r="D9" s="20">
        <v>2277.1434434782609</v>
      </c>
      <c r="E9" s="21">
        <v>1561.8624906619295</v>
      </c>
      <c r="F9" s="22" t="s">
        <v>239</v>
      </c>
      <c r="G9" s="32">
        <v>-14.226295381409926</v>
      </c>
      <c r="H9" s="33">
        <v>-31.411326100904887</v>
      </c>
    </row>
    <row r="10" spans="1:8" x14ac:dyDescent="0.2">
      <c r="A10" s="34"/>
      <c r="B10" s="25" t="s">
        <v>240</v>
      </c>
      <c r="C10" s="26">
        <v>473.89314835008696</v>
      </c>
      <c r="D10" s="26">
        <v>412.98937391304349</v>
      </c>
      <c r="E10" s="26">
        <v>315.10206956521739</v>
      </c>
      <c r="F10" s="27"/>
      <c r="G10" s="35">
        <v>-33.50778109743068</v>
      </c>
      <c r="H10" s="29">
        <v>-23.702136309307718</v>
      </c>
    </row>
    <row r="11" spans="1:8" x14ac:dyDescent="0.2">
      <c r="A11" s="30" t="s">
        <v>19</v>
      </c>
      <c r="B11" s="31" t="s">
        <v>3</v>
      </c>
      <c r="C11" s="20">
        <v>4173.0353770504353</v>
      </c>
      <c r="D11" s="20">
        <v>5894.81147826087</v>
      </c>
      <c r="E11" s="21">
        <v>3889.3390485923956</v>
      </c>
      <c r="F11" s="22" t="s">
        <v>239</v>
      </c>
      <c r="G11" s="37">
        <v>-6.7983207144186792</v>
      </c>
      <c r="H11" s="33">
        <v>-34.020976532741358</v>
      </c>
    </row>
    <row r="12" spans="1:8" x14ac:dyDescent="0.2">
      <c r="A12" s="34"/>
      <c r="B12" s="25" t="s">
        <v>240</v>
      </c>
      <c r="C12" s="26">
        <v>970.97716116695653</v>
      </c>
      <c r="D12" s="26">
        <v>1775.2979130434783</v>
      </c>
      <c r="E12" s="26">
        <v>1066.6735652173913</v>
      </c>
      <c r="F12" s="27"/>
      <c r="G12" s="28">
        <v>9.8556802237679051</v>
      </c>
      <c r="H12" s="29">
        <v>-39.91579906784537</v>
      </c>
    </row>
    <row r="13" spans="1:8" x14ac:dyDescent="0.2">
      <c r="A13" s="30" t="s">
        <v>20</v>
      </c>
      <c r="B13" s="31" t="s">
        <v>3</v>
      </c>
      <c r="C13" s="20">
        <v>1459.2073224049691</v>
      </c>
      <c r="D13" s="20">
        <v>1345.5768944099377</v>
      </c>
      <c r="E13" s="21">
        <v>1214.6709426071338</v>
      </c>
      <c r="F13" s="22" t="s">
        <v>239</v>
      </c>
      <c r="G13" s="23">
        <v>-16.758165617947057</v>
      </c>
      <c r="H13" s="24">
        <v>-9.7286117461320316</v>
      </c>
    </row>
    <row r="14" spans="1:8" x14ac:dyDescent="0.2">
      <c r="A14" s="34"/>
      <c r="B14" s="25" t="s">
        <v>240</v>
      </c>
      <c r="C14" s="26">
        <v>355.41769579378882</v>
      </c>
      <c r="D14" s="26">
        <v>249.57043478260869</v>
      </c>
      <c r="E14" s="26">
        <v>244.74931677018634</v>
      </c>
      <c r="F14" s="27"/>
      <c r="G14" s="38">
        <v>-31.137554582485279</v>
      </c>
      <c r="H14" s="24">
        <v>-1.9317664837270598</v>
      </c>
    </row>
    <row r="15" spans="1:8" x14ac:dyDescent="0.2">
      <c r="A15" s="30" t="s">
        <v>21</v>
      </c>
      <c r="B15" s="31" t="s">
        <v>3</v>
      </c>
      <c r="C15" s="20">
        <v>347.81046903478261</v>
      </c>
      <c r="D15" s="20">
        <v>407.91826086956519</v>
      </c>
      <c r="E15" s="21">
        <v>384.05553813118877</v>
      </c>
      <c r="F15" s="22" t="s">
        <v>239</v>
      </c>
      <c r="G15" s="37">
        <v>10.42092528065379</v>
      </c>
      <c r="H15" s="33">
        <v>-5.84987852407194</v>
      </c>
    </row>
    <row r="16" spans="1:8" x14ac:dyDescent="0.2">
      <c r="A16" s="34"/>
      <c r="B16" s="25" t="s">
        <v>240</v>
      </c>
      <c r="C16" s="26">
        <v>66.413494606521738</v>
      </c>
      <c r="D16" s="26">
        <v>60.458043478260869</v>
      </c>
      <c r="E16" s="26">
        <v>61.510217391304352</v>
      </c>
      <c r="F16" s="27"/>
      <c r="G16" s="28">
        <v>-7.3829531848424779</v>
      </c>
      <c r="H16" s="29">
        <v>1.7403373521702008</v>
      </c>
    </row>
    <row r="17" spans="1:8" x14ac:dyDescent="0.2">
      <c r="A17" s="30" t="s">
        <v>22</v>
      </c>
      <c r="B17" s="31" t="s">
        <v>3</v>
      </c>
      <c r="C17" s="20">
        <v>317.81046903478261</v>
      </c>
      <c r="D17" s="20">
        <v>440.91826086956524</v>
      </c>
      <c r="E17" s="21">
        <v>417.81859185132623</v>
      </c>
      <c r="F17" s="22" t="s">
        <v>239</v>
      </c>
      <c r="G17" s="37">
        <v>31.467850357565879</v>
      </c>
      <c r="H17" s="33">
        <v>-5.2389912299578185</v>
      </c>
    </row>
    <row r="18" spans="1:8" x14ac:dyDescent="0.2">
      <c r="A18" s="34"/>
      <c r="B18" s="25" t="s">
        <v>240</v>
      </c>
      <c r="C18" s="26">
        <v>75.413494606521738</v>
      </c>
      <c r="D18" s="26">
        <v>67.458043478260862</v>
      </c>
      <c r="E18" s="26">
        <v>72.510217391304352</v>
      </c>
      <c r="F18" s="27"/>
      <c r="G18" s="28">
        <v>-3.8498112710007177</v>
      </c>
      <c r="H18" s="29">
        <v>7.4893573138859324</v>
      </c>
    </row>
    <row r="19" spans="1:8" x14ac:dyDescent="0.2">
      <c r="A19" s="30" t="s">
        <v>189</v>
      </c>
      <c r="B19" s="31" t="s">
        <v>3</v>
      </c>
      <c r="C19" s="20">
        <v>3838.5183060124223</v>
      </c>
      <c r="D19" s="20">
        <v>5269.4422360248445</v>
      </c>
      <c r="E19" s="21">
        <v>3807.6233910196656</v>
      </c>
      <c r="F19" s="22" t="s">
        <v>239</v>
      </c>
      <c r="G19" s="23">
        <v>-0.80486564162960406</v>
      </c>
      <c r="H19" s="24">
        <v>-27.741434093562518</v>
      </c>
    </row>
    <row r="20" spans="1:8" x14ac:dyDescent="0.2">
      <c r="A20" s="30"/>
      <c r="B20" s="25" t="s">
        <v>240</v>
      </c>
      <c r="C20" s="26">
        <v>707.54423948447197</v>
      </c>
      <c r="D20" s="26">
        <v>1057.9260869565219</v>
      </c>
      <c r="E20" s="26">
        <v>742.37329192546588</v>
      </c>
      <c r="F20" s="27"/>
      <c r="G20" s="38">
        <v>4.9225264651113321</v>
      </c>
      <c r="H20" s="24">
        <v>-29.827489738801049</v>
      </c>
    </row>
    <row r="21" spans="1:8" x14ac:dyDescent="0.2">
      <c r="A21" s="39" t="s">
        <v>12</v>
      </c>
      <c r="B21" s="31" t="s">
        <v>3</v>
      </c>
      <c r="C21" s="20">
        <v>52.086281420869568</v>
      </c>
      <c r="D21" s="20">
        <v>41.150956521739133</v>
      </c>
      <c r="E21" s="21">
        <v>52.308933417066321</v>
      </c>
      <c r="F21" s="22" t="s">
        <v>239</v>
      </c>
      <c r="G21" s="37">
        <v>0.42746763662712794</v>
      </c>
      <c r="H21" s="33">
        <v>27.114744925631754</v>
      </c>
    </row>
    <row r="22" spans="1:8" x14ac:dyDescent="0.2">
      <c r="A22" s="34"/>
      <c r="B22" s="25" t="s">
        <v>240</v>
      </c>
      <c r="C22" s="26">
        <v>9.2480967639130434</v>
      </c>
      <c r="D22" s="26">
        <v>4.274826086956522</v>
      </c>
      <c r="E22" s="26">
        <v>6.3061304347826086</v>
      </c>
      <c r="F22" s="27"/>
      <c r="G22" s="28">
        <v>-31.811586797083137</v>
      </c>
      <c r="H22" s="29">
        <v>47.517824269484635</v>
      </c>
    </row>
    <row r="23" spans="1:8" x14ac:dyDescent="0.2">
      <c r="A23" s="39" t="s">
        <v>23</v>
      </c>
      <c r="B23" s="31" t="s">
        <v>3</v>
      </c>
      <c r="C23" s="20">
        <v>1810.8104690347827</v>
      </c>
      <c r="D23" s="20">
        <v>1789.9182608695651</v>
      </c>
      <c r="E23" s="21">
        <v>1586.4722264679599</v>
      </c>
      <c r="F23" s="22" t="s">
        <v>239</v>
      </c>
      <c r="G23" s="23">
        <v>-12.388830659146905</v>
      </c>
      <c r="H23" s="24">
        <v>-11.366219276558937</v>
      </c>
    </row>
    <row r="24" spans="1:8" x14ac:dyDescent="0.2">
      <c r="A24" s="34"/>
      <c r="B24" s="25" t="s">
        <v>240</v>
      </c>
      <c r="C24" s="26">
        <v>500.41349460652174</v>
      </c>
      <c r="D24" s="26">
        <v>450.45804347826089</v>
      </c>
      <c r="E24" s="26">
        <v>411.51021739130437</v>
      </c>
      <c r="F24" s="27"/>
      <c r="G24" s="28">
        <v>-17.765963183131689</v>
      </c>
      <c r="H24" s="29">
        <v>-8.6462716452384001</v>
      </c>
    </row>
    <row r="25" spans="1:8" x14ac:dyDescent="0.2">
      <c r="A25" s="30" t="s">
        <v>24</v>
      </c>
      <c r="B25" s="31" t="s">
        <v>3</v>
      </c>
      <c r="C25" s="20">
        <v>1313.6209380695652</v>
      </c>
      <c r="D25" s="20">
        <v>2014.8365217391304</v>
      </c>
      <c r="E25" s="21">
        <v>1844.7611919713836</v>
      </c>
      <c r="F25" s="22" t="s">
        <v>239</v>
      </c>
      <c r="G25" s="23">
        <v>40.433296890224426</v>
      </c>
      <c r="H25" s="24">
        <v>-8.4411478515857112</v>
      </c>
    </row>
    <row r="26" spans="1:8" ht="13.5" thickBot="1" x14ac:dyDescent="0.25">
      <c r="A26" s="41"/>
      <c r="B26" s="42" t="s">
        <v>240</v>
      </c>
      <c r="C26" s="43">
        <v>327.82698921304348</v>
      </c>
      <c r="D26" s="43">
        <v>392.91608695652172</v>
      </c>
      <c r="E26" s="43">
        <v>388.02043478260867</v>
      </c>
      <c r="F26" s="44"/>
      <c r="G26" s="45">
        <v>18.361345328540835</v>
      </c>
      <c r="H26" s="46">
        <v>-1.2459790617976836</v>
      </c>
    </row>
    <row r="31" spans="1:8" x14ac:dyDescent="0.2">
      <c r="A31" s="47"/>
      <c r="B31" s="48"/>
      <c r="C31" s="49"/>
      <c r="D31" s="55"/>
      <c r="E31" s="49"/>
      <c r="F31" s="49"/>
      <c r="G31" s="50"/>
      <c r="H31" s="51"/>
    </row>
    <row r="32" spans="1:8" ht="16.5" thickBot="1" x14ac:dyDescent="0.3">
      <c r="A32" s="4" t="s">
        <v>98</v>
      </c>
      <c r="B32" s="5"/>
      <c r="C32" s="5"/>
      <c r="D32" s="5"/>
      <c r="E32" s="5"/>
      <c r="F32" s="5"/>
      <c r="G32" s="5"/>
      <c r="H32" s="6"/>
    </row>
    <row r="33" spans="1:8" x14ac:dyDescent="0.2">
      <c r="A33" s="7"/>
      <c r="B33" s="8"/>
      <c r="C33" s="216" t="s">
        <v>16</v>
      </c>
      <c r="D33" s="212"/>
      <c r="E33" s="212"/>
      <c r="F33" s="217"/>
      <c r="G33" s="212" t="s">
        <v>1</v>
      </c>
      <c r="H33" s="213"/>
    </row>
    <row r="34" spans="1:8" x14ac:dyDescent="0.2">
      <c r="A34" s="12"/>
      <c r="B34" s="13"/>
      <c r="C34" s="14" t="s">
        <v>234</v>
      </c>
      <c r="D34" s="15" t="s">
        <v>235</v>
      </c>
      <c r="E34" s="15" t="s">
        <v>236</v>
      </c>
      <c r="F34" s="16"/>
      <c r="G34" s="17" t="s">
        <v>237</v>
      </c>
      <c r="H34" s="18" t="s">
        <v>238</v>
      </c>
    </row>
    <row r="35" spans="1:8" ht="12.75" customHeight="1" x14ac:dyDescent="0.2">
      <c r="A35" s="214" t="s">
        <v>45</v>
      </c>
      <c r="B35" s="19" t="s">
        <v>3</v>
      </c>
      <c r="C35" s="80">
        <v>686.74772083152163</v>
      </c>
      <c r="D35" s="80">
        <v>905.69526492151999</v>
      </c>
      <c r="E35" s="83">
        <v>791.65574724534395</v>
      </c>
      <c r="F35" s="22" t="s">
        <v>239</v>
      </c>
      <c r="G35" s="23">
        <v>15.276064736960265</v>
      </c>
      <c r="H35" s="24">
        <v>-12.591378368976862</v>
      </c>
    </row>
    <row r="36" spans="1:8" ht="12.75" customHeight="1" x14ac:dyDescent="0.2">
      <c r="A36" s="215"/>
      <c r="B36" s="25" t="s">
        <v>240</v>
      </c>
      <c r="C36" s="82">
        <v>166.09584774870271</v>
      </c>
      <c r="D36" s="82">
        <v>214.2545318262699</v>
      </c>
      <c r="E36" s="82">
        <v>188.65366409115362</v>
      </c>
      <c r="F36" s="27"/>
      <c r="G36" s="28">
        <v>13.581204255376747</v>
      </c>
      <c r="H36" s="29">
        <v>-11.948810378431091</v>
      </c>
    </row>
    <row r="37" spans="1:8" x14ac:dyDescent="0.2">
      <c r="A37" s="30" t="s">
        <v>18</v>
      </c>
      <c r="B37" s="31" t="s">
        <v>3</v>
      </c>
      <c r="C37" s="80">
        <v>286.64897173246356</v>
      </c>
      <c r="D37" s="80">
        <v>346.73780852116772</v>
      </c>
      <c r="E37" s="83">
        <v>374.80296378639747</v>
      </c>
      <c r="F37" s="22" t="s">
        <v>239</v>
      </c>
      <c r="G37" s="32">
        <v>30.753290870413508</v>
      </c>
      <c r="H37" s="33">
        <v>8.0940568278167433</v>
      </c>
    </row>
    <row r="38" spans="1:8" x14ac:dyDescent="0.2">
      <c r="A38" s="34"/>
      <c r="B38" s="25" t="s">
        <v>240</v>
      </c>
      <c r="C38" s="82">
        <v>64.292757567654021</v>
      </c>
      <c r="D38" s="82">
        <v>71.577821936810537</v>
      </c>
      <c r="E38" s="82">
        <v>79.480881653202587</v>
      </c>
      <c r="F38" s="27"/>
      <c r="G38" s="35">
        <v>23.623382570838402</v>
      </c>
      <c r="H38" s="29">
        <v>11.041212910011339</v>
      </c>
    </row>
    <row r="39" spans="1:8" x14ac:dyDescent="0.2">
      <c r="A39" s="30" t="s">
        <v>19</v>
      </c>
      <c r="B39" s="31" t="s">
        <v>3</v>
      </c>
      <c r="C39" s="80">
        <v>192.21336694659246</v>
      </c>
      <c r="D39" s="80">
        <v>273.02541210104232</v>
      </c>
      <c r="E39" s="83">
        <v>217.93639325958594</v>
      </c>
      <c r="F39" s="22" t="s">
        <v>239</v>
      </c>
      <c r="G39" s="37">
        <v>13.382537708806041</v>
      </c>
      <c r="H39" s="33">
        <v>-20.177249589158691</v>
      </c>
    </row>
    <row r="40" spans="1:8" x14ac:dyDescent="0.2">
      <c r="A40" s="34"/>
      <c r="B40" s="25" t="s">
        <v>240</v>
      </c>
      <c r="C40" s="82">
        <v>47.675709337485877</v>
      </c>
      <c r="D40" s="82">
        <v>78.937912787502867</v>
      </c>
      <c r="E40" s="82">
        <v>59.713205027476015</v>
      </c>
      <c r="F40" s="27"/>
      <c r="G40" s="28">
        <v>25.248697622471326</v>
      </c>
      <c r="H40" s="29">
        <v>-24.354213433257172</v>
      </c>
    </row>
    <row r="41" spans="1:8" x14ac:dyDescent="0.2">
      <c r="A41" s="30" t="s">
        <v>20</v>
      </c>
      <c r="B41" s="31" t="s">
        <v>3</v>
      </c>
      <c r="C41" s="80">
        <v>41.102573676525452</v>
      </c>
      <c r="D41" s="80">
        <v>40.02754168624454</v>
      </c>
      <c r="E41" s="83">
        <v>33.863483237774894</v>
      </c>
      <c r="F41" s="22" t="s">
        <v>239</v>
      </c>
      <c r="G41" s="23">
        <v>-17.612255854637525</v>
      </c>
      <c r="H41" s="24">
        <v>-15.399542886711743</v>
      </c>
    </row>
    <row r="42" spans="1:8" x14ac:dyDescent="0.2">
      <c r="A42" s="34"/>
      <c r="B42" s="25" t="s">
        <v>240</v>
      </c>
      <c r="C42" s="82">
        <v>12.446151362921356</v>
      </c>
      <c r="D42" s="82">
        <v>10.187366468533952</v>
      </c>
      <c r="E42" s="82">
        <v>9.1025134113036277</v>
      </c>
      <c r="F42" s="27"/>
      <c r="G42" s="38">
        <v>-26.864834390322812</v>
      </c>
      <c r="H42" s="24">
        <v>-10.649003946026141</v>
      </c>
    </row>
    <row r="43" spans="1:8" x14ac:dyDescent="0.2">
      <c r="A43" s="30" t="s">
        <v>21</v>
      </c>
      <c r="B43" s="31" t="s">
        <v>3</v>
      </c>
      <c r="C43" s="80">
        <v>7.0947170836556248</v>
      </c>
      <c r="D43" s="80">
        <v>7.6017906677448961</v>
      </c>
      <c r="E43" s="83">
        <v>5.7870103440012377</v>
      </c>
      <c r="F43" s="22" t="s">
        <v>239</v>
      </c>
      <c r="G43" s="37">
        <v>-18.432119621330671</v>
      </c>
      <c r="H43" s="33">
        <v>-23.873063638070704</v>
      </c>
    </row>
    <row r="44" spans="1:8" x14ac:dyDescent="0.2">
      <c r="A44" s="34"/>
      <c r="B44" s="25" t="s">
        <v>240</v>
      </c>
      <c r="C44" s="82">
        <v>1.1589775403673537</v>
      </c>
      <c r="D44" s="82">
        <v>1.4150984902177535</v>
      </c>
      <c r="E44" s="82">
        <v>1.029389658330504</v>
      </c>
      <c r="F44" s="27"/>
      <c r="G44" s="28">
        <v>-11.181224615946832</v>
      </c>
      <c r="H44" s="29">
        <v>-27.256677507153384</v>
      </c>
    </row>
    <row r="45" spans="1:8" x14ac:dyDescent="0.2">
      <c r="A45" s="30" t="s">
        <v>22</v>
      </c>
      <c r="B45" s="31" t="s">
        <v>3</v>
      </c>
      <c r="C45" s="80">
        <v>1.5883499493006206</v>
      </c>
      <c r="D45" s="80">
        <v>2.4576141366135205</v>
      </c>
      <c r="E45" s="83">
        <v>1.7378226534215386</v>
      </c>
      <c r="F45" s="22" t="s">
        <v>239</v>
      </c>
      <c r="G45" s="37">
        <v>9.4105649820263864</v>
      </c>
      <c r="H45" s="33">
        <v>-29.288221957569846</v>
      </c>
    </row>
    <row r="46" spans="1:8" x14ac:dyDescent="0.2">
      <c r="A46" s="34"/>
      <c r="B46" s="25" t="s">
        <v>240</v>
      </c>
      <c r="C46" s="82">
        <v>0.48046659094721733</v>
      </c>
      <c r="D46" s="82">
        <v>0.46611573124030248</v>
      </c>
      <c r="E46" s="82">
        <v>0.37639840016788212</v>
      </c>
      <c r="F46" s="27"/>
      <c r="G46" s="28">
        <v>-21.659818339121074</v>
      </c>
      <c r="H46" s="29">
        <v>-19.247865939578702</v>
      </c>
    </row>
    <row r="47" spans="1:8" x14ac:dyDescent="0.2">
      <c r="A47" s="30" t="s">
        <v>189</v>
      </c>
      <c r="B47" s="31" t="s">
        <v>3</v>
      </c>
      <c r="C47" s="80">
        <v>79.981695300758332</v>
      </c>
      <c r="D47" s="80">
        <v>137.86343215799468</v>
      </c>
      <c r="E47" s="83">
        <v>90.247860700773444</v>
      </c>
      <c r="F47" s="22" t="s">
        <v>239</v>
      </c>
      <c r="G47" s="23">
        <v>12.835643657477931</v>
      </c>
      <c r="H47" s="24">
        <v>-34.538217068796527</v>
      </c>
    </row>
    <row r="48" spans="1:8" x14ac:dyDescent="0.2">
      <c r="A48" s="30"/>
      <c r="B48" s="25" t="s">
        <v>240</v>
      </c>
      <c r="C48" s="82">
        <v>19.654387634988062</v>
      </c>
      <c r="D48" s="82">
        <v>28.254539183779375</v>
      </c>
      <c r="E48" s="82">
        <v>19.57925835176535</v>
      </c>
      <c r="F48" s="27"/>
      <c r="G48" s="38">
        <v>-0.38225196642081016</v>
      </c>
      <c r="H48" s="24">
        <v>-30.704025203123493</v>
      </c>
    </row>
    <row r="49" spans="1:8" x14ac:dyDescent="0.2">
      <c r="A49" s="39" t="s">
        <v>12</v>
      </c>
      <c r="B49" s="31" t="s">
        <v>3</v>
      </c>
      <c r="C49" s="80">
        <v>2.5641033850159589</v>
      </c>
      <c r="D49" s="80">
        <v>1.5168175094124985</v>
      </c>
      <c r="E49" s="83">
        <v>4.2871569850558391</v>
      </c>
      <c r="F49" s="22" t="s">
        <v>239</v>
      </c>
      <c r="G49" s="37">
        <v>67.199068887355196</v>
      </c>
      <c r="H49" s="33">
        <v>182.64158070777825</v>
      </c>
    </row>
    <row r="50" spans="1:8" x14ac:dyDescent="0.2">
      <c r="A50" s="34"/>
      <c r="B50" s="25" t="s">
        <v>240</v>
      </c>
      <c r="C50" s="82">
        <v>3.8416583482312201E-2</v>
      </c>
      <c r="D50" s="82">
        <v>0.2004390886588871</v>
      </c>
      <c r="E50" s="82">
        <v>0.15707775024547954</v>
      </c>
      <c r="F50" s="27"/>
      <c r="G50" s="28">
        <v>308.88006169992036</v>
      </c>
      <c r="H50" s="29">
        <v>-21.633174798155821</v>
      </c>
    </row>
    <row r="51" spans="1:8" x14ac:dyDescent="0.2">
      <c r="A51" s="39" t="s">
        <v>23</v>
      </c>
      <c r="B51" s="31" t="s">
        <v>3</v>
      </c>
      <c r="C51" s="80">
        <v>47.18650386094248</v>
      </c>
      <c r="D51" s="80">
        <v>48.171002876129229</v>
      </c>
      <c r="E51" s="83">
        <v>31.842906377745344</v>
      </c>
      <c r="F51" s="22" t="s">
        <v>239</v>
      </c>
      <c r="G51" s="23">
        <v>-32.516919516678669</v>
      </c>
      <c r="H51" s="24">
        <v>-33.896110779282012</v>
      </c>
    </row>
    <row r="52" spans="1:8" x14ac:dyDescent="0.2">
      <c r="A52" s="34"/>
      <c r="B52" s="25" t="s">
        <v>240</v>
      </c>
      <c r="C52" s="82">
        <v>12.976550300902346</v>
      </c>
      <c r="D52" s="82">
        <v>13.78663314332147</v>
      </c>
      <c r="E52" s="82">
        <v>8.9914766662347123</v>
      </c>
      <c r="F52" s="27"/>
      <c r="G52" s="28">
        <v>-30.709807631929152</v>
      </c>
      <c r="H52" s="29">
        <v>-34.781200219356165</v>
      </c>
    </row>
    <row r="53" spans="1:8" x14ac:dyDescent="0.2">
      <c r="A53" s="30" t="s">
        <v>24</v>
      </c>
      <c r="B53" s="31" t="s">
        <v>3</v>
      </c>
      <c r="C53" s="80">
        <v>28.367438896267032</v>
      </c>
      <c r="D53" s="80">
        <v>48.293845265170518</v>
      </c>
      <c r="E53" s="83">
        <v>48.022623584887228</v>
      </c>
      <c r="F53" s="22" t="s">
        <v>239</v>
      </c>
      <c r="G53" s="23">
        <v>69.287836524455116</v>
      </c>
      <c r="H53" s="24">
        <v>-0.5616071339817239</v>
      </c>
    </row>
    <row r="54" spans="1:8" ht="13.5" thickBot="1" x14ac:dyDescent="0.25">
      <c r="A54" s="41"/>
      <c r="B54" s="42" t="s">
        <v>240</v>
      </c>
      <c r="C54" s="86">
        <v>7.3724308299541867</v>
      </c>
      <c r="D54" s="86">
        <v>9.4286049962047507</v>
      </c>
      <c r="E54" s="86">
        <v>10.223463172427461</v>
      </c>
      <c r="F54" s="44"/>
      <c r="G54" s="45">
        <v>38.671537356302224</v>
      </c>
      <c r="H54" s="46">
        <v>8.4302839767140654</v>
      </c>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tr">
        <f>+Innhold!$B$123</f>
        <v>Finans Norge / Skadestatistikk</v>
      </c>
      <c r="H61" s="207">
        <v>16</v>
      </c>
    </row>
    <row r="62" spans="1:8" ht="12.75" customHeight="1" x14ac:dyDescent="0.2">
      <c r="A62" s="54" t="str">
        <f>+Innhold!$B$124</f>
        <v>Skadestatistikk for landbasert forsikring 1. kvartal 2019</v>
      </c>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37" display="Tilbake til innholdsfortegnelsen" xr:uid="{00000000-0004-0000-0B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163</v>
      </c>
      <c r="B4" s="5"/>
      <c r="C4" s="5"/>
      <c r="D4" s="5"/>
      <c r="E4" s="5"/>
      <c r="F4" s="5"/>
      <c r="G4" s="5"/>
      <c r="H4" s="6"/>
    </row>
    <row r="5" spans="1:8" x14ac:dyDescent="0.2">
      <c r="A5" s="7"/>
      <c r="B5" s="8"/>
      <c r="C5" s="9"/>
      <c r="D5" s="8"/>
      <c r="E5" s="10"/>
      <c r="F5" s="11"/>
      <c r="G5" s="212" t="s">
        <v>1</v>
      </c>
      <c r="H5" s="213"/>
    </row>
    <row r="6" spans="1:8" x14ac:dyDescent="0.2">
      <c r="A6" s="12"/>
      <c r="B6" s="13"/>
      <c r="C6" s="14" t="s">
        <v>234</v>
      </c>
      <c r="D6" s="15" t="s">
        <v>235</v>
      </c>
      <c r="E6" s="15" t="s">
        <v>236</v>
      </c>
      <c r="F6" s="16"/>
      <c r="G6" s="17" t="s">
        <v>237</v>
      </c>
      <c r="H6" s="18" t="s">
        <v>238</v>
      </c>
    </row>
    <row r="7" spans="1:8" x14ac:dyDescent="0.2">
      <c r="A7" s="214" t="s">
        <v>165</v>
      </c>
      <c r="B7" s="19" t="s">
        <v>3</v>
      </c>
      <c r="C7" s="20">
        <v>39410.456254180601</v>
      </c>
      <c r="D7" s="20">
        <v>47104.096671444495</v>
      </c>
      <c r="E7" s="79">
        <v>49117.067168788053</v>
      </c>
      <c r="F7" s="22" t="s">
        <v>239</v>
      </c>
      <c r="G7" s="23">
        <v>24.62953194960231</v>
      </c>
      <c r="H7" s="24">
        <v>4.2734510150660867</v>
      </c>
    </row>
    <row r="8" spans="1:8" x14ac:dyDescent="0.2">
      <c r="A8" s="215"/>
      <c r="B8" s="25" t="s">
        <v>240</v>
      </c>
      <c r="C8" s="26">
        <v>10382.715628412168</v>
      </c>
      <c r="D8" s="26">
        <v>12011.183150183149</v>
      </c>
      <c r="E8" s="26">
        <v>12659.963847746456</v>
      </c>
      <c r="F8" s="27"/>
      <c r="G8" s="28">
        <v>21.933069351361482</v>
      </c>
      <c r="H8" s="29">
        <v>5.40147202362337</v>
      </c>
    </row>
    <row r="9" spans="1:8" x14ac:dyDescent="0.2">
      <c r="A9" s="30" t="s">
        <v>18</v>
      </c>
      <c r="B9" s="31" t="s">
        <v>3</v>
      </c>
      <c r="C9" s="20">
        <v>4635.9603435869567</v>
      </c>
      <c r="D9" s="20">
        <v>5019.7944202898552</v>
      </c>
      <c r="E9" s="36">
        <v>4818.2907088346219</v>
      </c>
      <c r="F9" s="22" t="s">
        <v>239</v>
      </c>
      <c r="G9" s="32">
        <v>3.9329578282499114</v>
      </c>
      <c r="H9" s="33">
        <v>-4.0141825458182439</v>
      </c>
    </row>
    <row r="10" spans="1:8" x14ac:dyDescent="0.2">
      <c r="A10" s="34"/>
      <c r="B10" s="25" t="s">
        <v>240</v>
      </c>
      <c r="C10" s="26">
        <v>1311.1261985514493</v>
      </c>
      <c r="D10" s="26">
        <v>1146.4633333333334</v>
      </c>
      <c r="E10" s="26">
        <v>1175.8745289855071</v>
      </c>
      <c r="F10" s="27"/>
      <c r="G10" s="35">
        <v>-10.315686599457024</v>
      </c>
      <c r="H10" s="29">
        <v>2.5653847617316217</v>
      </c>
    </row>
    <row r="11" spans="1:8" x14ac:dyDescent="0.2">
      <c r="A11" s="30" t="s">
        <v>19</v>
      </c>
      <c r="B11" s="31" t="s">
        <v>3</v>
      </c>
      <c r="C11" s="20">
        <v>19048.779306284585</v>
      </c>
      <c r="D11" s="20">
        <v>20725.509011857706</v>
      </c>
      <c r="E11" s="36">
        <v>19850.902624231541</v>
      </c>
      <c r="F11" s="22" t="s">
        <v>239</v>
      </c>
      <c r="G11" s="37">
        <v>4.2108909187809047</v>
      </c>
      <c r="H11" s="33">
        <v>-4.2199513031297613</v>
      </c>
    </row>
    <row r="12" spans="1:8" x14ac:dyDescent="0.2">
      <c r="A12" s="34"/>
      <c r="B12" s="25" t="s">
        <v>240</v>
      </c>
      <c r="C12" s="26">
        <v>4943.8675588956521</v>
      </c>
      <c r="D12" s="26">
        <v>5796.6072727272731</v>
      </c>
      <c r="E12" s="26">
        <v>5411.9530039525689</v>
      </c>
      <c r="F12" s="27"/>
      <c r="G12" s="28">
        <v>9.4680013062784525</v>
      </c>
      <c r="H12" s="29">
        <v>-6.635851812567708</v>
      </c>
    </row>
    <row r="13" spans="1:8" x14ac:dyDescent="0.2">
      <c r="A13" s="30" t="s">
        <v>20</v>
      </c>
      <c r="B13" s="31" t="s">
        <v>3</v>
      </c>
      <c r="C13" s="20">
        <v>2691.7762061521739</v>
      </c>
      <c r="D13" s="20">
        <v>2919.2766521739131</v>
      </c>
      <c r="E13" s="36">
        <v>3199.2222275187564</v>
      </c>
      <c r="F13" s="22" t="s">
        <v>239</v>
      </c>
      <c r="G13" s="23">
        <v>18.851716580553472</v>
      </c>
      <c r="H13" s="24">
        <v>9.5895527796714646</v>
      </c>
    </row>
    <row r="14" spans="1:8" x14ac:dyDescent="0.2">
      <c r="A14" s="34"/>
      <c r="B14" s="25" t="s">
        <v>240</v>
      </c>
      <c r="C14" s="26">
        <v>667.47571913086961</v>
      </c>
      <c r="D14" s="26">
        <v>636.678</v>
      </c>
      <c r="E14" s="26">
        <v>726.92471739130428</v>
      </c>
      <c r="F14" s="27"/>
      <c r="G14" s="38">
        <v>8.9065409507096689</v>
      </c>
      <c r="H14" s="24">
        <v>14.174624754005066</v>
      </c>
    </row>
    <row r="15" spans="1:8" x14ac:dyDescent="0.2">
      <c r="A15" s="30" t="s">
        <v>21</v>
      </c>
      <c r="B15" s="31" t="s">
        <v>3</v>
      </c>
      <c r="C15" s="20">
        <v>1241.7762061521739</v>
      </c>
      <c r="D15" s="20">
        <v>1228.2766521739131</v>
      </c>
      <c r="E15" s="36">
        <v>1285.7427326964907</v>
      </c>
      <c r="F15" s="22" t="s">
        <v>239</v>
      </c>
      <c r="G15" s="37">
        <v>3.5406159601457858</v>
      </c>
      <c r="H15" s="33">
        <v>4.6785942255654618</v>
      </c>
    </row>
    <row r="16" spans="1:8" x14ac:dyDescent="0.2">
      <c r="A16" s="34"/>
      <c r="B16" s="25" t="s">
        <v>240</v>
      </c>
      <c r="C16" s="26">
        <v>306.47571913086955</v>
      </c>
      <c r="D16" s="26">
        <v>243.678</v>
      </c>
      <c r="E16" s="26">
        <v>272.92471739130434</v>
      </c>
      <c r="F16" s="27"/>
      <c r="G16" s="28">
        <v>-10.947360474334488</v>
      </c>
      <c r="H16" s="29">
        <v>12.002198553543735</v>
      </c>
    </row>
    <row r="17" spans="1:8" x14ac:dyDescent="0.2">
      <c r="A17" s="30" t="s">
        <v>189</v>
      </c>
      <c r="B17" s="31" t="s">
        <v>3</v>
      </c>
      <c r="C17" s="20">
        <v>7349.9603435869567</v>
      </c>
      <c r="D17" s="20">
        <v>9925.7944202898543</v>
      </c>
      <c r="E17" s="36">
        <v>11927.436797575638</v>
      </c>
      <c r="F17" s="22" t="s">
        <v>239</v>
      </c>
      <c r="G17" s="37">
        <v>62.278927232344245</v>
      </c>
      <c r="H17" s="33">
        <v>20.166067243888492</v>
      </c>
    </row>
    <row r="18" spans="1:8" x14ac:dyDescent="0.2">
      <c r="A18" s="34"/>
      <c r="B18" s="25" t="s">
        <v>240</v>
      </c>
      <c r="C18" s="26">
        <v>2010.1261985514491</v>
      </c>
      <c r="D18" s="26">
        <v>2460.4633333333331</v>
      </c>
      <c r="E18" s="26">
        <v>3051.8745289855074</v>
      </c>
      <c r="F18" s="27"/>
      <c r="G18" s="28">
        <v>51.825021293925232</v>
      </c>
      <c r="H18" s="29">
        <v>24.036578299704018</v>
      </c>
    </row>
    <row r="19" spans="1:8" x14ac:dyDescent="0.2">
      <c r="A19" s="39" t="s">
        <v>12</v>
      </c>
      <c r="B19" s="31" t="s">
        <v>3</v>
      </c>
      <c r="C19" s="20">
        <v>424.77620615217393</v>
      </c>
      <c r="D19" s="20">
        <v>522.27665217391302</v>
      </c>
      <c r="E19" s="36">
        <v>550.59409370842661</v>
      </c>
      <c r="F19" s="22" t="s">
        <v>239</v>
      </c>
      <c r="G19" s="37">
        <v>29.619805849289747</v>
      </c>
      <c r="H19" s="33">
        <v>5.4219236905662456</v>
      </c>
    </row>
    <row r="20" spans="1:8" x14ac:dyDescent="0.2">
      <c r="A20" s="34"/>
      <c r="B20" s="25" t="s">
        <v>240</v>
      </c>
      <c r="C20" s="26">
        <v>134.47571913086955</v>
      </c>
      <c r="D20" s="26">
        <v>131.678</v>
      </c>
      <c r="E20" s="26">
        <v>148.92471739130434</v>
      </c>
      <c r="F20" s="27"/>
      <c r="G20" s="28">
        <v>10.744689341555613</v>
      </c>
      <c r="H20" s="29">
        <v>13.097645310001923</v>
      </c>
    </row>
    <row r="21" spans="1:8" x14ac:dyDescent="0.2">
      <c r="A21" s="39" t="s">
        <v>23</v>
      </c>
      <c r="B21" s="31" t="s">
        <v>3</v>
      </c>
      <c r="C21" s="20">
        <v>599.18413743478254</v>
      </c>
      <c r="D21" s="20">
        <v>670.51776811594209</v>
      </c>
      <c r="E21" s="36">
        <v>679.67031056549797</v>
      </c>
      <c r="F21" s="22" t="s">
        <v>239</v>
      </c>
      <c r="G21" s="23">
        <v>13.432627484981751</v>
      </c>
      <c r="H21" s="24">
        <v>1.3649962588274462</v>
      </c>
    </row>
    <row r="22" spans="1:8" x14ac:dyDescent="0.2">
      <c r="A22" s="34"/>
      <c r="B22" s="25" t="s">
        <v>240</v>
      </c>
      <c r="C22" s="26">
        <v>173.65047942057973</v>
      </c>
      <c r="D22" s="26">
        <v>164.78533333333334</v>
      </c>
      <c r="E22" s="26">
        <v>175.94981159420291</v>
      </c>
      <c r="F22" s="27"/>
      <c r="G22" s="38">
        <v>1.3241150737362659</v>
      </c>
      <c r="H22" s="24">
        <v>6.7751650192591484</v>
      </c>
    </row>
    <row r="23" spans="1:8" x14ac:dyDescent="0.2">
      <c r="A23" s="30" t="s">
        <v>24</v>
      </c>
      <c r="B23" s="31" t="s">
        <v>3</v>
      </c>
      <c r="C23" s="20">
        <v>4643.2328618456522</v>
      </c>
      <c r="D23" s="20">
        <v>7429.382995652174</v>
      </c>
      <c r="E23" s="36">
        <v>8391.0842849715536</v>
      </c>
      <c r="F23" s="22" t="s">
        <v>239</v>
      </c>
      <c r="G23" s="37">
        <v>80.71642182589477</v>
      </c>
      <c r="H23" s="33">
        <v>12.944564708565792</v>
      </c>
    </row>
    <row r="24" spans="1:8" ht="13.5" thickBot="1" x14ac:dyDescent="0.25">
      <c r="A24" s="41"/>
      <c r="B24" s="42" t="s">
        <v>240</v>
      </c>
      <c r="C24" s="43">
        <v>1082.6427157392609</v>
      </c>
      <c r="D24" s="43">
        <v>1724.8034</v>
      </c>
      <c r="E24" s="43">
        <v>1950.8774152173912</v>
      </c>
      <c r="F24" s="44"/>
      <c r="G24" s="45">
        <v>80.195865806502354</v>
      </c>
      <c r="H24" s="46">
        <v>13.107233857342294</v>
      </c>
    </row>
    <row r="29" spans="1:8" x14ac:dyDescent="0.2">
      <c r="A29" s="58"/>
      <c r="B29" s="58"/>
      <c r="C29" s="21"/>
      <c r="D29" s="21"/>
      <c r="E29" s="21"/>
      <c r="F29" s="59"/>
      <c r="G29" s="38"/>
      <c r="H29" s="60"/>
    </row>
    <row r="30" spans="1:8" x14ac:dyDescent="0.2">
      <c r="A30" s="58"/>
      <c r="B30" s="62"/>
      <c r="C30" s="21"/>
      <c r="D30" s="21"/>
      <c r="E30" s="21"/>
      <c r="F30" s="63"/>
      <c r="G30" s="38"/>
      <c r="H30" s="60"/>
    </row>
    <row r="31" spans="1:8" x14ac:dyDescent="0.2">
      <c r="A31" s="47"/>
      <c r="B31" s="48"/>
      <c r="C31" s="49"/>
      <c r="D31" s="55"/>
      <c r="E31" s="49"/>
      <c r="F31" s="49"/>
      <c r="G31" s="50"/>
      <c r="H31" s="51"/>
    </row>
    <row r="32" spans="1:8" ht="16.5" thickBot="1" x14ac:dyDescent="0.3">
      <c r="A32" s="4" t="s">
        <v>164</v>
      </c>
      <c r="B32" s="5"/>
      <c r="C32" s="5"/>
      <c r="D32" s="5"/>
      <c r="E32" s="5"/>
      <c r="F32" s="5"/>
      <c r="G32" s="5"/>
      <c r="H32" s="6"/>
    </row>
    <row r="33" spans="1:8" x14ac:dyDescent="0.2">
      <c r="A33" s="7"/>
      <c r="B33" s="8"/>
      <c r="C33" s="216" t="s">
        <v>16</v>
      </c>
      <c r="D33" s="212"/>
      <c r="E33" s="212"/>
      <c r="F33" s="217"/>
      <c r="G33" s="212" t="s">
        <v>1</v>
      </c>
      <c r="H33" s="213"/>
    </row>
    <row r="34" spans="1:8" x14ac:dyDescent="0.2">
      <c r="A34" s="12"/>
      <c r="B34" s="13"/>
      <c r="C34" s="14" t="s">
        <v>234</v>
      </c>
      <c r="D34" s="15" t="s">
        <v>235</v>
      </c>
      <c r="E34" s="15" t="s">
        <v>236</v>
      </c>
      <c r="F34" s="16"/>
      <c r="G34" s="17" t="s">
        <v>237</v>
      </c>
      <c r="H34" s="18" t="s">
        <v>238</v>
      </c>
    </row>
    <row r="35" spans="1:8" ht="12.75" customHeight="1" x14ac:dyDescent="0.2">
      <c r="A35" s="214" t="s">
        <v>165</v>
      </c>
      <c r="B35" s="19" t="s">
        <v>3</v>
      </c>
      <c r="C35" s="80">
        <v>5239.1371201696165</v>
      </c>
      <c r="D35" s="80">
        <v>6748.8583414238092</v>
      </c>
      <c r="E35" s="81">
        <v>7479.4394015448252</v>
      </c>
      <c r="F35" s="22" t="s">
        <v>239</v>
      </c>
      <c r="G35" s="23">
        <v>42.760901842986669</v>
      </c>
      <c r="H35" s="24">
        <v>10.825254037957549</v>
      </c>
    </row>
    <row r="36" spans="1:8" ht="12.75" customHeight="1" x14ac:dyDescent="0.2">
      <c r="A36" s="215"/>
      <c r="B36" s="25" t="s">
        <v>240</v>
      </c>
      <c r="C36" s="82">
        <v>1451.330581295279</v>
      </c>
      <c r="D36" s="82">
        <v>1550.2525616949954</v>
      </c>
      <c r="E36" s="82">
        <v>1821.784323576966</v>
      </c>
      <c r="F36" s="27"/>
      <c r="G36" s="28">
        <v>25.525111029567469</v>
      </c>
      <c r="H36" s="29">
        <v>17.515324185956288</v>
      </c>
    </row>
    <row r="37" spans="1:8" x14ac:dyDescent="0.2">
      <c r="A37" s="30" t="s">
        <v>18</v>
      </c>
      <c r="B37" s="31" t="s">
        <v>3</v>
      </c>
      <c r="C37" s="80">
        <v>2587.0096344177173</v>
      </c>
      <c r="D37" s="80">
        <v>2971.2041967401642</v>
      </c>
      <c r="E37" s="83">
        <v>3975.6139033877153</v>
      </c>
      <c r="F37" s="22" t="s">
        <v>239</v>
      </c>
      <c r="G37" s="32">
        <v>53.676037788801835</v>
      </c>
      <c r="H37" s="33">
        <v>33.80480236765726</v>
      </c>
    </row>
    <row r="38" spans="1:8" x14ac:dyDescent="0.2">
      <c r="A38" s="34"/>
      <c r="B38" s="25" t="s">
        <v>240</v>
      </c>
      <c r="C38" s="82">
        <v>591.15985776382672</v>
      </c>
      <c r="D38" s="82">
        <v>537.01660852140981</v>
      </c>
      <c r="E38" s="82">
        <v>772.37608106302298</v>
      </c>
      <c r="F38" s="27"/>
      <c r="G38" s="35">
        <v>30.654351935309109</v>
      </c>
      <c r="H38" s="29">
        <v>43.827224113168143</v>
      </c>
    </row>
    <row r="39" spans="1:8" x14ac:dyDescent="0.2">
      <c r="A39" s="30" t="s">
        <v>19</v>
      </c>
      <c r="B39" s="31" t="s">
        <v>3</v>
      </c>
      <c r="C39" s="80">
        <v>1378.9831204329905</v>
      </c>
      <c r="D39" s="80">
        <v>1607.9893875149667</v>
      </c>
      <c r="E39" s="83">
        <v>1633.5799278854688</v>
      </c>
      <c r="F39" s="22" t="s">
        <v>239</v>
      </c>
      <c r="G39" s="37">
        <v>18.462648576331858</v>
      </c>
      <c r="H39" s="33">
        <v>1.59146201891609</v>
      </c>
    </row>
    <row r="40" spans="1:8" x14ac:dyDescent="0.2">
      <c r="A40" s="34"/>
      <c r="B40" s="25" t="s">
        <v>240</v>
      </c>
      <c r="C40" s="82">
        <v>417.3542792201265</v>
      </c>
      <c r="D40" s="82">
        <v>414.25134925127463</v>
      </c>
      <c r="E40" s="82">
        <v>442.80626178475342</v>
      </c>
      <c r="F40" s="27"/>
      <c r="G40" s="28">
        <v>6.0984117887054765</v>
      </c>
      <c r="H40" s="29">
        <v>6.8931368805652511</v>
      </c>
    </row>
    <row r="41" spans="1:8" x14ac:dyDescent="0.2">
      <c r="A41" s="30" t="s">
        <v>20</v>
      </c>
      <c r="B41" s="31" t="s">
        <v>3</v>
      </c>
      <c r="C41" s="80">
        <v>148.14294571007329</v>
      </c>
      <c r="D41" s="80">
        <v>142.96204945125854</v>
      </c>
      <c r="E41" s="83">
        <v>161.17403311671498</v>
      </c>
      <c r="F41" s="22" t="s">
        <v>239</v>
      </c>
      <c r="G41" s="23">
        <v>8.7962928941243632</v>
      </c>
      <c r="H41" s="24">
        <v>12.739033705351034</v>
      </c>
    </row>
    <row r="42" spans="1:8" x14ac:dyDescent="0.2">
      <c r="A42" s="34"/>
      <c r="B42" s="25" t="s">
        <v>240</v>
      </c>
      <c r="C42" s="82">
        <v>48.556416817840784</v>
      </c>
      <c r="D42" s="82">
        <v>38.473547084730853</v>
      </c>
      <c r="E42" s="82">
        <v>46.125937070392332</v>
      </c>
      <c r="F42" s="27"/>
      <c r="G42" s="38">
        <v>-5.0054759117963528</v>
      </c>
      <c r="H42" s="24">
        <v>19.890003822128776</v>
      </c>
    </row>
    <row r="43" spans="1:8" x14ac:dyDescent="0.2">
      <c r="A43" s="30" t="s">
        <v>21</v>
      </c>
      <c r="B43" s="31" t="s">
        <v>3</v>
      </c>
      <c r="C43" s="80">
        <v>15.958275898992815</v>
      </c>
      <c r="D43" s="80">
        <v>18.466083758181643</v>
      </c>
      <c r="E43" s="83">
        <v>16.997172081643942</v>
      </c>
      <c r="F43" s="22" t="s">
        <v>239</v>
      </c>
      <c r="G43" s="37">
        <v>6.510077838149769</v>
      </c>
      <c r="H43" s="33">
        <v>-7.9546464522391176</v>
      </c>
    </row>
    <row r="44" spans="1:8" x14ac:dyDescent="0.2">
      <c r="A44" s="34"/>
      <c r="B44" s="25" t="s">
        <v>240</v>
      </c>
      <c r="C44" s="82">
        <v>5.9566166237888458</v>
      </c>
      <c r="D44" s="82">
        <v>4.0748570702658302</v>
      </c>
      <c r="E44" s="82">
        <v>4.3424714477496007</v>
      </c>
      <c r="F44" s="27"/>
      <c r="G44" s="28">
        <v>-27.098355962558657</v>
      </c>
      <c r="H44" s="29">
        <v>6.5674543393570417</v>
      </c>
    </row>
    <row r="45" spans="1:8" x14ac:dyDescent="0.2">
      <c r="A45" s="30" t="s">
        <v>189</v>
      </c>
      <c r="B45" s="31" t="s">
        <v>3</v>
      </c>
      <c r="C45" s="80">
        <v>544.93154468208661</v>
      </c>
      <c r="D45" s="80">
        <v>1108.4103109400962</v>
      </c>
      <c r="E45" s="83">
        <v>737.98146129121267</v>
      </c>
      <c r="F45" s="22" t="s">
        <v>239</v>
      </c>
      <c r="G45" s="37">
        <v>35.426452825694184</v>
      </c>
      <c r="H45" s="33">
        <v>-33.419830724481898</v>
      </c>
    </row>
    <row r="46" spans="1:8" x14ac:dyDescent="0.2">
      <c r="A46" s="34"/>
      <c r="B46" s="25" t="s">
        <v>240</v>
      </c>
      <c r="C46" s="82">
        <v>142.86541211120311</v>
      </c>
      <c r="D46" s="82">
        <v>392.36196633058762</v>
      </c>
      <c r="E46" s="82">
        <v>233.92738800311139</v>
      </c>
      <c r="F46" s="27"/>
      <c r="G46" s="28">
        <v>63.739693566297035</v>
      </c>
      <c r="H46" s="29">
        <v>-40.379698320194969</v>
      </c>
    </row>
    <row r="47" spans="1:8" x14ac:dyDescent="0.2">
      <c r="A47" s="39" t="s">
        <v>12</v>
      </c>
      <c r="B47" s="31" t="s">
        <v>3</v>
      </c>
      <c r="C47" s="80">
        <v>28.212716235554961</v>
      </c>
      <c r="D47" s="80">
        <v>22.158456164608786</v>
      </c>
      <c r="E47" s="83">
        <v>23.087851830822867</v>
      </c>
      <c r="F47" s="22" t="s">
        <v>239</v>
      </c>
      <c r="G47" s="37">
        <v>-18.165086842200267</v>
      </c>
      <c r="H47" s="33">
        <v>4.1943159726917258</v>
      </c>
    </row>
    <row r="48" spans="1:8" x14ac:dyDescent="0.2">
      <c r="A48" s="34"/>
      <c r="B48" s="25" t="s">
        <v>240</v>
      </c>
      <c r="C48" s="82">
        <v>5.1757867621367639</v>
      </c>
      <c r="D48" s="82">
        <v>4.1607823402255049</v>
      </c>
      <c r="E48" s="82">
        <v>4.3015485691843836</v>
      </c>
      <c r="F48" s="27"/>
      <c r="G48" s="28">
        <v>-16.890923701645335</v>
      </c>
      <c r="H48" s="29">
        <v>3.3831673336522101</v>
      </c>
    </row>
    <row r="49" spans="1:8" x14ac:dyDescent="0.2">
      <c r="A49" s="39" t="s">
        <v>23</v>
      </c>
      <c r="B49" s="31" t="s">
        <v>3</v>
      </c>
      <c r="C49" s="80">
        <v>25.122719309237432</v>
      </c>
      <c r="D49" s="80">
        <v>35.592461416346296</v>
      </c>
      <c r="E49" s="83">
        <v>34.420739620976363</v>
      </c>
      <c r="F49" s="22" t="s">
        <v>239</v>
      </c>
      <c r="G49" s="23">
        <v>37.010405590608656</v>
      </c>
      <c r="H49" s="24">
        <v>-3.292050475699341</v>
      </c>
    </row>
    <row r="50" spans="1:8" x14ac:dyDescent="0.2">
      <c r="A50" s="34"/>
      <c r="B50" s="25" t="s">
        <v>240</v>
      </c>
      <c r="C50" s="82">
        <v>5.9666445111934028</v>
      </c>
      <c r="D50" s="82">
        <v>6.7975976284259962</v>
      </c>
      <c r="E50" s="82">
        <v>7.0329664638831151</v>
      </c>
      <c r="F50" s="27"/>
      <c r="G50" s="38">
        <v>17.87138400300698</v>
      </c>
      <c r="H50" s="24">
        <v>3.4625296806751322</v>
      </c>
    </row>
    <row r="51" spans="1:8" x14ac:dyDescent="0.2">
      <c r="A51" s="30" t="s">
        <v>24</v>
      </c>
      <c r="B51" s="31" t="s">
        <v>3</v>
      </c>
      <c r="C51" s="80">
        <v>510.7761634829638</v>
      </c>
      <c r="D51" s="80">
        <v>842.07539543818689</v>
      </c>
      <c r="E51" s="83">
        <v>1365.6844504593294</v>
      </c>
      <c r="F51" s="22" t="s">
        <v>239</v>
      </c>
      <c r="G51" s="37">
        <v>167.37435066405169</v>
      </c>
      <c r="H51" s="33">
        <v>62.180780706539281</v>
      </c>
    </row>
    <row r="52" spans="1:8" ht="13.5" thickBot="1" x14ac:dyDescent="0.25">
      <c r="A52" s="41"/>
      <c r="B52" s="42" t="s">
        <v>240</v>
      </c>
      <c r="C52" s="86">
        <v>234.29556748516333</v>
      </c>
      <c r="D52" s="86">
        <v>153.11585346807507</v>
      </c>
      <c r="E52" s="86">
        <v>310.87166917486888</v>
      </c>
      <c r="F52" s="44"/>
      <c r="G52" s="45">
        <v>32.683546902591189</v>
      </c>
      <c r="H52" s="46">
        <v>103.03036043206734</v>
      </c>
    </row>
    <row r="57" spans="1:8" x14ac:dyDescent="0.2">
      <c r="A57" s="47"/>
      <c r="B57" s="48"/>
      <c r="C57" s="49"/>
      <c r="D57" s="49"/>
      <c r="E57" s="49"/>
      <c r="F57" s="49"/>
      <c r="G57" s="50"/>
      <c r="H57" s="51"/>
    </row>
    <row r="58" spans="1:8" x14ac:dyDescent="0.2">
      <c r="A58" s="47"/>
      <c r="B58" s="48"/>
      <c r="C58" s="49"/>
      <c r="D58" s="49"/>
      <c r="E58" s="49"/>
      <c r="F58" s="49"/>
      <c r="G58" s="50"/>
      <c r="H58" s="51"/>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tr">
        <f>+Innhold!$B$123</f>
        <v>Finans Norge / Skadestatistikk</v>
      </c>
      <c r="G61" s="53"/>
      <c r="H61" s="211">
        <v>17</v>
      </c>
    </row>
    <row r="62" spans="1:8" ht="12.75" customHeight="1" x14ac:dyDescent="0.2">
      <c r="A62" s="54" t="str">
        <f>+Innhold!$B$124</f>
        <v>Skadestatistikk for landbasert forsikring 1. kvartal 2019</v>
      </c>
      <c r="G62" s="53"/>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40" display="Tilbake til innholdsfortegnelsen" xr:uid="{00000000-0004-0000-0C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9" ht="5.25" customHeight="1" x14ac:dyDescent="0.2"/>
    <row r="2" spans="1:9" x14ac:dyDescent="0.2">
      <c r="A2" s="92" t="s">
        <v>0</v>
      </c>
      <c r="B2" s="2"/>
      <c r="C2" s="2"/>
      <c r="D2" s="2"/>
      <c r="E2" s="2"/>
      <c r="F2" s="2"/>
      <c r="G2" s="2"/>
    </row>
    <row r="3" spans="1:9" ht="6" customHeight="1" x14ac:dyDescent="0.2">
      <c r="A3" s="3"/>
      <c r="B3" s="2"/>
      <c r="C3" s="2"/>
      <c r="D3" s="2"/>
      <c r="E3" s="2"/>
      <c r="F3" s="2"/>
      <c r="G3" s="2"/>
    </row>
    <row r="4" spans="1:9" ht="16.5" thickBot="1" x14ac:dyDescent="0.3">
      <c r="A4" s="4" t="s">
        <v>151</v>
      </c>
      <c r="B4" s="5"/>
      <c r="C4" s="5"/>
      <c r="D4" s="5"/>
      <c r="E4" s="5"/>
      <c r="F4" s="5"/>
      <c r="G4" s="5"/>
      <c r="H4" s="6"/>
    </row>
    <row r="5" spans="1:9" x14ac:dyDescent="0.2">
      <c r="A5" s="7"/>
      <c r="B5" s="8"/>
      <c r="C5" s="9"/>
      <c r="D5" s="8"/>
      <c r="E5" s="10"/>
      <c r="F5" s="11"/>
      <c r="G5" s="212" t="s">
        <v>1</v>
      </c>
      <c r="H5" s="213"/>
    </row>
    <row r="6" spans="1:9" x14ac:dyDescent="0.2">
      <c r="A6" s="12"/>
      <c r="B6" s="13"/>
      <c r="C6" s="14" t="s">
        <v>234</v>
      </c>
      <c r="D6" s="15" t="s">
        <v>235</v>
      </c>
      <c r="E6" s="15" t="s">
        <v>236</v>
      </c>
      <c r="F6" s="16"/>
      <c r="G6" s="17" t="s">
        <v>237</v>
      </c>
      <c r="H6" s="18" t="s">
        <v>238</v>
      </c>
    </row>
    <row r="7" spans="1:9" x14ac:dyDescent="0.2">
      <c r="A7" s="214" t="s">
        <v>58</v>
      </c>
      <c r="B7" s="19" t="s">
        <v>3</v>
      </c>
      <c r="C7" s="20">
        <v>10163.02716734694</v>
      </c>
      <c r="D7" s="20">
        <v>10868.335804081633</v>
      </c>
      <c r="E7" s="79">
        <v>9603.5904104907404</v>
      </c>
      <c r="F7" s="22" t="s">
        <v>239</v>
      </c>
      <c r="G7" s="23">
        <v>-5.5046271907412461</v>
      </c>
      <c r="H7" s="24">
        <v>-11.636973832883541</v>
      </c>
    </row>
    <row r="8" spans="1:9" x14ac:dyDescent="0.2">
      <c r="A8" s="215"/>
      <c r="B8" s="25" t="s">
        <v>240</v>
      </c>
      <c r="C8" s="26">
        <v>2788.1823510204081</v>
      </c>
      <c r="D8" s="26">
        <v>3000.3396244897958</v>
      </c>
      <c r="E8" s="26">
        <v>2645.6721469387753</v>
      </c>
      <c r="F8" s="27"/>
      <c r="G8" s="28">
        <v>-5.1112225148931714</v>
      </c>
      <c r="H8" s="29">
        <v>-11.820911028075074</v>
      </c>
    </row>
    <row r="9" spans="1:9" x14ac:dyDescent="0.2">
      <c r="A9" s="30" t="s">
        <v>9</v>
      </c>
      <c r="B9" s="31" t="s">
        <v>3</v>
      </c>
      <c r="C9" s="20">
        <v>9762.3385142857151</v>
      </c>
      <c r="D9" s="20">
        <v>10478.467885714286</v>
      </c>
      <c r="E9" s="21">
        <v>9892.0868986016121</v>
      </c>
      <c r="F9" s="22" t="s">
        <v>239</v>
      </c>
      <c r="G9" s="32">
        <v>1.3290707357261624</v>
      </c>
      <c r="H9" s="33">
        <v>-5.5960565371595123</v>
      </c>
    </row>
    <row r="10" spans="1:9" x14ac:dyDescent="0.2">
      <c r="A10" s="34"/>
      <c r="B10" s="25" t="s">
        <v>240</v>
      </c>
      <c r="C10" s="26">
        <v>2225.1573714285714</v>
      </c>
      <c r="D10" s="26">
        <v>2902.1561142857145</v>
      </c>
      <c r="E10" s="26">
        <v>2556.4430857142856</v>
      </c>
      <c r="F10" s="27"/>
      <c r="G10" s="35">
        <v>14.888192562893906</v>
      </c>
      <c r="H10" s="29">
        <v>-11.912282281083165</v>
      </c>
    </row>
    <row r="11" spans="1:9" x14ac:dyDescent="0.2">
      <c r="A11" s="30" t="s">
        <v>46</v>
      </c>
      <c r="B11" s="31" t="s">
        <v>3</v>
      </c>
      <c r="C11" s="20">
        <v>400.6886530612245</v>
      </c>
      <c r="D11" s="20">
        <v>392.86791836734693</v>
      </c>
      <c r="E11" s="21">
        <v>258.53676980116546</v>
      </c>
      <c r="F11" s="22" t="s">
        <v>239</v>
      </c>
      <c r="G11" s="37">
        <v>-35.476892638219653</v>
      </c>
      <c r="H11" s="33">
        <v>-34.192445421460079</v>
      </c>
    </row>
    <row r="12" spans="1:9" ht="13.5" thickBot="1" x14ac:dyDescent="0.25">
      <c r="A12" s="56"/>
      <c r="B12" s="42" t="s">
        <v>240</v>
      </c>
      <c r="C12" s="43">
        <v>581.02497959183677</v>
      </c>
      <c r="D12" s="43">
        <v>98.183510204081628</v>
      </c>
      <c r="E12" s="43">
        <v>89.229061224489797</v>
      </c>
      <c r="F12" s="44"/>
      <c r="G12" s="57">
        <v>-84.642818405643737</v>
      </c>
      <c r="H12" s="46">
        <v>-9.1201149367947352</v>
      </c>
    </row>
    <row r="13" spans="1:9" x14ac:dyDescent="0.2">
      <c r="A13" s="58"/>
      <c r="B13" s="58"/>
      <c r="C13" s="21"/>
      <c r="D13" s="21"/>
      <c r="E13" s="21"/>
      <c r="F13" s="59"/>
      <c r="G13" s="38"/>
      <c r="H13" s="60"/>
      <c r="I13" s="61"/>
    </row>
    <row r="14" spans="1:9" x14ac:dyDescent="0.2">
      <c r="A14" s="58"/>
      <c r="B14" s="62"/>
      <c r="C14" s="21"/>
      <c r="D14" s="21"/>
      <c r="E14" s="21"/>
      <c r="F14" s="63"/>
      <c r="G14" s="38"/>
      <c r="H14" s="60"/>
      <c r="I14" s="61"/>
    </row>
    <row r="15" spans="1:9" x14ac:dyDescent="0.2">
      <c r="A15" s="58"/>
      <c r="B15" s="58"/>
      <c r="C15" s="21"/>
      <c r="D15" s="21"/>
      <c r="E15" s="21"/>
      <c r="F15" s="59"/>
      <c r="G15" s="38"/>
      <c r="H15" s="60"/>
      <c r="I15" s="61"/>
    </row>
    <row r="16" spans="1:9" x14ac:dyDescent="0.2">
      <c r="A16" s="58"/>
      <c r="B16" s="62"/>
      <c r="C16" s="21"/>
      <c r="D16" s="21"/>
      <c r="E16" s="21"/>
      <c r="F16" s="63"/>
      <c r="G16" s="38"/>
      <c r="H16" s="60"/>
      <c r="I16" s="61"/>
    </row>
    <row r="17" spans="1:9" x14ac:dyDescent="0.2">
      <c r="A17" s="58"/>
      <c r="B17" s="58"/>
      <c r="C17" s="21"/>
      <c r="D17" s="21"/>
      <c r="E17" s="21"/>
      <c r="F17" s="59"/>
      <c r="G17" s="38"/>
      <c r="H17" s="60"/>
      <c r="I17" s="61"/>
    </row>
    <row r="18" spans="1:9" x14ac:dyDescent="0.2">
      <c r="A18" s="58"/>
      <c r="B18" s="62"/>
      <c r="C18" s="21"/>
      <c r="D18" s="21"/>
      <c r="E18" s="21"/>
      <c r="F18" s="63"/>
      <c r="G18" s="38"/>
      <c r="H18" s="60"/>
      <c r="I18" s="61"/>
    </row>
    <row r="19" spans="1:9" x14ac:dyDescent="0.2">
      <c r="A19" s="58"/>
      <c r="B19" s="58"/>
      <c r="C19" s="21"/>
      <c r="D19" s="21"/>
      <c r="E19" s="21"/>
      <c r="F19" s="59"/>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59</v>
      </c>
      <c r="B32" s="5"/>
      <c r="C32" s="5"/>
      <c r="D32" s="5"/>
      <c r="E32" s="5"/>
      <c r="F32" s="5"/>
      <c r="G32" s="5"/>
      <c r="H32" s="6"/>
    </row>
    <row r="33" spans="1:9" x14ac:dyDescent="0.2">
      <c r="A33" s="7"/>
      <c r="B33" s="8"/>
      <c r="C33" s="216" t="s">
        <v>16</v>
      </c>
      <c r="D33" s="212"/>
      <c r="E33" s="212"/>
      <c r="F33" s="217"/>
      <c r="G33" s="212" t="s">
        <v>1</v>
      </c>
      <c r="H33" s="213"/>
    </row>
    <row r="34" spans="1:9" x14ac:dyDescent="0.2">
      <c r="A34" s="12"/>
      <c r="B34" s="13"/>
      <c r="C34" s="14" t="s">
        <v>234</v>
      </c>
      <c r="D34" s="15" t="s">
        <v>235</v>
      </c>
      <c r="E34" s="15" t="s">
        <v>236</v>
      </c>
      <c r="F34" s="16"/>
      <c r="G34" s="17" t="s">
        <v>237</v>
      </c>
      <c r="H34" s="18" t="s">
        <v>238</v>
      </c>
    </row>
    <row r="35" spans="1:9" ht="12.75" customHeight="1" x14ac:dyDescent="0.2">
      <c r="A35" s="214" t="s">
        <v>58</v>
      </c>
      <c r="B35" s="19" t="s">
        <v>3</v>
      </c>
      <c r="C35" s="80">
        <v>1881.4521582849891</v>
      </c>
      <c r="D35" s="80">
        <v>1876.3099251303952</v>
      </c>
      <c r="E35" s="81">
        <v>2195.0757024659429</v>
      </c>
      <c r="F35" s="22" t="s">
        <v>239</v>
      </c>
      <c r="G35" s="23">
        <v>16.669227692020243</v>
      </c>
      <c r="H35" s="24">
        <v>16.988972507481392</v>
      </c>
    </row>
    <row r="36" spans="1:9" ht="12.75" customHeight="1" x14ac:dyDescent="0.2">
      <c r="A36" s="215"/>
      <c r="B36" s="25" t="s">
        <v>240</v>
      </c>
      <c r="C36" s="82">
        <v>519.04290962957134</v>
      </c>
      <c r="D36" s="82">
        <v>444.4203126447016</v>
      </c>
      <c r="E36" s="82">
        <v>545.64501203044745</v>
      </c>
      <c r="F36" s="27"/>
      <c r="G36" s="28">
        <v>5.1252221940304139</v>
      </c>
      <c r="H36" s="29">
        <v>22.776794063117322</v>
      </c>
    </row>
    <row r="37" spans="1:9" x14ac:dyDescent="0.2">
      <c r="A37" s="30" t="s">
        <v>9</v>
      </c>
      <c r="B37" s="31" t="s">
        <v>3</v>
      </c>
      <c r="C37" s="80">
        <v>1384.7574451491391</v>
      </c>
      <c r="D37" s="80">
        <v>1426.8212853098757</v>
      </c>
      <c r="E37" s="83">
        <v>1639.9853708824824</v>
      </c>
      <c r="F37" s="22" t="s">
        <v>239</v>
      </c>
      <c r="G37" s="32">
        <v>18.431236938094614</v>
      </c>
      <c r="H37" s="33">
        <v>14.939788729484206</v>
      </c>
    </row>
    <row r="38" spans="1:9" x14ac:dyDescent="0.2">
      <c r="A38" s="34"/>
      <c r="B38" s="25" t="s">
        <v>240</v>
      </c>
      <c r="C38" s="82">
        <v>360.0620731194968</v>
      </c>
      <c r="D38" s="82">
        <v>322.08845939940005</v>
      </c>
      <c r="E38" s="82">
        <v>387.22446619242839</v>
      </c>
      <c r="F38" s="27"/>
      <c r="G38" s="35">
        <v>7.5438084432505548</v>
      </c>
      <c r="H38" s="29">
        <v>20.223017898402134</v>
      </c>
    </row>
    <row r="39" spans="1:9" x14ac:dyDescent="0.2">
      <c r="A39" s="30" t="s">
        <v>46</v>
      </c>
      <c r="B39" s="31" t="s">
        <v>3</v>
      </c>
      <c r="C39" s="80">
        <v>496.69471313584984</v>
      </c>
      <c r="D39" s="80">
        <v>449.48863982051921</v>
      </c>
      <c r="E39" s="83">
        <v>553.04188498339113</v>
      </c>
      <c r="F39" s="22" t="s">
        <v>239</v>
      </c>
      <c r="G39" s="37">
        <v>11.344427544194517</v>
      </c>
      <c r="H39" s="33">
        <v>23.0380116401208</v>
      </c>
    </row>
    <row r="40" spans="1:9" ht="13.5" thickBot="1" x14ac:dyDescent="0.25">
      <c r="A40" s="56"/>
      <c r="B40" s="42" t="s">
        <v>240</v>
      </c>
      <c r="C40" s="86">
        <v>158.98083651007468</v>
      </c>
      <c r="D40" s="86">
        <v>122.3318532453016</v>
      </c>
      <c r="E40" s="86">
        <v>158.42054583801908</v>
      </c>
      <c r="F40" s="44"/>
      <c r="G40" s="57">
        <v>-0.35242654671783669</v>
      </c>
      <c r="H40" s="46">
        <v>29.500650595353846</v>
      </c>
    </row>
    <row r="41" spans="1:9" x14ac:dyDescent="0.2">
      <c r="A41" s="58"/>
      <c r="B41" s="58"/>
      <c r="C41" s="21"/>
      <c r="D41" s="21"/>
      <c r="E41" s="21"/>
      <c r="F41" s="59"/>
      <c r="G41" s="38"/>
      <c r="H41" s="60"/>
      <c r="I41" s="61"/>
    </row>
    <row r="42" spans="1:9" x14ac:dyDescent="0.2">
      <c r="A42" s="58"/>
      <c r="B42" s="62"/>
      <c r="C42" s="21"/>
      <c r="D42" s="21"/>
      <c r="E42" s="21"/>
      <c r="F42" s="63"/>
      <c r="G42" s="38"/>
      <c r="H42" s="60"/>
      <c r="I42" s="61"/>
    </row>
    <row r="43" spans="1:9" x14ac:dyDescent="0.2">
      <c r="A43" s="58"/>
      <c r="B43" s="58"/>
      <c r="C43" s="21"/>
      <c r="D43" s="21"/>
      <c r="E43" s="21"/>
      <c r="F43" s="59"/>
      <c r="G43" s="38"/>
      <c r="H43" s="60"/>
      <c r="I43" s="61"/>
    </row>
    <row r="44" spans="1:9" x14ac:dyDescent="0.2">
      <c r="A44" s="58"/>
      <c r="B44" s="62"/>
      <c r="C44" s="21"/>
      <c r="D44" s="21"/>
      <c r="E44" s="21"/>
      <c r="F44" s="63"/>
      <c r="G44" s="38"/>
      <c r="H44" s="60"/>
      <c r="I44" s="61"/>
    </row>
    <row r="45" spans="1:9" x14ac:dyDescent="0.2">
      <c r="A45" s="58"/>
      <c r="B45" s="58"/>
      <c r="C45" s="21"/>
      <c r="D45" s="21"/>
      <c r="E45" s="21"/>
      <c r="F45" s="59"/>
      <c r="G45" s="38"/>
      <c r="H45" s="60"/>
      <c r="I45" s="61"/>
    </row>
    <row r="46" spans="1:9" x14ac:dyDescent="0.2">
      <c r="A46" s="58"/>
      <c r="B46" s="62"/>
      <c r="C46" s="21"/>
      <c r="D46" s="21"/>
      <c r="E46" s="21"/>
      <c r="F46" s="63"/>
      <c r="G46" s="38"/>
      <c r="H46" s="60"/>
      <c r="I46" s="61"/>
    </row>
    <row r="47" spans="1:9" x14ac:dyDescent="0.2">
      <c r="A47" s="58"/>
      <c r="B47" s="58"/>
      <c r="C47" s="21"/>
      <c r="D47" s="21"/>
      <c r="E47" s="21"/>
      <c r="F47" s="59"/>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row>
    <row r="60" spans="1:9" x14ac:dyDescent="0.2">
      <c r="A60" s="52"/>
      <c r="B60" s="52"/>
      <c r="C60" s="52"/>
      <c r="D60" s="52"/>
      <c r="E60" s="52"/>
      <c r="F60" s="52"/>
      <c r="G60" s="52"/>
      <c r="H60" s="52"/>
    </row>
    <row r="61" spans="1:9" ht="12.75" customHeight="1" x14ac:dyDescent="0.2">
      <c r="A61" s="54" t="str">
        <f>+Innhold!$B$123</f>
        <v>Finans Norge / Skadestatistikk</v>
      </c>
      <c r="H61" s="207">
        <v>18</v>
      </c>
    </row>
    <row r="62" spans="1:9" ht="12.75" customHeight="1" x14ac:dyDescent="0.2">
      <c r="A62" s="54" t="str">
        <f>+Innhold!$B$124</f>
        <v>Skadestatistikk for landbasert forsikring 1. kvartal 2019</v>
      </c>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43" display="Tilbake til innholdsfortegnelsen" xr:uid="{00000000-0004-0000-0D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9" ht="5.25" customHeight="1" x14ac:dyDescent="0.2"/>
    <row r="2" spans="1:9" x14ac:dyDescent="0.2">
      <c r="A2" s="92" t="s">
        <v>0</v>
      </c>
      <c r="B2" s="2"/>
      <c r="C2" s="2"/>
      <c r="D2" s="2"/>
      <c r="E2" s="2"/>
      <c r="F2" s="2"/>
      <c r="G2" s="2"/>
    </row>
    <row r="3" spans="1:9" ht="6" customHeight="1" x14ac:dyDescent="0.2">
      <c r="A3" s="3"/>
      <c r="B3" s="2"/>
      <c r="C3" s="2"/>
      <c r="D3" s="2"/>
      <c r="E3" s="2"/>
      <c r="F3" s="2"/>
      <c r="G3" s="2"/>
    </row>
    <row r="4" spans="1:9" ht="16.5" thickBot="1" x14ac:dyDescent="0.3">
      <c r="A4" s="4" t="s">
        <v>152</v>
      </c>
      <c r="B4" s="5"/>
      <c r="C4" s="5"/>
      <c r="D4" s="5"/>
      <c r="E4" s="5"/>
      <c r="F4" s="5"/>
      <c r="G4" s="5"/>
      <c r="H4" s="6"/>
    </row>
    <row r="5" spans="1:9" x14ac:dyDescent="0.2">
      <c r="A5" s="7"/>
      <c r="B5" s="8"/>
      <c r="C5" s="9"/>
      <c r="D5" s="8"/>
      <c r="E5" s="10"/>
      <c r="F5" s="11"/>
      <c r="G5" s="212" t="s">
        <v>1</v>
      </c>
      <c r="H5" s="213"/>
    </row>
    <row r="6" spans="1:9" x14ac:dyDescent="0.2">
      <c r="A6" s="12"/>
      <c r="B6" s="13"/>
      <c r="C6" s="14" t="s">
        <v>234</v>
      </c>
      <c r="D6" s="15" t="s">
        <v>235</v>
      </c>
      <c r="E6" s="15" t="s">
        <v>236</v>
      </c>
      <c r="F6" s="16"/>
      <c r="G6" s="17" t="s">
        <v>237</v>
      </c>
      <c r="H6" s="18" t="s">
        <v>238</v>
      </c>
    </row>
    <row r="7" spans="1:9" x14ac:dyDescent="0.2">
      <c r="A7" s="214" t="s">
        <v>57</v>
      </c>
      <c r="B7" s="19" t="s">
        <v>3</v>
      </c>
      <c r="C7" s="20">
        <v>4569</v>
      </c>
      <c r="D7" s="20">
        <v>4525</v>
      </c>
      <c r="E7" s="79">
        <v>4191.4737181331366</v>
      </c>
      <c r="F7" s="22" t="s">
        <v>239</v>
      </c>
      <c r="G7" s="23">
        <v>-8.2627770161274583</v>
      </c>
      <c r="H7" s="24">
        <v>-7.3707465605936591</v>
      </c>
    </row>
    <row r="8" spans="1:9" x14ac:dyDescent="0.2">
      <c r="A8" s="215"/>
      <c r="B8" s="25" t="s">
        <v>240</v>
      </c>
      <c r="C8" s="26">
        <v>1545.0778285714287</v>
      </c>
      <c r="D8" s="26">
        <v>1237</v>
      </c>
      <c r="E8" s="26">
        <v>1224</v>
      </c>
      <c r="F8" s="27"/>
      <c r="G8" s="28">
        <v>-20.78068966068173</v>
      </c>
      <c r="H8" s="29">
        <v>-1.0509296685529534</v>
      </c>
    </row>
    <row r="9" spans="1:9" x14ac:dyDescent="0.2">
      <c r="A9" s="30" t="s">
        <v>9</v>
      </c>
      <c r="B9" s="31" t="s">
        <v>3</v>
      </c>
      <c r="C9" s="20">
        <v>1831</v>
      </c>
      <c r="D9" s="20">
        <v>1807</v>
      </c>
      <c r="E9" s="21">
        <v>1740.0568690715886</v>
      </c>
      <c r="F9" s="22" t="s">
        <v>239</v>
      </c>
      <c r="G9" s="32">
        <v>-4.9668558671988734</v>
      </c>
      <c r="H9" s="33">
        <v>-3.704655834444452</v>
      </c>
    </row>
    <row r="10" spans="1:9" x14ac:dyDescent="0.2">
      <c r="A10" s="34"/>
      <c r="B10" s="25" t="s">
        <v>240</v>
      </c>
      <c r="C10" s="26">
        <v>517.05188571428573</v>
      </c>
      <c r="D10" s="26">
        <v>460</v>
      </c>
      <c r="E10" s="26">
        <v>458</v>
      </c>
      <c r="F10" s="27"/>
      <c r="G10" s="35">
        <v>-11.420881993826981</v>
      </c>
      <c r="H10" s="29">
        <v>-0.43478260869565588</v>
      </c>
    </row>
    <row r="11" spans="1:9" x14ac:dyDescent="0.2">
      <c r="A11" s="30" t="s">
        <v>46</v>
      </c>
      <c r="B11" s="31" t="s">
        <v>3</v>
      </c>
      <c r="C11" s="20">
        <v>1853</v>
      </c>
      <c r="D11" s="20">
        <v>1729</v>
      </c>
      <c r="E11" s="21">
        <v>1775.2007137541632</v>
      </c>
      <c r="F11" s="22" t="s">
        <v>239</v>
      </c>
      <c r="G11" s="37">
        <v>-4.1985583510975033</v>
      </c>
      <c r="H11" s="33">
        <v>2.6721060586560696</v>
      </c>
    </row>
    <row r="12" spans="1:9" x14ac:dyDescent="0.2">
      <c r="A12" s="34"/>
      <c r="B12" s="25" t="s">
        <v>240</v>
      </c>
      <c r="C12" s="26">
        <v>615.02594285714281</v>
      </c>
      <c r="D12" s="26">
        <v>434</v>
      </c>
      <c r="E12" s="26">
        <v>485</v>
      </c>
      <c r="F12" s="27"/>
      <c r="G12" s="28">
        <v>-21.141537908644779</v>
      </c>
      <c r="H12" s="29">
        <v>11.751152073732712</v>
      </c>
    </row>
    <row r="13" spans="1:9" x14ac:dyDescent="0.2">
      <c r="A13" s="30" t="s">
        <v>24</v>
      </c>
      <c r="B13" s="31" t="s">
        <v>3</v>
      </c>
      <c r="C13" s="20">
        <v>927</v>
      </c>
      <c r="D13" s="20">
        <v>1082</v>
      </c>
      <c r="E13" s="21">
        <v>868.60537257024555</v>
      </c>
      <c r="F13" s="22" t="s">
        <v>239</v>
      </c>
      <c r="G13" s="23">
        <v>-6.2993125598440542</v>
      </c>
      <c r="H13" s="24">
        <v>-19.722239133988396</v>
      </c>
    </row>
    <row r="14" spans="1:9" ht="13.5" thickBot="1" x14ac:dyDescent="0.25">
      <c r="A14" s="56"/>
      <c r="B14" s="42" t="s">
        <v>240</v>
      </c>
      <c r="C14" s="43">
        <v>415.0129714285714</v>
      </c>
      <c r="D14" s="43">
        <v>346</v>
      </c>
      <c r="E14" s="43">
        <v>307</v>
      </c>
      <c r="F14" s="44"/>
      <c r="G14" s="57">
        <v>-26.026408537729694</v>
      </c>
      <c r="H14" s="46">
        <v>-11.271676300578036</v>
      </c>
    </row>
    <row r="15" spans="1:9" x14ac:dyDescent="0.2">
      <c r="A15" s="58"/>
      <c r="B15" s="62"/>
      <c r="C15" s="21"/>
      <c r="D15" s="21"/>
      <c r="E15" s="21"/>
      <c r="F15" s="63"/>
      <c r="G15" s="38"/>
      <c r="H15" s="60"/>
      <c r="I15" s="61"/>
    </row>
    <row r="16" spans="1:9" x14ac:dyDescent="0.2">
      <c r="A16" s="58"/>
      <c r="B16" s="62"/>
      <c r="C16" s="21"/>
      <c r="D16" s="21"/>
      <c r="E16" s="21"/>
      <c r="F16" s="63"/>
      <c r="G16" s="38"/>
      <c r="H16" s="60"/>
      <c r="I16" s="61"/>
    </row>
    <row r="17" spans="1:9" x14ac:dyDescent="0.2">
      <c r="A17" s="58"/>
      <c r="B17" s="62"/>
      <c r="C17" s="21"/>
      <c r="D17" s="21"/>
      <c r="E17" s="21"/>
      <c r="F17" s="63"/>
      <c r="G17" s="38"/>
      <c r="H17" s="60"/>
      <c r="I17" s="61"/>
    </row>
    <row r="18" spans="1:9" x14ac:dyDescent="0.2">
      <c r="A18" s="58"/>
      <c r="B18" s="62"/>
      <c r="C18" s="21"/>
      <c r="D18" s="21"/>
      <c r="E18" s="21"/>
      <c r="F18" s="63"/>
      <c r="G18" s="38"/>
      <c r="H18" s="60"/>
      <c r="I18" s="61"/>
    </row>
    <row r="19" spans="1:9" x14ac:dyDescent="0.2">
      <c r="A19" s="58"/>
      <c r="B19" s="62"/>
      <c r="C19" s="21"/>
      <c r="D19" s="21"/>
      <c r="E19" s="21"/>
      <c r="F19" s="63"/>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66" t="s">
        <v>73</v>
      </c>
      <c r="B32" s="5"/>
      <c r="C32" s="5"/>
      <c r="D32" s="5"/>
      <c r="E32" s="5"/>
      <c r="F32" s="5"/>
      <c r="G32" s="5"/>
      <c r="H32" s="6"/>
    </row>
    <row r="33" spans="1:9" x14ac:dyDescent="0.2">
      <c r="A33" s="7"/>
      <c r="B33" s="8"/>
      <c r="C33" s="216" t="s">
        <v>16</v>
      </c>
      <c r="D33" s="212"/>
      <c r="E33" s="212"/>
      <c r="F33" s="217"/>
      <c r="G33" s="212" t="s">
        <v>1</v>
      </c>
      <c r="H33" s="213"/>
    </row>
    <row r="34" spans="1:9" x14ac:dyDescent="0.2">
      <c r="A34" s="12"/>
      <c r="B34" s="13"/>
      <c r="C34" s="14" t="s">
        <v>234</v>
      </c>
      <c r="D34" s="15" t="s">
        <v>235</v>
      </c>
      <c r="E34" s="15" t="s">
        <v>236</v>
      </c>
      <c r="F34" s="16"/>
      <c r="G34" s="17" t="s">
        <v>237</v>
      </c>
      <c r="H34" s="18" t="s">
        <v>238</v>
      </c>
    </row>
    <row r="35" spans="1:9" ht="12.75" customHeight="1" x14ac:dyDescent="0.2">
      <c r="A35" s="214" t="s">
        <v>57</v>
      </c>
      <c r="B35" s="19" t="s">
        <v>3</v>
      </c>
      <c r="C35" s="80">
        <v>1779.098816144802</v>
      </c>
      <c r="D35" s="80">
        <v>1723.7394637740249</v>
      </c>
      <c r="E35" s="81">
        <v>1581.5034426975233</v>
      </c>
      <c r="F35" s="22" t="s">
        <v>239</v>
      </c>
      <c r="G35" s="23">
        <v>-11.10648670293962</v>
      </c>
      <c r="H35" s="24">
        <v>-8.2515962571909967</v>
      </c>
    </row>
    <row r="36" spans="1:9" ht="12.75" customHeight="1" x14ac:dyDescent="0.2">
      <c r="A36" s="215"/>
      <c r="B36" s="25" t="s">
        <v>240</v>
      </c>
      <c r="C36" s="82">
        <v>490.68678205264581</v>
      </c>
      <c r="D36" s="82">
        <v>451.13826828194635</v>
      </c>
      <c r="E36" s="82">
        <v>421.08048263052808</v>
      </c>
      <c r="F36" s="27"/>
      <c r="G36" s="28">
        <v>-14.185484909729979</v>
      </c>
      <c r="H36" s="29">
        <v>-6.6626548365950526</v>
      </c>
    </row>
    <row r="37" spans="1:9" x14ac:dyDescent="0.2">
      <c r="A37" s="30" t="s">
        <v>9</v>
      </c>
      <c r="B37" s="31" t="s">
        <v>3</v>
      </c>
      <c r="C37" s="80">
        <v>382.74115421816037</v>
      </c>
      <c r="D37" s="80">
        <v>358.18675231131647</v>
      </c>
      <c r="E37" s="83">
        <v>317.29761167894827</v>
      </c>
      <c r="F37" s="22" t="s">
        <v>239</v>
      </c>
      <c r="G37" s="32">
        <v>-17.098642729678772</v>
      </c>
      <c r="H37" s="33">
        <v>-11.415592667377481</v>
      </c>
    </row>
    <row r="38" spans="1:9" x14ac:dyDescent="0.2">
      <c r="A38" s="34"/>
      <c r="B38" s="25" t="s">
        <v>240</v>
      </c>
      <c r="C38" s="82">
        <v>108.07571751710829</v>
      </c>
      <c r="D38" s="82">
        <v>90.839325586182326</v>
      </c>
      <c r="E38" s="82">
        <v>83.297869070844669</v>
      </c>
      <c r="F38" s="27"/>
      <c r="G38" s="35">
        <v>-22.926378853178846</v>
      </c>
      <c r="H38" s="29">
        <v>-8.301973255165592</v>
      </c>
    </row>
    <row r="39" spans="1:9" x14ac:dyDescent="0.2">
      <c r="A39" s="30" t="s">
        <v>46</v>
      </c>
      <c r="B39" s="31" t="s">
        <v>3</v>
      </c>
      <c r="C39" s="80">
        <v>974.59681551779818</v>
      </c>
      <c r="D39" s="80">
        <v>949.23993611656863</v>
      </c>
      <c r="E39" s="83">
        <v>928.15861043345217</v>
      </c>
      <c r="F39" s="22" t="s">
        <v>239</v>
      </c>
      <c r="G39" s="37">
        <v>-4.7648632075278954</v>
      </c>
      <c r="H39" s="33">
        <v>-2.2208637543593284</v>
      </c>
    </row>
    <row r="40" spans="1:9" x14ac:dyDescent="0.2">
      <c r="A40" s="34"/>
      <c r="B40" s="25" t="s">
        <v>240</v>
      </c>
      <c r="C40" s="82">
        <v>270.00980823373476</v>
      </c>
      <c r="D40" s="82">
        <v>246.6727431308658</v>
      </c>
      <c r="E40" s="82">
        <v>246.28656827633449</v>
      </c>
      <c r="F40" s="27"/>
      <c r="G40" s="28">
        <v>-8.7860659998188595</v>
      </c>
      <c r="H40" s="29">
        <v>-0.15655351687009045</v>
      </c>
    </row>
    <row r="41" spans="1:9" x14ac:dyDescent="0.2">
      <c r="A41" s="30" t="s">
        <v>24</v>
      </c>
      <c r="B41" s="31" t="s">
        <v>3</v>
      </c>
      <c r="C41" s="80">
        <v>421.7608464088438</v>
      </c>
      <c r="D41" s="80">
        <v>416.31277534613992</v>
      </c>
      <c r="E41" s="83">
        <v>337.72331904111513</v>
      </c>
      <c r="F41" s="22" t="s">
        <v>239</v>
      </c>
      <c r="G41" s="23">
        <v>-19.925398026697081</v>
      </c>
      <c r="H41" s="24">
        <v>-18.877502915850272</v>
      </c>
    </row>
    <row r="42" spans="1:9" ht="13.5" thickBot="1" x14ac:dyDescent="0.25">
      <c r="A42" s="56"/>
      <c r="B42" s="42" t="s">
        <v>240</v>
      </c>
      <c r="C42" s="86">
        <v>112.60125630180298</v>
      </c>
      <c r="D42" s="86">
        <v>113.62619956489823</v>
      </c>
      <c r="E42" s="86">
        <v>91.496045283348934</v>
      </c>
      <c r="F42" s="44"/>
      <c r="G42" s="57">
        <v>-18.743317536250345</v>
      </c>
      <c r="H42" s="46">
        <v>-19.476277800622498</v>
      </c>
    </row>
    <row r="43" spans="1:9" x14ac:dyDescent="0.2">
      <c r="A43" s="58"/>
      <c r="B43" s="62"/>
      <c r="C43" s="21"/>
      <c r="D43" s="21"/>
      <c r="E43" s="21"/>
      <c r="F43" s="63"/>
      <c r="G43" s="38"/>
      <c r="H43" s="60"/>
    </row>
    <row r="44" spans="1:9" x14ac:dyDescent="0.2">
      <c r="A44" s="58"/>
      <c r="B44" s="62"/>
      <c r="C44" s="21"/>
      <c r="D44" s="21"/>
      <c r="E44" s="21"/>
      <c r="F44" s="63"/>
      <c r="G44" s="38"/>
      <c r="H44" s="60"/>
    </row>
    <row r="45" spans="1:9" x14ac:dyDescent="0.2">
      <c r="A45" s="58"/>
      <c r="B45" s="62"/>
      <c r="C45" s="21"/>
      <c r="D45" s="21"/>
      <c r="E45" s="21"/>
      <c r="F45" s="63"/>
      <c r="G45" s="38"/>
      <c r="H45" s="60"/>
    </row>
    <row r="46" spans="1:9" x14ac:dyDescent="0.2">
      <c r="A46" s="58"/>
      <c r="B46" s="62"/>
      <c r="C46" s="21"/>
      <c r="D46" s="21"/>
      <c r="E46" s="21"/>
      <c r="F46" s="63"/>
      <c r="G46" s="38"/>
      <c r="H46" s="60"/>
    </row>
    <row r="47" spans="1:9" x14ac:dyDescent="0.2">
      <c r="A47" s="58"/>
      <c r="B47" s="62"/>
      <c r="C47" s="21"/>
      <c r="D47" s="21"/>
      <c r="E47" s="21"/>
      <c r="F47" s="63"/>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row>
    <row r="60" spans="1:9" x14ac:dyDescent="0.2">
      <c r="A60" s="52"/>
      <c r="B60" s="52"/>
      <c r="C60" s="52"/>
      <c r="D60" s="52"/>
      <c r="E60" s="52"/>
      <c r="F60" s="52"/>
      <c r="G60" s="52"/>
      <c r="H60" s="52"/>
    </row>
    <row r="61" spans="1:9" ht="12.75" customHeight="1" x14ac:dyDescent="0.2">
      <c r="A61" s="54" t="str">
        <f>+Innhold!$B$123</f>
        <v>Finans Norge / Skadestatistikk</v>
      </c>
      <c r="G61" s="53"/>
      <c r="H61" s="211">
        <v>19</v>
      </c>
    </row>
    <row r="62" spans="1:9" ht="12.75" customHeight="1" x14ac:dyDescent="0.2">
      <c r="A62" s="54" t="str">
        <f>+Innhold!$B$124</f>
        <v>Skadestatistikk for landbasert forsikring 1. kvartal 2019</v>
      </c>
      <c r="G62" s="53"/>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45" display="Tilbake til innholdsfortegnelsen" xr:uid="{00000000-0004-0000-0E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9" ht="5.25" customHeight="1" x14ac:dyDescent="0.2"/>
    <row r="2" spans="1:9" x14ac:dyDescent="0.2">
      <c r="A2" s="92" t="s">
        <v>0</v>
      </c>
      <c r="B2" s="2"/>
      <c r="C2" s="2"/>
      <c r="D2" s="2"/>
      <c r="E2" s="2"/>
      <c r="F2" s="2"/>
      <c r="G2" s="2"/>
    </row>
    <row r="3" spans="1:9" ht="6" customHeight="1" x14ac:dyDescent="0.2">
      <c r="A3" s="3"/>
      <c r="B3" s="2"/>
      <c r="C3" s="2"/>
      <c r="D3" s="2"/>
      <c r="E3" s="2"/>
      <c r="F3" s="2"/>
      <c r="G3" s="2"/>
    </row>
    <row r="4" spans="1:9" ht="16.5" thickBot="1" x14ac:dyDescent="0.3">
      <c r="A4" s="4" t="s">
        <v>153</v>
      </c>
      <c r="B4" s="5"/>
      <c r="C4" s="5"/>
      <c r="D4" s="5"/>
      <c r="E4" s="5"/>
      <c r="F4" s="5"/>
      <c r="G4" s="5"/>
      <c r="H4" s="6"/>
    </row>
    <row r="5" spans="1:9" x14ac:dyDescent="0.2">
      <c r="A5" s="7"/>
      <c r="B5" s="8"/>
      <c r="C5" s="9"/>
      <c r="D5" s="8"/>
      <c r="E5" s="10"/>
      <c r="F5" s="11"/>
      <c r="G5" s="212" t="s">
        <v>1</v>
      </c>
      <c r="H5" s="213"/>
    </row>
    <row r="6" spans="1:9" x14ac:dyDescent="0.2">
      <c r="A6" s="12"/>
      <c r="B6" s="13"/>
      <c r="C6" s="14" t="s">
        <v>234</v>
      </c>
      <c r="D6" s="15" t="s">
        <v>235</v>
      </c>
      <c r="E6" s="15" t="s">
        <v>236</v>
      </c>
      <c r="F6" s="16"/>
      <c r="G6" s="17" t="s">
        <v>237</v>
      </c>
      <c r="H6" s="18" t="s">
        <v>238</v>
      </c>
    </row>
    <row r="7" spans="1:9" ht="12.75" customHeight="1" x14ac:dyDescent="0.2">
      <c r="A7" s="214" t="s">
        <v>60</v>
      </c>
      <c r="B7" s="19" t="s">
        <v>3</v>
      </c>
      <c r="C7" s="20">
        <v>23196.560000000001</v>
      </c>
      <c r="D7" s="20">
        <v>24026.283333333333</v>
      </c>
      <c r="E7" s="79">
        <v>26769.621135554189</v>
      </c>
      <c r="F7" s="22" t="s">
        <v>239</v>
      </c>
      <c r="G7" s="23">
        <v>15.403409538113365</v>
      </c>
      <c r="H7" s="24">
        <v>11.418069803642211</v>
      </c>
    </row>
    <row r="8" spans="1:9" ht="13.7" customHeight="1" thickBot="1" x14ac:dyDescent="0.25">
      <c r="A8" s="218"/>
      <c r="B8" s="42" t="s">
        <v>240</v>
      </c>
      <c r="C8" s="43">
        <v>7548.8859398833338</v>
      </c>
      <c r="D8" s="43">
        <v>6360.0533333333333</v>
      </c>
      <c r="E8" s="43">
        <v>7556.1933333333336</v>
      </c>
      <c r="F8" s="44"/>
      <c r="G8" s="57">
        <v>9.6800951931101054E-2</v>
      </c>
      <c r="H8" s="46">
        <v>18.807074993081827</v>
      </c>
    </row>
    <row r="9" spans="1:9" x14ac:dyDescent="0.2">
      <c r="A9" s="58"/>
      <c r="B9" s="58"/>
      <c r="C9" s="21"/>
      <c r="D9" s="21"/>
      <c r="E9" s="21"/>
      <c r="F9" s="59"/>
      <c r="G9" s="38"/>
      <c r="H9" s="60"/>
      <c r="I9" s="61"/>
    </row>
    <row r="10" spans="1:9" x14ac:dyDescent="0.2">
      <c r="A10" s="58"/>
      <c r="B10" s="58"/>
      <c r="C10" s="21"/>
      <c r="D10" s="21"/>
      <c r="E10" s="21"/>
      <c r="F10" s="59"/>
      <c r="G10" s="38"/>
      <c r="H10" s="60"/>
      <c r="I10" s="61"/>
    </row>
    <row r="11" spans="1:9" x14ac:dyDescent="0.2">
      <c r="A11" s="58"/>
      <c r="B11" s="58"/>
      <c r="C11" s="21"/>
      <c r="D11" s="21"/>
      <c r="E11" s="21"/>
      <c r="F11" s="59"/>
      <c r="G11" s="38"/>
      <c r="H11" s="60"/>
      <c r="I11" s="61"/>
    </row>
    <row r="12" spans="1:9" x14ac:dyDescent="0.2">
      <c r="A12" s="58"/>
      <c r="B12" s="58"/>
      <c r="C12" s="21"/>
      <c r="D12" s="21"/>
      <c r="E12" s="21"/>
      <c r="F12" s="59"/>
      <c r="G12" s="38"/>
      <c r="H12" s="60"/>
      <c r="I12" s="61"/>
    </row>
    <row r="13" spans="1:9" x14ac:dyDescent="0.2">
      <c r="A13" s="58"/>
      <c r="B13" s="58"/>
      <c r="C13" s="21"/>
      <c r="D13" s="21"/>
      <c r="E13" s="21"/>
      <c r="F13" s="59"/>
      <c r="G13" s="38"/>
      <c r="H13" s="60"/>
      <c r="I13" s="61"/>
    </row>
    <row r="14" spans="1:9" x14ac:dyDescent="0.2">
      <c r="A14" s="58"/>
      <c r="B14" s="62"/>
      <c r="C14" s="21"/>
      <c r="D14" s="21"/>
      <c r="E14" s="21"/>
      <c r="F14" s="63"/>
      <c r="G14" s="38"/>
      <c r="H14" s="60"/>
      <c r="I14" s="61"/>
    </row>
    <row r="15" spans="1:9" x14ac:dyDescent="0.2">
      <c r="A15" s="58"/>
      <c r="B15" s="58"/>
      <c r="C15" s="21"/>
      <c r="D15" s="21"/>
      <c r="E15" s="21"/>
      <c r="F15" s="59"/>
      <c r="G15" s="38"/>
      <c r="H15" s="60"/>
      <c r="I15" s="61"/>
    </row>
    <row r="16" spans="1:9" x14ac:dyDescent="0.2">
      <c r="A16" s="58"/>
      <c r="B16" s="62"/>
      <c r="C16" s="21"/>
      <c r="D16" s="21"/>
      <c r="E16" s="21"/>
      <c r="F16" s="63"/>
      <c r="G16" s="38"/>
      <c r="H16" s="60"/>
      <c r="I16" s="61"/>
    </row>
    <row r="17" spans="1:9" x14ac:dyDescent="0.2">
      <c r="A17" s="58"/>
      <c r="B17" s="58"/>
      <c r="C17" s="21"/>
      <c r="D17" s="21"/>
      <c r="E17" s="21"/>
      <c r="F17" s="59"/>
      <c r="G17" s="38"/>
      <c r="H17" s="60"/>
      <c r="I17" s="61"/>
    </row>
    <row r="18" spans="1:9" x14ac:dyDescent="0.2">
      <c r="A18" s="58"/>
      <c r="B18" s="62"/>
      <c r="C18" s="21"/>
      <c r="D18" s="21"/>
      <c r="E18" s="21"/>
      <c r="F18" s="63"/>
      <c r="G18" s="38"/>
      <c r="H18" s="60"/>
      <c r="I18" s="61"/>
    </row>
    <row r="19" spans="1:9" x14ac:dyDescent="0.2">
      <c r="A19" s="58"/>
      <c r="B19" s="58"/>
      <c r="C19" s="21"/>
      <c r="D19" s="21"/>
      <c r="E19" s="21"/>
      <c r="F19" s="59"/>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72</v>
      </c>
      <c r="B32" s="5"/>
      <c r="C32" s="5"/>
      <c r="D32" s="5"/>
      <c r="E32" s="5"/>
      <c r="F32" s="5"/>
      <c r="G32" s="5"/>
      <c r="H32" s="6"/>
    </row>
    <row r="33" spans="1:9" x14ac:dyDescent="0.2">
      <c r="A33" s="7"/>
      <c r="B33" s="8"/>
      <c r="C33" s="216" t="s">
        <v>16</v>
      </c>
      <c r="D33" s="212"/>
      <c r="E33" s="212"/>
      <c r="F33" s="217"/>
      <c r="G33" s="212" t="s">
        <v>1</v>
      </c>
      <c r="H33" s="213"/>
    </row>
    <row r="34" spans="1:9" x14ac:dyDescent="0.2">
      <c r="A34" s="12"/>
      <c r="B34" s="13"/>
      <c r="C34" s="14" t="s">
        <v>234</v>
      </c>
      <c r="D34" s="15" t="s">
        <v>235</v>
      </c>
      <c r="E34" s="15" t="s">
        <v>236</v>
      </c>
      <c r="F34" s="16"/>
      <c r="G34" s="17" t="s">
        <v>237</v>
      </c>
      <c r="H34" s="18" t="s">
        <v>238</v>
      </c>
    </row>
    <row r="35" spans="1:9" ht="12.75" customHeight="1" x14ac:dyDescent="0.2">
      <c r="A35" s="214" t="s">
        <v>60</v>
      </c>
      <c r="B35" s="19" t="s">
        <v>3</v>
      </c>
      <c r="C35" s="80">
        <v>531.97624857374728</v>
      </c>
      <c r="D35" s="80">
        <v>573.57984776658577</v>
      </c>
      <c r="E35" s="81">
        <v>636.16597194348037</v>
      </c>
      <c r="F35" s="22" t="s">
        <v>239</v>
      </c>
      <c r="G35" s="23">
        <v>19.5854088691122</v>
      </c>
      <c r="H35" s="24">
        <v>10.911492867225618</v>
      </c>
    </row>
    <row r="36" spans="1:9" ht="12.75" customHeight="1" thickBot="1" x14ac:dyDescent="0.25">
      <c r="A36" s="218"/>
      <c r="B36" s="42" t="s">
        <v>240</v>
      </c>
      <c r="C36" s="86">
        <v>143.17242980189499</v>
      </c>
      <c r="D36" s="86">
        <v>138.62619982034983</v>
      </c>
      <c r="E36" s="86">
        <v>159.16306029357838</v>
      </c>
      <c r="F36" s="44"/>
      <c r="G36" s="57">
        <v>11.168791724642332</v>
      </c>
      <c r="H36" s="46">
        <v>14.814559224622002</v>
      </c>
    </row>
    <row r="37" spans="1:9" x14ac:dyDescent="0.2">
      <c r="A37" s="58"/>
      <c r="B37" s="58"/>
      <c r="C37" s="21"/>
      <c r="D37" s="21"/>
      <c r="E37" s="21"/>
      <c r="F37" s="59"/>
      <c r="G37" s="38"/>
      <c r="H37" s="60"/>
      <c r="I37" s="61"/>
    </row>
    <row r="38" spans="1:9" x14ac:dyDescent="0.2">
      <c r="A38" s="58"/>
      <c r="B38" s="62"/>
      <c r="C38" s="21"/>
      <c r="D38" s="21"/>
      <c r="E38" s="21"/>
      <c r="F38" s="63"/>
      <c r="G38" s="38"/>
      <c r="H38" s="60"/>
      <c r="I38" s="61"/>
    </row>
    <row r="39" spans="1:9" x14ac:dyDescent="0.2">
      <c r="A39" s="58"/>
      <c r="B39" s="58"/>
      <c r="C39" s="21"/>
      <c r="D39" s="21"/>
      <c r="E39" s="21"/>
      <c r="F39" s="59"/>
      <c r="G39" s="38"/>
      <c r="H39" s="60"/>
      <c r="I39" s="61"/>
    </row>
    <row r="40" spans="1:9" x14ac:dyDescent="0.2">
      <c r="A40" s="58"/>
      <c r="B40" s="62"/>
      <c r="C40" s="21"/>
      <c r="D40" s="21"/>
      <c r="E40" s="21"/>
      <c r="F40" s="63"/>
      <c r="G40" s="38"/>
      <c r="H40" s="60"/>
      <c r="I40" s="61"/>
    </row>
    <row r="41" spans="1:9" x14ac:dyDescent="0.2">
      <c r="A41" s="58"/>
      <c r="B41" s="58"/>
      <c r="C41" s="21"/>
      <c r="D41" s="21"/>
      <c r="E41" s="21"/>
      <c r="F41" s="59"/>
      <c r="G41" s="38"/>
      <c r="H41" s="60"/>
      <c r="I41" s="61"/>
    </row>
    <row r="42" spans="1:9" x14ac:dyDescent="0.2">
      <c r="A42" s="58"/>
      <c r="B42" s="62"/>
      <c r="C42" s="21"/>
      <c r="D42" s="21"/>
      <c r="E42" s="21"/>
      <c r="F42" s="63"/>
      <c r="G42" s="38"/>
      <c r="H42" s="60"/>
      <c r="I42" s="61"/>
    </row>
    <row r="43" spans="1:9" x14ac:dyDescent="0.2">
      <c r="A43" s="58"/>
      <c r="B43" s="58"/>
      <c r="C43" s="21"/>
      <c r="D43" s="21"/>
      <c r="E43" s="21"/>
      <c r="F43" s="59"/>
      <c r="G43" s="38"/>
      <c r="H43" s="60"/>
      <c r="I43" s="61"/>
    </row>
    <row r="44" spans="1:9" x14ac:dyDescent="0.2">
      <c r="A44" s="58"/>
      <c r="B44" s="62"/>
      <c r="C44" s="21"/>
      <c r="D44" s="21"/>
      <c r="E44" s="21"/>
      <c r="F44" s="63"/>
      <c r="G44" s="38"/>
      <c r="H44" s="60"/>
      <c r="I44" s="61"/>
    </row>
    <row r="45" spans="1:9" x14ac:dyDescent="0.2">
      <c r="A45" s="58"/>
      <c r="B45" s="58"/>
      <c r="C45" s="21"/>
      <c r="D45" s="21"/>
      <c r="E45" s="21"/>
      <c r="F45" s="59"/>
      <c r="G45" s="38"/>
      <c r="H45" s="60"/>
      <c r="I45" s="61"/>
    </row>
    <row r="46" spans="1:9" x14ac:dyDescent="0.2">
      <c r="A46" s="58"/>
      <c r="B46" s="62"/>
      <c r="C46" s="21"/>
      <c r="D46" s="21"/>
      <c r="E46" s="21"/>
      <c r="F46" s="63"/>
      <c r="G46" s="38"/>
      <c r="H46" s="60"/>
      <c r="I46" s="61"/>
    </row>
    <row r="47" spans="1:9" x14ac:dyDescent="0.2">
      <c r="A47" s="58"/>
      <c r="B47" s="58"/>
      <c r="C47" s="21"/>
      <c r="D47" s="21"/>
      <c r="E47" s="21"/>
      <c r="F47" s="59"/>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row>
    <row r="60" spans="1:9" x14ac:dyDescent="0.2">
      <c r="A60" s="52"/>
      <c r="B60" s="52"/>
      <c r="C60" s="52"/>
      <c r="D60" s="52"/>
      <c r="E60" s="52"/>
      <c r="F60" s="52"/>
      <c r="G60" s="52"/>
      <c r="H60" s="52"/>
    </row>
    <row r="61" spans="1:9" ht="12.75" customHeight="1" x14ac:dyDescent="0.2">
      <c r="A61" s="54" t="str">
        <f>+Innhold!$B$123</f>
        <v>Finans Norge / Skadestatistikk</v>
      </c>
      <c r="H61" s="207">
        <v>20</v>
      </c>
    </row>
    <row r="62" spans="1:9" ht="12.75" customHeight="1" x14ac:dyDescent="0.2">
      <c r="A62" s="54" t="str">
        <f>+Innhold!$B$124</f>
        <v>Skadestatistikk for landbasert forsikring 1. kvartal 2019</v>
      </c>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47" display="Tilbake til innholdsfortegnelsen" xr:uid="{00000000-0004-0000-0F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68"/>
  <sheetViews>
    <sheetView showGridLines="0" showRowColHeaders="0" zoomScaleNormal="100" zoomScaleSheetLayoutView="70" workbookViewId="0"/>
  </sheetViews>
  <sheetFormatPr defaultColWidth="11.42578125" defaultRowHeight="12.75" x14ac:dyDescent="0.2"/>
  <cols>
    <col min="1" max="1" width="26.42578125" style="116" customWidth="1"/>
    <col min="2" max="2" width="8.140625" style="116" customWidth="1"/>
    <col min="3" max="4" width="10.42578125" style="116" customWidth="1"/>
    <col min="5" max="5" width="9.85546875" style="116" customWidth="1"/>
    <col min="6" max="6" width="1.5703125" style="116" customWidth="1"/>
    <col min="7" max="7" width="7.5703125" style="116" customWidth="1"/>
    <col min="8" max="8" width="8.85546875" style="116" customWidth="1"/>
    <col min="9" max="16384" width="11.42578125" style="116"/>
  </cols>
  <sheetData>
    <row r="1" spans="1:8" ht="5.25" customHeight="1" x14ac:dyDescent="0.2"/>
    <row r="2" spans="1:8" x14ac:dyDescent="0.2">
      <c r="A2" s="92" t="s">
        <v>0</v>
      </c>
      <c r="B2" s="117"/>
      <c r="C2" s="117"/>
      <c r="D2" s="117"/>
      <c r="E2" s="117"/>
      <c r="F2" s="117"/>
      <c r="G2" s="117"/>
    </row>
    <row r="3" spans="1:8" ht="6" customHeight="1" x14ac:dyDescent="0.2">
      <c r="A3" s="3"/>
      <c r="B3" s="117"/>
      <c r="C3" s="117"/>
      <c r="D3" s="117"/>
      <c r="E3" s="117"/>
      <c r="F3" s="117"/>
      <c r="G3" s="117"/>
    </row>
    <row r="4" spans="1:8" ht="16.5" thickBot="1" x14ac:dyDescent="0.3">
      <c r="A4" s="118" t="s">
        <v>214</v>
      </c>
      <c r="B4" s="119"/>
      <c r="C4" s="119"/>
      <c r="D4" s="119"/>
      <c r="E4" s="119"/>
      <c r="F4" s="119"/>
      <c r="G4" s="119"/>
      <c r="H4" s="120"/>
    </row>
    <row r="5" spans="1:8" x14ac:dyDescent="0.2">
      <c r="A5" s="121"/>
      <c r="B5" s="122"/>
      <c r="C5" s="123"/>
      <c r="D5" s="122"/>
      <c r="E5" s="124"/>
      <c r="F5" s="125"/>
      <c r="G5" s="221" t="s">
        <v>1</v>
      </c>
      <c r="H5" s="222"/>
    </row>
    <row r="6" spans="1:8" x14ac:dyDescent="0.2">
      <c r="A6" s="126"/>
      <c r="B6" s="127"/>
      <c r="C6" s="128" t="s">
        <v>234</v>
      </c>
      <c r="D6" s="129" t="s">
        <v>235</v>
      </c>
      <c r="E6" s="129" t="s">
        <v>236</v>
      </c>
      <c r="F6" s="130"/>
      <c r="G6" s="131" t="s">
        <v>237</v>
      </c>
      <c r="H6" s="132" t="s">
        <v>238</v>
      </c>
    </row>
    <row r="7" spans="1:8" ht="12.75" customHeight="1" x14ac:dyDescent="0.2">
      <c r="A7" s="223" t="s">
        <v>195</v>
      </c>
      <c r="B7" s="133" t="s">
        <v>3</v>
      </c>
      <c r="C7" s="20">
        <v>5464</v>
      </c>
      <c r="D7" s="20">
        <v>5769</v>
      </c>
      <c r="E7" s="79">
        <v>6191.9684636273305</v>
      </c>
      <c r="F7" s="22" t="s">
        <v>239</v>
      </c>
      <c r="G7" s="134">
        <v>13.322995307967261</v>
      </c>
      <c r="H7" s="135">
        <v>7.3317466394059636</v>
      </c>
    </row>
    <row r="8" spans="1:8" ht="12.75" customHeight="1" x14ac:dyDescent="0.2">
      <c r="A8" s="224"/>
      <c r="B8" s="136" t="s">
        <v>240</v>
      </c>
      <c r="C8" s="26">
        <v>1622</v>
      </c>
      <c r="D8" s="26">
        <v>1511</v>
      </c>
      <c r="E8" s="26">
        <v>1688</v>
      </c>
      <c r="F8" s="27"/>
      <c r="G8" s="137">
        <v>4.0690505548705289</v>
      </c>
      <c r="H8" s="138">
        <v>11.714096624751818</v>
      </c>
    </row>
    <row r="9" spans="1:8" x14ac:dyDescent="0.2">
      <c r="A9" s="139" t="s">
        <v>196</v>
      </c>
      <c r="B9" s="140" t="s">
        <v>3</v>
      </c>
      <c r="C9" s="20">
        <v>1897</v>
      </c>
      <c r="D9" s="20">
        <v>1690</v>
      </c>
      <c r="E9" s="20">
        <v>2139.9572663364634</v>
      </c>
      <c r="F9" s="22" t="s">
        <v>239</v>
      </c>
      <c r="G9" s="141">
        <v>12.807446828490427</v>
      </c>
      <c r="H9" s="142">
        <v>26.624690315767069</v>
      </c>
    </row>
    <row r="10" spans="1:8" x14ac:dyDescent="0.2">
      <c r="A10" s="143"/>
      <c r="B10" s="136" t="s">
        <v>240</v>
      </c>
      <c r="C10" s="26">
        <v>535</v>
      </c>
      <c r="D10" s="26">
        <v>417</v>
      </c>
      <c r="E10" s="26">
        <v>551</v>
      </c>
      <c r="F10" s="27"/>
      <c r="G10" s="144">
        <v>2.9906542056074699</v>
      </c>
      <c r="H10" s="138">
        <v>32.134292565947248</v>
      </c>
    </row>
    <row r="11" spans="1:8" x14ac:dyDescent="0.2">
      <c r="A11" s="139" t="s">
        <v>197</v>
      </c>
      <c r="B11" s="140" t="s">
        <v>3</v>
      </c>
      <c r="C11" s="20">
        <v>458</v>
      </c>
      <c r="D11" s="20">
        <v>492</v>
      </c>
      <c r="E11" s="20">
        <v>351.36137890739116</v>
      </c>
      <c r="F11" s="22" t="s">
        <v>239</v>
      </c>
      <c r="G11" s="145">
        <v>-23.28354172327704</v>
      </c>
      <c r="H11" s="142">
        <v>-28.585085587928631</v>
      </c>
    </row>
    <row r="12" spans="1:8" x14ac:dyDescent="0.2">
      <c r="A12" s="143"/>
      <c r="B12" s="136" t="s">
        <v>240</v>
      </c>
      <c r="C12" s="26">
        <v>163</v>
      </c>
      <c r="D12" s="26">
        <v>175</v>
      </c>
      <c r="E12" s="26">
        <v>125</v>
      </c>
      <c r="F12" s="27"/>
      <c r="G12" s="137">
        <v>-23.312883435582819</v>
      </c>
      <c r="H12" s="138">
        <v>-28.571428571428569</v>
      </c>
    </row>
    <row r="13" spans="1:8" x14ac:dyDescent="0.2">
      <c r="A13" s="139" t="s">
        <v>230</v>
      </c>
      <c r="B13" s="140" t="s">
        <v>3</v>
      </c>
      <c r="C13" s="20">
        <v>120</v>
      </c>
      <c r="D13" s="20">
        <v>128</v>
      </c>
      <c r="E13" s="20">
        <v>137.10344827586206</v>
      </c>
      <c r="F13" s="22" t="s">
        <v>239</v>
      </c>
      <c r="G13" s="134">
        <v>14.252873563218387</v>
      </c>
      <c r="H13" s="135">
        <v>7.1120689655172384</v>
      </c>
    </row>
    <row r="14" spans="1:8" x14ac:dyDescent="0.2">
      <c r="A14" s="143"/>
      <c r="B14" s="136" t="s">
        <v>240</v>
      </c>
      <c r="C14" s="26">
        <v>66</v>
      </c>
      <c r="D14" s="26">
        <v>58</v>
      </c>
      <c r="E14" s="26">
        <v>66</v>
      </c>
      <c r="F14" s="27"/>
      <c r="G14" s="146">
        <v>0</v>
      </c>
      <c r="H14" s="135">
        <v>13.793103448275872</v>
      </c>
    </row>
    <row r="15" spans="1:8" x14ac:dyDescent="0.2">
      <c r="A15" s="139" t="s">
        <v>198</v>
      </c>
      <c r="B15" s="140" t="s">
        <v>3</v>
      </c>
      <c r="C15" s="20">
        <v>2181</v>
      </c>
      <c r="D15" s="20">
        <v>2440</v>
      </c>
      <c r="E15" s="20">
        <v>2859.611901080184</v>
      </c>
      <c r="F15" s="22" t="s">
        <v>239</v>
      </c>
      <c r="G15" s="145">
        <v>31.114713483731492</v>
      </c>
      <c r="H15" s="142">
        <v>17.197209060663283</v>
      </c>
    </row>
    <row r="16" spans="1:8" x14ac:dyDescent="0.2">
      <c r="A16" s="143"/>
      <c r="B16" s="136" t="s">
        <v>240</v>
      </c>
      <c r="C16" s="26">
        <v>536</v>
      </c>
      <c r="D16" s="26">
        <v>555</v>
      </c>
      <c r="E16" s="26">
        <v>667</v>
      </c>
      <c r="F16" s="27"/>
      <c r="G16" s="137">
        <v>24.440298507462671</v>
      </c>
      <c r="H16" s="138">
        <v>20.180180180180173</v>
      </c>
    </row>
    <row r="17" spans="1:9" x14ac:dyDescent="0.2">
      <c r="A17" s="139" t="s">
        <v>199</v>
      </c>
      <c r="B17" s="140" t="s">
        <v>3</v>
      </c>
      <c r="C17" s="20">
        <v>541</v>
      </c>
      <c r="D17" s="20">
        <v>502</v>
      </c>
      <c r="E17" s="20">
        <v>455.67756703727923</v>
      </c>
      <c r="F17" s="22" t="s">
        <v>239</v>
      </c>
      <c r="G17" s="145">
        <v>-15.77124454024414</v>
      </c>
      <c r="H17" s="142">
        <v>-9.2275762873945837</v>
      </c>
    </row>
    <row r="18" spans="1:9" x14ac:dyDescent="0.2">
      <c r="A18" s="139"/>
      <c r="B18" s="136" t="s">
        <v>240</v>
      </c>
      <c r="C18" s="26">
        <v>139</v>
      </c>
      <c r="D18" s="26">
        <v>110</v>
      </c>
      <c r="E18" s="26">
        <v>105</v>
      </c>
      <c r="F18" s="27"/>
      <c r="G18" s="137">
        <v>-24.460431654676256</v>
      </c>
      <c r="H18" s="138">
        <v>-4.5454545454545467</v>
      </c>
    </row>
    <row r="19" spans="1:9" x14ac:dyDescent="0.2">
      <c r="A19" s="147" t="s">
        <v>200</v>
      </c>
      <c r="B19" s="140" t="s">
        <v>3</v>
      </c>
      <c r="C19" s="20">
        <v>26</v>
      </c>
      <c r="D19" s="20">
        <v>31</v>
      </c>
      <c r="E19" s="20">
        <v>56.955555555555549</v>
      </c>
      <c r="F19" s="22" t="s">
        <v>239</v>
      </c>
      <c r="G19" s="134">
        <v>119.05982905982904</v>
      </c>
      <c r="H19" s="135">
        <v>83.727598566308217</v>
      </c>
    </row>
    <row r="20" spans="1:9" x14ac:dyDescent="0.2">
      <c r="A20" s="143"/>
      <c r="B20" s="136" t="s">
        <v>240</v>
      </c>
      <c r="C20" s="26">
        <v>5</v>
      </c>
      <c r="D20" s="26">
        <v>6</v>
      </c>
      <c r="E20" s="26">
        <v>11</v>
      </c>
      <c r="F20" s="27"/>
      <c r="G20" s="146">
        <v>120.00000000000003</v>
      </c>
      <c r="H20" s="135">
        <v>83.333333333333314</v>
      </c>
    </row>
    <row r="21" spans="1:9" x14ac:dyDescent="0.2">
      <c r="A21" s="147" t="s">
        <v>201</v>
      </c>
      <c r="B21" s="140" t="s">
        <v>3</v>
      </c>
      <c r="C21" s="20">
        <v>84</v>
      </c>
      <c r="D21" s="20">
        <v>9</v>
      </c>
      <c r="E21" s="20">
        <v>18</v>
      </c>
      <c r="F21" s="22" t="s">
        <v>239</v>
      </c>
      <c r="G21" s="145">
        <v>-78.571428571428569</v>
      </c>
      <c r="H21" s="142">
        <v>100</v>
      </c>
    </row>
    <row r="22" spans="1:9" x14ac:dyDescent="0.2">
      <c r="A22" s="143"/>
      <c r="B22" s="136" t="s">
        <v>240</v>
      </c>
      <c r="C22" s="26">
        <v>4</v>
      </c>
      <c r="D22" s="26">
        <v>3</v>
      </c>
      <c r="E22" s="26">
        <v>2</v>
      </c>
      <c r="F22" s="27"/>
      <c r="G22" s="137">
        <v>-50</v>
      </c>
      <c r="H22" s="138">
        <v>-33.333333333333343</v>
      </c>
    </row>
    <row r="23" spans="1:9" x14ac:dyDescent="0.2">
      <c r="A23" s="147" t="s">
        <v>202</v>
      </c>
      <c r="B23" s="140" t="s">
        <v>3</v>
      </c>
      <c r="C23" s="20">
        <v>188</v>
      </c>
      <c r="D23" s="20">
        <v>213</v>
      </c>
      <c r="E23" s="20">
        <v>326.09291218929769</v>
      </c>
      <c r="F23" s="22" t="s">
        <v>239</v>
      </c>
      <c r="G23" s="145">
        <v>73.45367669643494</v>
      </c>
      <c r="H23" s="142">
        <v>53.095263938637402</v>
      </c>
    </row>
    <row r="24" spans="1:9" x14ac:dyDescent="0.2">
      <c r="A24" s="143"/>
      <c r="B24" s="136" t="s">
        <v>240</v>
      </c>
      <c r="C24" s="26">
        <v>83</v>
      </c>
      <c r="D24" s="26">
        <v>37</v>
      </c>
      <c r="E24" s="26">
        <v>71</v>
      </c>
      <c r="F24" s="27"/>
      <c r="G24" s="137">
        <v>-14.457831325301214</v>
      </c>
      <c r="H24" s="138">
        <v>91.891891891891873</v>
      </c>
    </row>
    <row r="25" spans="1:9" x14ac:dyDescent="0.2">
      <c r="A25" s="139" t="s">
        <v>24</v>
      </c>
      <c r="B25" s="140" t="s">
        <v>3</v>
      </c>
      <c r="C25" s="20">
        <v>1392</v>
      </c>
      <c r="D25" s="20">
        <v>1588</v>
      </c>
      <c r="E25" s="20">
        <v>1639.8302088281987</v>
      </c>
      <c r="F25" s="22" t="s">
        <v>239</v>
      </c>
      <c r="G25" s="134">
        <v>17.803894312370588</v>
      </c>
      <c r="H25" s="135">
        <v>3.2638670546724597</v>
      </c>
      <c r="I25" s="148"/>
    </row>
    <row r="26" spans="1:9" ht="13.5" thickBot="1" x14ac:dyDescent="0.25">
      <c r="A26" s="149"/>
      <c r="B26" s="150" t="s">
        <v>240</v>
      </c>
      <c r="C26" s="43">
        <v>374</v>
      </c>
      <c r="D26" s="43">
        <v>439</v>
      </c>
      <c r="E26" s="43">
        <v>449</v>
      </c>
      <c r="F26" s="44"/>
      <c r="G26" s="151">
        <v>20.053475935828871</v>
      </c>
      <c r="H26" s="152">
        <v>2.2779043280182236</v>
      </c>
      <c r="I26" s="148"/>
    </row>
    <row r="27" spans="1:9" x14ac:dyDescent="0.2">
      <c r="A27" s="153"/>
      <c r="B27" s="153"/>
      <c r="C27" s="64"/>
      <c r="D27" s="64"/>
      <c r="E27" s="21"/>
      <c r="F27" s="59"/>
      <c r="G27" s="146"/>
      <c r="H27" s="154"/>
      <c r="I27" s="148"/>
    </row>
    <row r="28" spans="1:9" x14ac:dyDescent="0.2">
      <c r="A28" s="153"/>
      <c r="B28" s="153"/>
      <c r="C28" s="64"/>
      <c r="D28" s="64"/>
      <c r="E28" s="21"/>
      <c r="F28" s="59"/>
      <c r="G28" s="146"/>
      <c r="H28" s="154"/>
      <c r="I28" s="148"/>
    </row>
    <row r="29" spans="1:9" x14ac:dyDescent="0.2">
      <c r="A29" s="153"/>
      <c r="B29" s="153"/>
      <c r="C29" s="64"/>
      <c r="D29" s="64"/>
      <c r="E29" s="21"/>
      <c r="F29" s="59"/>
      <c r="G29" s="146"/>
      <c r="H29" s="154"/>
      <c r="I29" s="148"/>
    </row>
    <row r="30" spans="1:9" x14ac:dyDescent="0.2">
      <c r="A30" s="155"/>
      <c r="B30" s="156"/>
      <c r="C30" s="21"/>
      <c r="D30" s="21"/>
      <c r="E30" s="21"/>
      <c r="F30" s="63"/>
      <c r="G30" s="146"/>
      <c r="H30" s="154"/>
      <c r="I30" s="148"/>
    </row>
    <row r="31" spans="1:9" x14ac:dyDescent="0.2">
      <c r="A31" s="157"/>
      <c r="B31" s="158"/>
      <c r="C31" s="49"/>
      <c r="D31" s="55"/>
      <c r="E31" s="49"/>
      <c r="F31" s="49"/>
      <c r="G31" s="159"/>
      <c r="H31" s="160"/>
      <c r="I31" s="148"/>
    </row>
    <row r="32" spans="1:9" ht="16.5" thickBot="1" x14ac:dyDescent="0.3">
      <c r="A32" s="118" t="s">
        <v>215</v>
      </c>
      <c r="B32" s="119"/>
      <c r="C32" s="119"/>
      <c r="D32" s="119"/>
      <c r="E32" s="119"/>
      <c r="F32" s="119"/>
      <c r="G32" s="119"/>
      <c r="H32" s="120"/>
    </row>
    <row r="33" spans="1:8" x14ac:dyDescent="0.2">
      <c r="A33" s="121"/>
      <c r="B33" s="122"/>
      <c r="C33" s="225" t="s">
        <v>16</v>
      </c>
      <c r="D33" s="221"/>
      <c r="E33" s="221"/>
      <c r="F33" s="226"/>
      <c r="G33" s="221" t="s">
        <v>1</v>
      </c>
      <c r="H33" s="222"/>
    </row>
    <row r="34" spans="1:8" x14ac:dyDescent="0.2">
      <c r="A34" s="126"/>
      <c r="B34" s="127"/>
      <c r="C34" s="128" t="s">
        <v>234</v>
      </c>
      <c r="D34" s="129" t="s">
        <v>235</v>
      </c>
      <c r="E34" s="129" t="s">
        <v>236</v>
      </c>
      <c r="F34" s="130"/>
      <c r="G34" s="131" t="s">
        <v>237</v>
      </c>
      <c r="H34" s="132" t="s">
        <v>238</v>
      </c>
    </row>
    <row r="35" spans="1:8" ht="12.75" customHeight="1" x14ac:dyDescent="0.2">
      <c r="A35" s="223" t="s">
        <v>195</v>
      </c>
      <c r="B35" s="133" t="s">
        <v>3</v>
      </c>
      <c r="C35" s="80">
        <v>991.88485422989675</v>
      </c>
      <c r="D35" s="80">
        <v>1042.4939548825184</v>
      </c>
      <c r="E35" s="81">
        <v>1121.5772224862292</v>
      </c>
      <c r="F35" s="22" t="s">
        <v>239</v>
      </c>
      <c r="G35" s="134">
        <v>13.075345157581424</v>
      </c>
      <c r="H35" s="135">
        <v>7.5859689385558937</v>
      </c>
    </row>
    <row r="36" spans="1:8" ht="12.75" customHeight="1" x14ac:dyDescent="0.2">
      <c r="A36" s="224"/>
      <c r="B36" s="136" t="s">
        <v>240</v>
      </c>
      <c r="C36" s="82">
        <v>275.1403410889028</v>
      </c>
      <c r="D36" s="82">
        <v>244.3104289038001</v>
      </c>
      <c r="E36" s="82">
        <v>277.17927821508107</v>
      </c>
      <c r="F36" s="27"/>
      <c r="G36" s="137">
        <v>0.74105349950099253</v>
      </c>
      <c r="H36" s="138">
        <v>13.453723387397204</v>
      </c>
    </row>
    <row r="37" spans="1:8" x14ac:dyDescent="0.2">
      <c r="A37" s="139" t="s">
        <v>196</v>
      </c>
      <c r="B37" s="140" t="s">
        <v>3</v>
      </c>
      <c r="C37" s="80">
        <v>499.91934977461625</v>
      </c>
      <c r="D37" s="80">
        <v>518.2274594430562</v>
      </c>
      <c r="E37" s="80">
        <v>642.56612619761506</v>
      </c>
      <c r="F37" s="22" t="s">
        <v>239</v>
      </c>
      <c r="G37" s="141">
        <v>28.533957824859101</v>
      </c>
      <c r="H37" s="142">
        <v>23.993068003032249</v>
      </c>
    </row>
    <row r="38" spans="1:8" x14ac:dyDescent="0.2">
      <c r="A38" s="143"/>
      <c r="B38" s="136" t="s">
        <v>240</v>
      </c>
      <c r="C38" s="82">
        <v>132.98901683378551</v>
      </c>
      <c r="D38" s="82">
        <v>115.62260186612802</v>
      </c>
      <c r="E38" s="82">
        <v>151.5102262898076</v>
      </c>
      <c r="F38" s="27"/>
      <c r="G38" s="144">
        <v>13.926871479297091</v>
      </c>
      <c r="H38" s="138">
        <v>31.038589207006027</v>
      </c>
    </row>
    <row r="39" spans="1:8" x14ac:dyDescent="0.2">
      <c r="A39" s="139" t="s">
        <v>197</v>
      </c>
      <c r="B39" s="140" t="s">
        <v>3</v>
      </c>
      <c r="C39" s="80">
        <v>57.699737556827031</v>
      </c>
      <c r="D39" s="80">
        <v>61.751132220382033</v>
      </c>
      <c r="E39" s="80">
        <v>74.975163101910454</v>
      </c>
      <c r="F39" s="22" t="s">
        <v>239</v>
      </c>
      <c r="G39" s="145">
        <v>29.940215114616933</v>
      </c>
      <c r="H39" s="142">
        <v>21.415041969325372</v>
      </c>
    </row>
    <row r="40" spans="1:8" x14ac:dyDescent="0.2">
      <c r="A40" s="143"/>
      <c r="B40" s="136" t="s">
        <v>240</v>
      </c>
      <c r="C40" s="82">
        <v>16.912774979223194</v>
      </c>
      <c r="D40" s="82">
        <v>12.875210233266003</v>
      </c>
      <c r="E40" s="82">
        <v>17.296826186225957</v>
      </c>
      <c r="F40" s="27"/>
      <c r="G40" s="137">
        <v>2.2707758335019435</v>
      </c>
      <c r="H40" s="138">
        <v>34.342087413343449</v>
      </c>
    </row>
    <row r="41" spans="1:8" x14ac:dyDescent="0.2">
      <c r="A41" s="139" t="s">
        <v>230</v>
      </c>
      <c r="B41" s="140" t="s">
        <v>3</v>
      </c>
      <c r="C41" s="80">
        <v>77.360013137417738</v>
      </c>
      <c r="D41" s="80">
        <v>90.45702397779776</v>
      </c>
      <c r="E41" s="80">
        <v>83.088530595919906</v>
      </c>
      <c r="F41" s="22" t="s">
        <v>239</v>
      </c>
      <c r="G41" s="134">
        <v>7.4050109690730892</v>
      </c>
      <c r="H41" s="135">
        <v>-8.1458498830189399</v>
      </c>
    </row>
    <row r="42" spans="1:8" x14ac:dyDescent="0.2">
      <c r="A42" s="143"/>
      <c r="B42" s="136" t="s">
        <v>240</v>
      </c>
      <c r="C42" s="82">
        <v>31.72639367866833</v>
      </c>
      <c r="D42" s="82">
        <v>27.93735582845601</v>
      </c>
      <c r="E42" s="82">
        <v>27.963216847815929</v>
      </c>
      <c r="F42" s="27"/>
      <c r="G42" s="146">
        <v>-11.861344434437328</v>
      </c>
      <c r="H42" s="135">
        <v>9.2567884801681544E-2</v>
      </c>
    </row>
    <row r="43" spans="1:8" x14ac:dyDescent="0.2">
      <c r="A43" s="139" t="s">
        <v>198</v>
      </c>
      <c r="B43" s="140" t="s">
        <v>3</v>
      </c>
      <c r="C43" s="80">
        <v>41.184975390590729</v>
      </c>
      <c r="D43" s="80">
        <v>41.031011127415738</v>
      </c>
      <c r="E43" s="80">
        <v>43.709987256355681</v>
      </c>
      <c r="F43" s="22" t="s">
        <v>239</v>
      </c>
      <c r="G43" s="145">
        <v>6.1309053649254395</v>
      </c>
      <c r="H43" s="142">
        <v>6.5291496732088348</v>
      </c>
    </row>
    <row r="44" spans="1:8" x14ac:dyDescent="0.2">
      <c r="A44" s="143"/>
      <c r="B44" s="136" t="s">
        <v>240</v>
      </c>
      <c r="C44" s="82">
        <v>11.392043699445139</v>
      </c>
      <c r="D44" s="82">
        <v>9.9539155951900042</v>
      </c>
      <c r="E44" s="82">
        <v>11.057015561589969</v>
      </c>
      <c r="F44" s="27"/>
      <c r="G44" s="137">
        <v>-2.9408958277739856</v>
      </c>
      <c r="H44" s="138">
        <v>11.082070727352871</v>
      </c>
    </row>
    <row r="45" spans="1:8" x14ac:dyDescent="0.2">
      <c r="A45" s="139" t="s">
        <v>199</v>
      </c>
      <c r="B45" s="140" t="s">
        <v>3</v>
      </c>
      <c r="C45" s="80">
        <v>17.769426878118146</v>
      </c>
      <c r="D45" s="80">
        <v>18.109262481483146</v>
      </c>
      <c r="E45" s="80">
        <v>11.640577399077868</v>
      </c>
      <c r="F45" s="22" t="s">
        <v>239</v>
      </c>
      <c r="G45" s="145">
        <v>-34.490980047238011</v>
      </c>
      <c r="H45" s="142">
        <v>-35.720312127672543</v>
      </c>
    </row>
    <row r="46" spans="1:8" x14ac:dyDescent="0.2">
      <c r="A46" s="139"/>
      <c r="B46" s="136" t="s">
        <v>240</v>
      </c>
      <c r="C46" s="82">
        <v>4.3427481398890277</v>
      </c>
      <c r="D46" s="82">
        <v>5.0406883190380007</v>
      </c>
      <c r="E46" s="82">
        <v>3.0967270523179935</v>
      </c>
      <c r="F46" s="27"/>
      <c r="G46" s="137">
        <v>-28.691995193690289</v>
      </c>
      <c r="H46" s="138">
        <v>-38.56539313049624</v>
      </c>
    </row>
    <row r="47" spans="1:8" x14ac:dyDescent="0.2">
      <c r="A47" s="147" t="s">
        <v>200</v>
      </c>
      <c r="B47" s="140" t="s">
        <v>3</v>
      </c>
      <c r="C47" s="80">
        <v>7.2138101781181447</v>
      </c>
      <c r="D47" s="80">
        <v>7.8396207614831468</v>
      </c>
      <c r="E47" s="80">
        <v>9.0137505022161584</v>
      </c>
      <c r="F47" s="22" t="s">
        <v>239</v>
      </c>
      <c r="G47" s="134">
        <v>24.95131254711724</v>
      </c>
      <c r="H47" s="135">
        <v>14.97686911721074</v>
      </c>
    </row>
    <row r="48" spans="1:8" x14ac:dyDescent="0.2">
      <c r="A48" s="143"/>
      <c r="B48" s="136" t="s">
        <v>240</v>
      </c>
      <c r="C48" s="82">
        <v>1.9395061398890274</v>
      </c>
      <c r="D48" s="82">
        <v>1.8034463190380008</v>
      </c>
      <c r="E48" s="82">
        <v>2.1783833123179939</v>
      </c>
      <c r="F48" s="27"/>
      <c r="G48" s="146">
        <v>12.316391658478281</v>
      </c>
      <c r="H48" s="135">
        <v>20.790027921651301</v>
      </c>
    </row>
    <row r="49" spans="1:9" x14ac:dyDescent="0.2">
      <c r="A49" s="147" t="s">
        <v>201</v>
      </c>
      <c r="B49" s="140" t="s">
        <v>3</v>
      </c>
      <c r="C49" s="80">
        <v>19.561452178118145</v>
      </c>
      <c r="D49" s="80">
        <v>5.8936577614831469</v>
      </c>
      <c r="E49" s="80">
        <v>8.3941057482094958</v>
      </c>
      <c r="F49" s="22" t="s">
        <v>239</v>
      </c>
      <c r="G49" s="145">
        <v>-57.088534778622822</v>
      </c>
      <c r="H49" s="142">
        <v>42.426080507550665</v>
      </c>
    </row>
    <row r="50" spans="1:9" x14ac:dyDescent="0.2">
      <c r="A50" s="143"/>
      <c r="B50" s="136" t="s">
        <v>240</v>
      </c>
      <c r="C50" s="82">
        <v>2.1525061398890273</v>
      </c>
      <c r="D50" s="82">
        <v>1.5034463190380007</v>
      </c>
      <c r="E50" s="82">
        <v>1.4876173123179937</v>
      </c>
      <c r="F50" s="27"/>
      <c r="G50" s="137">
        <v>-30.889056028676976</v>
      </c>
      <c r="H50" s="138">
        <v>-1.0528481475903675</v>
      </c>
    </row>
    <row r="51" spans="1:9" x14ac:dyDescent="0.2">
      <c r="A51" s="147" t="s">
        <v>202</v>
      </c>
      <c r="B51" s="140" t="s">
        <v>3</v>
      </c>
      <c r="C51" s="80">
        <v>59.653928890590727</v>
      </c>
      <c r="D51" s="80">
        <v>69.598649807415725</v>
      </c>
      <c r="E51" s="80">
        <v>88.798781209432349</v>
      </c>
      <c r="F51" s="22" t="s">
        <v>239</v>
      </c>
      <c r="G51" s="145">
        <v>48.856551212737742</v>
      </c>
      <c r="H51" s="142">
        <v>27.586930860217421</v>
      </c>
    </row>
    <row r="52" spans="1:9" x14ac:dyDescent="0.2">
      <c r="A52" s="143"/>
      <c r="B52" s="136" t="s">
        <v>240</v>
      </c>
      <c r="C52" s="82">
        <v>28.521918699445138</v>
      </c>
      <c r="D52" s="82">
        <v>12.353231595190003</v>
      </c>
      <c r="E52" s="82">
        <v>19.940443561589969</v>
      </c>
      <c r="F52" s="27"/>
      <c r="G52" s="137">
        <v>-30.087299624839446</v>
      </c>
      <c r="H52" s="138">
        <v>61.418843384707628</v>
      </c>
    </row>
    <row r="53" spans="1:9" x14ac:dyDescent="0.2">
      <c r="A53" s="139" t="s">
        <v>24</v>
      </c>
      <c r="B53" s="140" t="s">
        <v>3</v>
      </c>
      <c r="C53" s="80">
        <v>211.52216024550012</v>
      </c>
      <c r="D53" s="80">
        <v>229.5861373020013</v>
      </c>
      <c r="E53" s="80">
        <v>180.66168348773672</v>
      </c>
      <c r="F53" s="22" t="s">
        <v>239</v>
      </c>
      <c r="G53" s="134">
        <v>-14.589713305662926</v>
      </c>
      <c r="H53" s="135">
        <v>-21.309846661128574</v>
      </c>
      <c r="I53" s="148"/>
    </row>
    <row r="54" spans="1:9" ht="13.5" thickBot="1" x14ac:dyDescent="0.25">
      <c r="A54" s="149"/>
      <c r="B54" s="150" t="s">
        <v>240</v>
      </c>
      <c r="C54" s="86">
        <v>45.16343277866833</v>
      </c>
      <c r="D54" s="86">
        <v>57.220532828456015</v>
      </c>
      <c r="E54" s="86">
        <v>42.648822091097628</v>
      </c>
      <c r="F54" s="44"/>
      <c r="G54" s="151">
        <v>-5.5678023853811425</v>
      </c>
      <c r="H54" s="152">
        <v>-25.465877399365652</v>
      </c>
      <c r="I54" s="148"/>
    </row>
    <row r="55" spans="1:9" x14ac:dyDescent="0.2">
      <c r="A55" s="155"/>
      <c r="B55" s="156"/>
      <c r="C55" s="21"/>
      <c r="D55" s="21"/>
      <c r="E55" s="21"/>
      <c r="F55" s="63"/>
      <c r="G55" s="146"/>
      <c r="H55" s="154"/>
      <c r="I55" s="148"/>
    </row>
    <row r="56" spans="1:9" x14ac:dyDescent="0.2">
      <c r="A56" s="155"/>
      <c r="B56" s="156"/>
      <c r="C56" s="21"/>
      <c r="D56" s="21"/>
      <c r="E56" s="21"/>
      <c r="F56" s="63"/>
      <c r="G56" s="146"/>
      <c r="H56" s="154"/>
      <c r="I56" s="148"/>
    </row>
    <row r="57" spans="1:9" x14ac:dyDescent="0.2">
      <c r="A57" s="155"/>
      <c r="B57" s="156"/>
      <c r="C57" s="21"/>
      <c r="D57" s="21"/>
      <c r="E57" s="21"/>
      <c r="F57" s="63"/>
      <c r="G57" s="146"/>
      <c r="H57" s="154"/>
      <c r="I57" s="148"/>
    </row>
    <row r="58" spans="1:9" x14ac:dyDescent="0.2">
      <c r="A58" s="155"/>
      <c r="B58" s="156"/>
      <c r="C58" s="21"/>
      <c r="D58" s="21"/>
      <c r="E58" s="21"/>
      <c r="F58" s="63"/>
      <c r="G58" s="146"/>
      <c r="H58" s="154"/>
      <c r="I58" s="148"/>
    </row>
    <row r="59" spans="1:9" x14ac:dyDescent="0.2">
      <c r="A59" s="157"/>
      <c r="B59" s="158"/>
      <c r="C59" s="49"/>
      <c r="D59" s="49"/>
      <c r="E59" s="49"/>
      <c r="F59" s="49"/>
      <c r="G59" s="159"/>
      <c r="H59" s="160"/>
      <c r="I59" s="148"/>
    </row>
    <row r="60" spans="1:9" x14ac:dyDescent="0.2">
      <c r="A60" s="161"/>
      <c r="B60" s="161"/>
      <c r="C60" s="161"/>
      <c r="D60" s="161"/>
      <c r="E60" s="161"/>
      <c r="F60" s="161"/>
      <c r="G60" s="161"/>
      <c r="H60" s="161"/>
    </row>
    <row r="61" spans="1:9" ht="12.75" customHeight="1" x14ac:dyDescent="0.2">
      <c r="A61" s="162" t="str">
        <f>+Innhold!$B$123</f>
        <v>Finans Norge / Skadestatistikk</v>
      </c>
      <c r="G61" s="163"/>
      <c r="H61" s="219">
        <v>21</v>
      </c>
    </row>
    <row r="62" spans="1:9" ht="12.75" customHeight="1" x14ac:dyDescent="0.2">
      <c r="A62" s="162" t="str">
        <f>+Innhold!$B$124</f>
        <v>Skadestatistikk for landbasert forsikring 1. kvartal 2019</v>
      </c>
      <c r="G62" s="163"/>
      <c r="H62" s="220"/>
    </row>
    <row r="67" ht="12.75" customHeight="1" x14ac:dyDescent="0.2"/>
    <row r="68" ht="12.75" customHeight="1" x14ac:dyDescent="0.2"/>
  </sheetData>
  <mergeCells count="6">
    <mergeCell ref="H61:H62"/>
    <mergeCell ref="G5:H5"/>
    <mergeCell ref="A7:A8"/>
    <mergeCell ref="C33:F33"/>
    <mergeCell ref="G33:H33"/>
    <mergeCell ref="A35:A36"/>
  </mergeCells>
  <hyperlinks>
    <hyperlink ref="A2" location="Innhold!A66" display="Tilbake til innholdsfortegnelsen" xr:uid="{00000000-0004-0000-10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68"/>
  <sheetViews>
    <sheetView showGridLines="0" showRowColHeaders="0" zoomScaleNormal="100" zoomScaleSheetLayoutView="70" workbookViewId="0"/>
  </sheetViews>
  <sheetFormatPr defaultColWidth="11.42578125" defaultRowHeight="12.75" x14ac:dyDescent="0.2"/>
  <cols>
    <col min="1" max="1" width="26.42578125" style="116" customWidth="1"/>
    <col min="2" max="2" width="8.140625" style="116" customWidth="1"/>
    <col min="3" max="4" width="10.42578125" style="116" customWidth="1"/>
    <col min="5" max="5" width="9.85546875" style="116" customWidth="1"/>
    <col min="6" max="6" width="1.5703125" style="116" customWidth="1"/>
    <col min="7" max="7" width="7.5703125" style="116" customWidth="1"/>
    <col min="8" max="8" width="8.85546875" style="116" customWidth="1"/>
    <col min="9" max="16384" width="11.42578125" style="116"/>
  </cols>
  <sheetData>
    <row r="1" spans="1:8" ht="5.25" customHeight="1" x14ac:dyDescent="0.2"/>
    <row r="2" spans="1:8" x14ac:dyDescent="0.2">
      <c r="A2" s="92" t="s">
        <v>0</v>
      </c>
      <c r="B2" s="117"/>
      <c r="C2" s="117"/>
      <c r="D2" s="117"/>
      <c r="E2" s="117"/>
      <c r="F2" s="117"/>
      <c r="G2" s="117"/>
    </row>
    <row r="3" spans="1:8" ht="6" customHeight="1" x14ac:dyDescent="0.2">
      <c r="A3" s="3"/>
      <c r="B3" s="117"/>
      <c r="C3" s="117"/>
      <c r="D3" s="117"/>
      <c r="E3" s="117"/>
      <c r="F3" s="117"/>
      <c r="G3" s="117"/>
    </row>
    <row r="4" spans="1:8" ht="16.5" thickBot="1" x14ac:dyDescent="0.3">
      <c r="A4" s="118" t="s">
        <v>216</v>
      </c>
      <c r="B4" s="119"/>
      <c r="C4" s="119"/>
      <c r="D4" s="119"/>
      <c r="E4" s="119"/>
      <c r="F4" s="119"/>
      <c r="G4" s="119"/>
      <c r="H4" s="120"/>
    </row>
    <row r="5" spans="1:8" x14ac:dyDescent="0.2">
      <c r="A5" s="121"/>
      <c r="B5" s="122"/>
      <c r="C5" s="123"/>
      <c r="D5" s="122"/>
      <c r="E5" s="124"/>
      <c r="F5" s="125"/>
      <c r="G5" s="221" t="s">
        <v>1</v>
      </c>
      <c r="H5" s="222"/>
    </row>
    <row r="6" spans="1:8" x14ac:dyDescent="0.2">
      <c r="A6" s="126"/>
      <c r="B6" s="127"/>
      <c r="C6" s="128" t="s">
        <v>234</v>
      </c>
      <c r="D6" s="129" t="s">
        <v>235</v>
      </c>
      <c r="E6" s="129" t="s">
        <v>236</v>
      </c>
      <c r="F6" s="130"/>
      <c r="G6" s="131" t="s">
        <v>237</v>
      </c>
      <c r="H6" s="132" t="s">
        <v>238</v>
      </c>
    </row>
    <row r="7" spans="1:8" ht="12.75" customHeight="1" x14ac:dyDescent="0.2">
      <c r="A7" s="223" t="s">
        <v>203</v>
      </c>
      <c r="B7" s="133" t="s">
        <v>3</v>
      </c>
      <c r="C7" s="20">
        <v>978</v>
      </c>
      <c r="D7" s="20">
        <v>1154</v>
      </c>
      <c r="E7" s="79">
        <v>1150.8860898138007</v>
      </c>
      <c r="F7" s="22" t="s">
        <v>239</v>
      </c>
      <c r="G7" s="134">
        <v>17.677514295889637</v>
      </c>
      <c r="H7" s="135">
        <v>-0.26983623797221412</v>
      </c>
    </row>
    <row r="8" spans="1:8" ht="12.75" customHeight="1" x14ac:dyDescent="0.2">
      <c r="A8" s="224"/>
      <c r="B8" s="136" t="s">
        <v>240</v>
      </c>
      <c r="C8" s="26">
        <v>264</v>
      </c>
      <c r="D8" s="26">
        <v>332</v>
      </c>
      <c r="E8" s="26">
        <v>324</v>
      </c>
      <c r="F8" s="27"/>
      <c r="G8" s="137">
        <v>22.727272727272734</v>
      </c>
      <c r="H8" s="138">
        <v>-2.409638554216869</v>
      </c>
    </row>
    <row r="9" spans="1:8" x14ac:dyDescent="0.2">
      <c r="A9" s="139" t="s">
        <v>204</v>
      </c>
      <c r="B9" s="140" t="s">
        <v>3</v>
      </c>
      <c r="C9" s="20">
        <v>355</v>
      </c>
      <c r="D9" s="20">
        <v>395</v>
      </c>
      <c r="E9" s="20">
        <v>416.81005735627582</v>
      </c>
      <c r="F9" s="22" t="s">
        <v>239</v>
      </c>
      <c r="G9" s="141">
        <v>17.411283762331209</v>
      </c>
      <c r="H9" s="142">
        <v>5.5215335079179368</v>
      </c>
    </row>
    <row r="10" spans="1:8" x14ac:dyDescent="0.2">
      <c r="A10" s="143"/>
      <c r="B10" s="136" t="s">
        <v>240</v>
      </c>
      <c r="C10" s="26">
        <v>98</v>
      </c>
      <c r="D10" s="26">
        <v>102</v>
      </c>
      <c r="E10" s="26">
        <v>110</v>
      </c>
      <c r="F10" s="27"/>
      <c r="G10" s="144">
        <v>12.24489795918366</v>
      </c>
      <c r="H10" s="138">
        <v>7.8431372549019613</v>
      </c>
    </row>
    <row r="11" spans="1:8" x14ac:dyDescent="0.2">
      <c r="A11" s="139" t="s">
        <v>205</v>
      </c>
      <c r="B11" s="140" t="s">
        <v>3</v>
      </c>
      <c r="C11" s="20">
        <v>98</v>
      </c>
      <c r="D11" s="20">
        <v>114</v>
      </c>
      <c r="E11" s="20">
        <v>145.16666666666666</v>
      </c>
      <c r="F11" s="22" t="s">
        <v>239</v>
      </c>
      <c r="G11" s="145">
        <v>48.129251700680243</v>
      </c>
      <c r="H11" s="142">
        <v>27.339181286549703</v>
      </c>
    </row>
    <row r="12" spans="1:8" x14ac:dyDescent="0.2">
      <c r="A12" s="143"/>
      <c r="B12" s="136" t="s">
        <v>240</v>
      </c>
      <c r="C12" s="26">
        <v>36</v>
      </c>
      <c r="D12" s="26">
        <v>27</v>
      </c>
      <c r="E12" s="26">
        <v>39</v>
      </c>
      <c r="F12" s="27"/>
      <c r="G12" s="137">
        <v>8.3333333333333286</v>
      </c>
      <c r="H12" s="138">
        <v>44.444444444444429</v>
      </c>
    </row>
    <row r="13" spans="1:8" x14ac:dyDescent="0.2">
      <c r="A13" s="139" t="s">
        <v>206</v>
      </c>
      <c r="B13" s="140" t="s">
        <v>3</v>
      </c>
      <c r="C13" s="20">
        <v>51</v>
      </c>
      <c r="D13" s="20">
        <v>74</v>
      </c>
      <c r="E13" s="20">
        <v>76.55396825396825</v>
      </c>
      <c r="F13" s="22" t="s">
        <v>239</v>
      </c>
      <c r="G13" s="134">
        <v>50.105820105820101</v>
      </c>
      <c r="H13" s="135">
        <v>3.4513084513084493</v>
      </c>
    </row>
    <row r="14" spans="1:8" x14ac:dyDescent="0.2">
      <c r="A14" s="143"/>
      <c r="B14" s="136" t="s">
        <v>240</v>
      </c>
      <c r="C14" s="26">
        <v>14</v>
      </c>
      <c r="D14" s="26">
        <v>15</v>
      </c>
      <c r="E14" s="26">
        <v>17</v>
      </c>
      <c r="F14" s="27"/>
      <c r="G14" s="146">
        <v>21.428571428571416</v>
      </c>
      <c r="H14" s="135">
        <v>13.333333333333329</v>
      </c>
    </row>
    <row r="15" spans="1:8" x14ac:dyDescent="0.2">
      <c r="A15" s="139" t="s">
        <v>207</v>
      </c>
      <c r="B15" s="140" t="s">
        <v>3</v>
      </c>
      <c r="C15" s="20">
        <v>4</v>
      </c>
      <c r="D15" s="20">
        <v>7</v>
      </c>
      <c r="E15" s="20">
        <v>2.2222222222222219</v>
      </c>
      <c r="F15" s="22" t="s">
        <v>239</v>
      </c>
      <c r="G15" s="145">
        <v>-44.44444444444445</v>
      </c>
      <c r="H15" s="142">
        <v>-68.253968253968253</v>
      </c>
    </row>
    <row r="16" spans="1:8" x14ac:dyDescent="0.2">
      <c r="A16" s="143"/>
      <c r="B16" s="136" t="s">
        <v>240</v>
      </c>
      <c r="C16" s="26">
        <v>2</v>
      </c>
      <c r="D16" s="26">
        <v>3</v>
      </c>
      <c r="E16" s="26">
        <v>1</v>
      </c>
      <c r="F16" s="27"/>
      <c r="G16" s="137">
        <v>-50</v>
      </c>
      <c r="H16" s="138">
        <v>-66.666666666666671</v>
      </c>
    </row>
    <row r="17" spans="1:9" x14ac:dyDescent="0.2">
      <c r="A17" s="139" t="s">
        <v>208</v>
      </c>
      <c r="B17" s="140" t="s">
        <v>3</v>
      </c>
      <c r="C17" s="20">
        <v>49</v>
      </c>
      <c r="D17" s="20">
        <v>46</v>
      </c>
      <c r="E17" s="20">
        <v>57.561111111111103</v>
      </c>
      <c r="F17" s="22" t="s">
        <v>239</v>
      </c>
      <c r="G17" s="145">
        <v>17.471655328798178</v>
      </c>
      <c r="H17" s="142">
        <v>25.132850241545881</v>
      </c>
    </row>
    <row r="18" spans="1:9" x14ac:dyDescent="0.2">
      <c r="A18" s="143"/>
      <c r="B18" s="136" t="s">
        <v>240</v>
      </c>
      <c r="C18" s="26">
        <v>12</v>
      </c>
      <c r="D18" s="26">
        <v>10</v>
      </c>
      <c r="E18" s="26">
        <v>13</v>
      </c>
      <c r="F18" s="27"/>
      <c r="G18" s="137">
        <v>8.3333333333333286</v>
      </c>
      <c r="H18" s="138">
        <v>30</v>
      </c>
    </row>
    <row r="19" spans="1:9" x14ac:dyDescent="0.2">
      <c r="A19" s="139" t="s">
        <v>209</v>
      </c>
      <c r="B19" s="140" t="s">
        <v>3</v>
      </c>
      <c r="C19" s="20">
        <v>441</v>
      </c>
      <c r="D19" s="20">
        <v>546</v>
      </c>
      <c r="E19" s="20">
        <v>502.88636363636363</v>
      </c>
      <c r="F19" s="22" t="s">
        <v>239</v>
      </c>
      <c r="G19" s="134">
        <v>14.033189033189046</v>
      </c>
      <c r="H19" s="135">
        <v>-7.8962703962703955</v>
      </c>
    </row>
    <row r="20" spans="1:9" ht="13.5" thickBot="1" x14ac:dyDescent="0.25">
      <c r="A20" s="149"/>
      <c r="B20" s="150" t="s">
        <v>240</v>
      </c>
      <c r="C20" s="43">
        <v>105</v>
      </c>
      <c r="D20" s="43">
        <v>176</v>
      </c>
      <c r="E20" s="43">
        <v>145</v>
      </c>
      <c r="F20" s="44"/>
      <c r="G20" s="151">
        <v>38.095238095238102</v>
      </c>
      <c r="H20" s="152">
        <v>-17.61363636363636</v>
      </c>
    </row>
    <row r="25" spans="1:9" x14ac:dyDescent="0.2">
      <c r="I25" s="148"/>
    </row>
    <row r="26" spans="1:9" x14ac:dyDescent="0.2">
      <c r="I26" s="148"/>
    </row>
    <row r="27" spans="1:9" x14ac:dyDescent="0.2">
      <c r="A27" s="153"/>
      <c r="B27" s="153"/>
      <c r="C27" s="64"/>
      <c r="D27" s="64"/>
      <c r="E27" s="21"/>
      <c r="F27" s="59"/>
      <c r="G27" s="146"/>
      <c r="H27" s="154"/>
      <c r="I27" s="148"/>
    </row>
    <row r="28" spans="1:9" x14ac:dyDescent="0.2">
      <c r="A28" s="153"/>
      <c r="B28" s="153"/>
      <c r="C28" s="64"/>
      <c r="D28" s="64"/>
      <c r="E28" s="21"/>
      <c r="F28" s="59"/>
      <c r="G28" s="146"/>
      <c r="H28" s="154"/>
      <c r="I28" s="148"/>
    </row>
    <row r="29" spans="1:9" x14ac:dyDescent="0.2">
      <c r="A29" s="153"/>
      <c r="B29" s="153"/>
      <c r="C29" s="64"/>
      <c r="D29" s="64"/>
      <c r="E29" s="21"/>
      <c r="F29" s="59"/>
      <c r="G29" s="146"/>
      <c r="H29" s="154"/>
      <c r="I29" s="148"/>
    </row>
    <row r="30" spans="1:9" x14ac:dyDescent="0.2">
      <c r="A30" s="155"/>
      <c r="B30" s="156"/>
      <c r="C30" s="21"/>
      <c r="D30" s="21"/>
      <c r="E30" s="21"/>
      <c r="F30" s="63"/>
      <c r="G30" s="146"/>
      <c r="H30" s="154"/>
      <c r="I30" s="148"/>
    </row>
    <row r="31" spans="1:9" x14ac:dyDescent="0.2">
      <c r="A31" s="157"/>
      <c r="B31" s="158"/>
      <c r="C31" s="49"/>
      <c r="D31" s="55"/>
      <c r="E31" s="49"/>
      <c r="F31" s="49"/>
      <c r="G31" s="159"/>
      <c r="H31" s="160"/>
      <c r="I31" s="148"/>
    </row>
    <row r="32" spans="1:9" ht="16.5" thickBot="1" x14ac:dyDescent="0.3">
      <c r="A32" s="118" t="s">
        <v>217</v>
      </c>
      <c r="B32" s="119"/>
      <c r="C32" s="119"/>
      <c r="D32" s="119"/>
      <c r="E32" s="119"/>
      <c r="F32" s="119"/>
      <c r="G32" s="119"/>
      <c r="H32" s="120"/>
    </row>
    <row r="33" spans="1:8" x14ac:dyDescent="0.2">
      <c r="A33" s="121"/>
      <c r="B33" s="122"/>
      <c r="C33" s="225" t="s">
        <v>16</v>
      </c>
      <c r="D33" s="221"/>
      <c r="E33" s="221"/>
      <c r="F33" s="226"/>
      <c r="G33" s="221" t="s">
        <v>1</v>
      </c>
      <c r="H33" s="222"/>
    </row>
    <row r="34" spans="1:8" x14ac:dyDescent="0.2">
      <c r="A34" s="126"/>
      <c r="B34" s="127"/>
      <c r="C34" s="128" t="s">
        <v>234</v>
      </c>
      <c r="D34" s="129" t="s">
        <v>235</v>
      </c>
      <c r="E34" s="129" t="s">
        <v>236</v>
      </c>
      <c r="F34" s="130"/>
      <c r="G34" s="131" t="s">
        <v>237</v>
      </c>
      <c r="H34" s="132" t="s">
        <v>238</v>
      </c>
    </row>
    <row r="35" spans="1:8" ht="12.75" customHeight="1" x14ac:dyDescent="0.2">
      <c r="A35" s="223" t="s">
        <v>203</v>
      </c>
      <c r="B35" s="133" t="s">
        <v>3</v>
      </c>
      <c r="C35" s="80">
        <v>415.12542028118122</v>
      </c>
      <c r="D35" s="80">
        <v>442.39533603703222</v>
      </c>
      <c r="E35" s="81">
        <v>351.74082733654603</v>
      </c>
      <c r="F35" s="22" t="s">
        <v>239</v>
      </c>
      <c r="G35" s="134">
        <v>-15.268781396644471</v>
      </c>
      <c r="H35" s="135">
        <v>-20.491741507170332</v>
      </c>
    </row>
    <row r="36" spans="1:8" ht="12.75" customHeight="1" x14ac:dyDescent="0.2">
      <c r="A36" s="224"/>
      <c r="B36" s="136" t="s">
        <v>240</v>
      </c>
      <c r="C36" s="82">
        <v>123.49532502480056</v>
      </c>
      <c r="D36" s="82">
        <v>172.87738500174584</v>
      </c>
      <c r="E36" s="82">
        <v>124.44408206001874</v>
      </c>
      <c r="F36" s="27"/>
      <c r="G36" s="137">
        <v>0.76825340151754062</v>
      </c>
      <c r="H36" s="138">
        <v>-28.015985399847395</v>
      </c>
    </row>
    <row r="37" spans="1:8" x14ac:dyDescent="0.2">
      <c r="A37" s="139" t="s">
        <v>204</v>
      </c>
      <c r="B37" s="140" t="s">
        <v>3</v>
      </c>
      <c r="C37" s="80">
        <v>207.30359711746152</v>
      </c>
      <c r="D37" s="80">
        <v>232.1911615007381</v>
      </c>
      <c r="E37" s="80">
        <v>180.07092920128454</v>
      </c>
      <c r="F37" s="22" t="s">
        <v>239</v>
      </c>
      <c r="G37" s="141">
        <v>-13.136611373292524</v>
      </c>
      <c r="H37" s="142">
        <v>-22.447121571114536</v>
      </c>
    </row>
    <row r="38" spans="1:8" x14ac:dyDescent="0.2">
      <c r="A38" s="143"/>
      <c r="B38" s="136" t="s">
        <v>240</v>
      </c>
      <c r="C38" s="82">
        <v>61.276833773888313</v>
      </c>
      <c r="D38" s="82">
        <v>82.994918080977669</v>
      </c>
      <c r="E38" s="82">
        <v>60.168202313610507</v>
      </c>
      <c r="F38" s="27"/>
      <c r="G38" s="144">
        <v>-1.8092179246216631</v>
      </c>
      <c r="H38" s="138">
        <v>-27.503751187627259</v>
      </c>
    </row>
    <row r="39" spans="1:8" x14ac:dyDescent="0.2">
      <c r="A39" s="139" t="s">
        <v>205</v>
      </c>
      <c r="B39" s="140" t="s">
        <v>3</v>
      </c>
      <c r="C39" s="80">
        <v>50.908147267800821</v>
      </c>
      <c r="D39" s="80">
        <v>61.2755973662955</v>
      </c>
      <c r="E39" s="80">
        <v>46.051617049987996</v>
      </c>
      <c r="F39" s="22" t="s">
        <v>239</v>
      </c>
      <c r="G39" s="145">
        <v>-9.5397897555870372</v>
      </c>
      <c r="H39" s="142">
        <v>-24.84509490017868</v>
      </c>
    </row>
    <row r="40" spans="1:8" x14ac:dyDescent="0.2">
      <c r="A40" s="143"/>
      <c r="B40" s="136" t="s">
        <v>240</v>
      </c>
      <c r="C40" s="82">
        <v>17.303543574216093</v>
      </c>
      <c r="D40" s="82">
        <v>22.703921560296791</v>
      </c>
      <c r="E40" s="82">
        <v>16.565601220203192</v>
      </c>
      <c r="F40" s="27"/>
      <c r="G40" s="137">
        <v>-4.2646891999191752</v>
      </c>
      <c r="H40" s="138">
        <v>-27.036388069750529</v>
      </c>
    </row>
    <row r="41" spans="1:8" x14ac:dyDescent="0.2">
      <c r="A41" s="139" t="s">
        <v>206</v>
      </c>
      <c r="B41" s="140" t="s">
        <v>3</v>
      </c>
      <c r="C41" s="80">
        <v>28.439677639682689</v>
      </c>
      <c r="D41" s="80">
        <v>32.595159562592258</v>
      </c>
      <c r="E41" s="80">
        <v>35.560105861890911</v>
      </c>
      <c r="F41" s="22" t="s">
        <v>239</v>
      </c>
      <c r="G41" s="134">
        <v>25.03695123559659</v>
      </c>
      <c r="H41" s="135">
        <v>9.0962779108508158</v>
      </c>
    </row>
    <row r="42" spans="1:8" x14ac:dyDescent="0.2">
      <c r="A42" s="143"/>
      <c r="B42" s="136" t="s">
        <v>240</v>
      </c>
      <c r="C42" s="82">
        <v>8.9423044717360387</v>
      </c>
      <c r="D42" s="82">
        <v>9.6326147601222072</v>
      </c>
      <c r="E42" s="82">
        <v>10.723775914201314</v>
      </c>
      <c r="F42" s="27"/>
      <c r="G42" s="146">
        <v>19.921838359406976</v>
      </c>
      <c r="H42" s="135">
        <v>11.327777361100061</v>
      </c>
    </row>
    <row r="43" spans="1:8" x14ac:dyDescent="0.2">
      <c r="A43" s="139" t="s">
        <v>207</v>
      </c>
      <c r="B43" s="140" t="s">
        <v>3</v>
      </c>
      <c r="C43" s="80">
        <v>2.426936662811813</v>
      </c>
      <c r="D43" s="80">
        <v>3.1888580803703235</v>
      </c>
      <c r="E43" s="80">
        <v>3.6561801169748311</v>
      </c>
      <c r="F43" s="22" t="s">
        <v>239</v>
      </c>
      <c r="G43" s="145">
        <v>50.650001419436933</v>
      </c>
      <c r="H43" s="142">
        <v>14.654839595440293</v>
      </c>
    </row>
    <row r="44" spans="1:8" x14ac:dyDescent="0.2">
      <c r="A44" s="143"/>
      <c r="B44" s="136" t="s">
        <v>240</v>
      </c>
      <c r="C44" s="82">
        <v>0.70350621024800553</v>
      </c>
      <c r="D44" s="82">
        <v>0.91523068001745833</v>
      </c>
      <c r="E44" s="82">
        <v>1.0528251306001877</v>
      </c>
      <c r="F44" s="27"/>
      <c r="G44" s="137">
        <v>49.653992425885974</v>
      </c>
      <c r="H44" s="138">
        <v>15.033854697714546</v>
      </c>
    </row>
    <row r="45" spans="1:8" x14ac:dyDescent="0.2">
      <c r="A45" s="139" t="s">
        <v>208</v>
      </c>
      <c r="B45" s="140" t="s">
        <v>3</v>
      </c>
      <c r="C45" s="80">
        <v>21.842891314059059</v>
      </c>
      <c r="D45" s="80">
        <v>21.25976840185162</v>
      </c>
      <c r="E45" s="80">
        <v>22.960614337469032</v>
      </c>
      <c r="F45" s="22" t="s">
        <v>239</v>
      </c>
      <c r="G45" s="145">
        <v>5.1171019776605959</v>
      </c>
      <c r="H45" s="142">
        <v>8.000303218116315</v>
      </c>
    </row>
    <row r="46" spans="1:8" x14ac:dyDescent="0.2">
      <c r="A46" s="143"/>
      <c r="B46" s="136" t="s">
        <v>240</v>
      </c>
      <c r="C46" s="82">
        <v>5.6225310512400277</v>
      </c>
      <c r="D46" s="82">
        <v>7.3031534000872922</v>
      </c>
      <c r="E46" s="82">
        <v>7.0961256530009376</v>
      </c>
      <c r="F46" s="27"/>
      <c r="G46" s="137">
        <v>26.208741015950721</v>
      </c>
      <c r="H46" s="138">
        <v>-2.8347719915602454</v>
      </c>
    </row>
    <row r="47" spans="1:8" x14ac:dyDescent="0.2">
      <c r="A47" s="139" t="s">
        <v>209</v>
      </c>
      <c r="B47" s="140" t="s">
        <v>3</v>
      </c>
      <c r="C47" s="80">
        <v>104.20417027936539</v>
      </c>
      <c r="D47" s="80">
        <v>91.884791125184506</v>
      </c>
      <c r="E47" s="80">
        <v>69.598210523934611</v>
      </c>
      <c r="F47" s="22" t="s">
        <v>239</v>
      </c>
      <c r="G47" s="134">
        <v>-33.209764698144213</v>
      </c>
      <c r="H47" s="135">
        <v>-24.254917846944323</v>
      </c>
    </row>
    <row r="48" spans="1:8" ht="13.5" thickBot="1" x14ac:dyDescent="0.25">
      <c r="A48" s="149"/>
      <c r="B48" s="150" t="s">
        <v>240</v>
      </c>
      <c r="C48" s="86">
        <v>29.646605943472075</v>
      </c>
      <c r="D48" s="86">
        <v>49.327546520244418</v>
      </c>
      <c r="E48" s="86">
        <v>28.837551828402624</v>
      </c>
      <c r="F48" s="44"/>
      <c r="G48" s="151">
        <v>-2.7289940595968858</v>
      </c>
      <c r="H48" s="152">
        <v>-41.538645518143781</v>
      </c>
    </row>
    <row r="53" spans="1:9" x14ac:dyDescent="0.2">
      <c r="I53" s="148"/>
    </row>
    <row r="54" spans="1:9" x14ac:dyDescent="0.2">
      <c r="I54" s="148"/>
    </row>
    <row r="55" spans="1:9" x14ac:dyDescent="0.2">
      <c r="A55" s="155"/>
      <c r="B55" s="156"/>
      <c r="C55" s="21"/>
      <c r="D55" s="21"/>
      <c r="E55" s="21"/>
      <c r="F55" s="63"/>
      <c r="G55" s="146"/>
      <c r="H55" s="154"/>
      <c r="I55" s="148"/>
    </row>
    <row r="56" spans="1:9" x14ac:dyDescent="0.2">
      <c r="A56" s="155"/>
      <c r="B56" s="156"/>
      <c r="C56" s="21"/>
      <c r="D56" s="21"/>
      <c r="E56" s="21"/>
      <c r="F56" s="63"/>
      <c r="G56" s="146"/>
      <c r="H56" s="154"/>
      <c r="I56" s="148"/>
    </row>
    <row r="57" spans="1:9" x14ac:dyDescent="0.2">
      <c r="A57" s="155"/>
      <c r="B57" s="156"/>
      <c r="C57" s="21"/>
      <c r="D57" s="21"/>
      <c r="E57" s="21"/>
      <c r="F57" s="63"/>
      <c r="G57" s="146"/>
      <c r="H57" s="154"/>
      <c r="I57" s="148"/>
    </row>
    <row r="58" spans="1:9" x14ac:dyDescent="0.2">
      <c r="A58" s="155"/>
      <c r="B58" s="156"/>
      <c r="C58" s="21"/>
      <c r="D58" s="21"/>
      <c r="E58" s="21"/>
      <c r="F58" s="63"/>
      <c r="G58" s="146"/>
      <c r="H58" s="154"/>
      <c r="I58" s="148"/>
    </row>
    <row r="59" spans="1:9" x14ac:dyDescent="0.2">
      <c r="A59" s="157"/>
      <c r="B59" s="158"/>
      <c r="C59" s="49"/>
      <c r="D59" s="49"/>
      <c r="E59" s="49"/>
      <c r="F59" s="49"/>
      <c r="G59" s="159"/>
      <c r="H59" s="160"/>
      <c r="I59" s="148"/>
    </row>
    <row r="60" spans="1:9" x14ac:dyDescent="0.2">
      <c r="A60" s="161"/>
      <c r="B60" s="161"/>
      <c r="C60" s="161"/>
      <c r="D60" s="161"/>
      <c r="E60" s="161"/>
      <c r="F60" s="161"/>
      <c r="G60" s="161"/>
      <c r="H60" s="161"/>
    </row>
    <row r="61" spans="1:9" ht="12.75" customHeight="1" x14ac:dyDescent="0.2">
      <c r="A61" s="162" t="str">
        <f>+Innhold!$B$123</f>
        <v>Finans Norge / Skadestatistikk</v>
      </c>
      <c r="G61" s="163"/>
      <c r="H61" s="219">
        <v>22</v>
      </c>
    </row>
    <row r="62" spans="1:9" ht="12.75" customHeight="1" x14ac:dyDescent="0.2">
      <c r="A62" s="162" t="str">
        <f>+Innhold!$B$124</f>
        <v>Skadestatistikk for landbasert forsikring 1. kvartal 2019</v>
      </c>
      <c r="G62" s="163"/>
      <c r="H62" s="220"/>
    </row>
    <row r="67" ht="12.75" customHeight="1" x14ac:dyDescent="0.2"/>
    <row r="68" ht="12.75" customHeight="1" x14ac:dyDescent="0.2"/>
  </sheetData>
  <mergeCells count="6">
    <mergeCell ref="H61:H62"/>
    <mergeCell ref="G5:H5"/>
    <mergeCell ref="A7:A8"/>
    <mergeCell ref="C33:F33"/>
    <mergeCell ref="G33:H33"/>
    <mergeCell ref="A35:A36"/>
  </mergeCells>
  <hyperlinks>
    <hyperlink ref="A2" location="Innhold!A68" display="Tilbake til innholdsfortegnelsen" xr:uid="{00000000-0004-0000-11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68"/>
  <sheetViews>
    <sheetView showGridLines="0" showRowColHeaders="0" zoomScaleNormal="100" zoomScaleSheetLayoutView="70" workbookViewId="0"/>
  </sheetViews>
  <sheetFormatPr defaultColWidth="11.42578125" defaultRowHeight="12.75" x14ac:dyDescent="0.2"/>
  <cols>
    <col min="1" max="1" width="26.42578125" style="116" customWidth="1"/>
    <col min="2" max="2" width="8.140625" style="116" customWidth="1"/>
    <col min="3" max="4" width="10.42578125" style="116" customWidth="1"/>
    <col min="5" max="5" width="9.85546875" style="116" customWidth="1"/>
    <col min="6" max="6" width="1.5703125" style="116" customWidth="1"/>
    <col min="7" max="7" width="7.5703125" style="116" customWidth="1"/>
    <col min="8" max="8" width="8.85546875" style="116" customWidth="1"/>
    <col min="9" max="16384" width="11.42578125" style="116"/>
  </cols>
  <sheetData>
    <row r="1" spans="1:8" ht="5.25" customHeight="1" x14ac:dyDescent="0.2"/>
    <row r="2" spans="1:8" x14ac:dyDescent="0.2">
      <c r="A2" s="92" t="s">
        <v>0</v>
      </c>
      <c r="B2" s="117"/>
      <c r="C2" s="117"/>
      <c r="D2" s="117"/>
      <c r="E2" s="117"/>
      <c r="F2" s="117"/>
      <c r="G2" s="117"/>
    </row>
    <row r="3" spans="1:8" ht="6" customHeight="1" x14ac:dyDescent="0.2">
      <c r="A3" s="3"/>
      <c r="B3" s="117"/>
      <c r="C3" s="117"/>
      <c r="D3" s="117"/>
      <c r="E3" s="117"/>
      <c r="F3" s="117"/>
      <c r="G3" s="117"/>
    </row>
    <row r="4" spans="1:8" ht="16.5" thickBot="1" x14ac:dyDescent="0.3">
      <c r="A4" s="118" t="s">
        <v>218</v>
      </c>
      <c r="B4" s="119"/>
      <c r="C4" s="119"/>
      <c r="D4" s="119"/>
      <c r="E4" s="119"/>
      <c r="F4" s="119"/>
      <c r="G4" s="119"/>
      <c r="H4" s="120"/>
    </row>
    <row r="5" spans="1:8" x14ac:dyDescent="0.2">
      <c r="A5" s="121"/>
      <c r="B5" s="122"/>
      <c r="C5" s="123"/>
      <c r="D5" s="122"/>
      <c r="E5" s="124"/>
      <c r="F5" s="125"/>
      <c r="G5" s="221" t="s">
        <v>1</v>
      </c>
      <c r="H5" s="222"/>
    </row>
    <row r="6" spans="1:8" x14ac:dyDescent="0.2">
      <c r="A6" s="126"/>
      <c r="B6" s="127"/>
      <c r="C6" s="128" t="s">
        <v>234</v>
      </c>
      <c r="D6" s="129" t="s">
        <v>235</v>
      </c>
      <c r="E6" s="129" t="s">
        <v>236</v>
      </c>
      <c r="F6" s="130"/>
      <c r="G6" s="131" t="s">
        <v>237</v>
      </c>
      <c r="H6" s="132" t="s">
        <v>238</v>
      </c>
    </row>
    <row r="7" spans="1:8" ht="12.75" customHeight="1" x14ac:dyDescent="0.2">
      <c r="A7" s="223" t="s">
        <v>210</v>
      </c>
      <c r="B7" s="133" t="s">
        <v>3</v>
      </c>
      <c r="C7" s="20">
        <v>269991.33667365054</v>
      </c>
      <c r="D7" s="20">
        <v>281786.98794041621</v>
      </c>
      <c r="E7" s="79">
        <v>361556.37330736325</v>
      </c>
      <c r="F7" s="22" t="s">
        <v>239</v>
      </c>
      <c r="G7" s="134">
        <v>33.914064711043324</v>
      </c>
      <c r="H7" s="135">
        <v>28.308399174135843</v>
      </c>
    </row>
    <row r="8" spans="1:8" ht="12.75" customHeight="1" x14ac:dyDescent="0.2">
      <c r="A8" s="224"/>
      <c r="B8" s="136" t="s">
        <v>240</v>
      </c>
      <c r="C8" s="26">
        <v>51927.7048998803</v>
      </c>
      <c r="D8" s="26">
        <v>44836.882464880895</v>
      </c>
      <c r="E8" s="26">
        <v>61043.472000000002</v>
      </c>
      <c r="F8" s="27"/>
      <c r="G8" s="137">
        <v>17.554727515293507</v>
      </c>
      <c r="H8" s="138">
        <v>36.145665452572757</v>
      </c>
    </row>
    <row r="9" spans="1:8" x14ac:dyDescent="0.2">
      <c r="A9" s="139" t="s">
        <v>229</v>
      </c>
      <c r="B9" s="140" t="s">
        <v>3</v>
      </c>
      <c r="C9" s="20">
        <v>11637.129718670916</v>
      </c>
      <c r="D9" s="20">
        <v>11206.538595687682</v>
      </c>
      <c r="E9" s="20">
        <v>16406.86617789077</v>
      </c>
      <c r="F9" s="22" t="s">
        <v>239</v>
      </c>
      <c r="G9" s="141">
        <v>40.987224294382173</v>
      </c>
      <c r="H9" s="142">
        <v>46.404405230034115</v>
      </c>
    </row>
    <row r="10" spans="1:8" x14ac:dyDescent="0.2">
      <c r="A10" s="143"/>
      <c r="B10" s="136" t="s">
        <v>240</v>
      </c>
      <c r="C10" s="26">
        <v>2618.0731648252167</v>
      </c>
      <c r="D10" s="26">
        <v>2408.947631426176</v>
      </c>
      <c r="E10" s="26">
        <v>3579.9360000000001</v>
      </c>
      <c r="F10" s="27"/>
      <c r="G10" s="144">
        <v>36.739341287240052</v>
      </c>
      <c r="H10" s="138">
        <v>48.609955372112466</v>
      </c>
    </row>
    <row r="11" spans="1:8" x14ac:dyDescent="0.2">
      <c r="A11" s="139" t="s">
        <v>233</v>
      </c>
      <c r="B11" s="140" t="s">
        <v>3</v>
      </c>
      <c r="C11" s="20">
        <v>152231.31228188321</v>
      </c>
      <c r="D11" s="20">
        <v>165152.23248157973</v>
      </c>
      <c r="E11" s="20">
        <v>202093.02839073938</v>
      </c>
      <c r="F11" s="22" t="s">
        <v>239</v>
      </c>
      <c r="G11" s="145">
        <v>32.753915972640613</v>
      </c>
      <c r="H11" s="142">
        <v>22.367724222728768</v>
      </c>
    </row>
    <row r="12" spans="1:8" x14ac:dyDescent="0.2">
      <c r="A12" s="143"/>
      <c r="B12" s="136" t="s">
        <v>240</v>
      </c>
      <c r="C12" s="26">
        <v>25958.603955385446</v>
      </c>
      <c r="D12" s="26">
        <v>22313.889160249841</v>
      </c>
      <c r="E12" s="26">
        <v>29335.572800000002</v>
      </c>
      <c r="F12" s="27"/>
      <c r="G12" s="137">
        <v>13.009054147975334</v>
      </c>
      <c r="H12" s="138">
        <v>31.467771437435715</v>
      </c>
    </row>
    <row r="13" spans="1:8" x14ac:dyDescent="0.2">
      <c r="A13" s="139" t="s">
        <v>211</v>
      </c>
      <c r="B13" s="140" t="s">
        <v>3</v>
      </c>
      <c r="C13" s="20">
        <v>101479.15804518112</v>
      </c>
      <c r="D13" s="20">
        <v>102402.04104909507</v>
      </c>
      <c r="E13" s="20">
        <v>139556.75950429204</v>
      </c>
      <c r="F13" s="22" t="s">
        <v>239</v>
      </c>
      <c r="G13" s="134">
        <v>37.522583151663326</v>
      </c>
      <c r="H13" s="135">
        <v>36.283181540672331</v>
      </c>
    </row>
    <row r="14" spans="1:8" x14ac:dyDescent="0.2">
      <c r="A14" s="143"/>
      <c r="B14" s="136" t="s">
        <v>240</v>
      </c>
      <c r="C14" s="26">
        <v>22539.863626841769</v>
      </c>
      <c r="D14" s="26">
        <v>19933.291923170651</v>
      </c>
      <c r="E14" s="26">
        <v>28333.1728</v>
      </c>
      <c r="F14" s="27"/>
      <c r="G14" s="146">
        <v>25.70250321416863</v>
      </c>
      <c r="H14" s="135">
        <v>42.139958162481179</v>
      </c>
    </row>
    <row r="15" spans="1:8" x14ac:dyDescent="0.2">
      <c r="A15" s="139" t="s">
        <v>212</v>
      </c>
      <c r="B15" s="140" t="s">
        <v>3</v>
      </c>
      <c r="C15" s="20">
        <v>6395</v>
      </c>
      <c r="D15" s="20">
        <v>9250</v>
      </c>
      <c r="E15" s="20">
        <v>19630.824426282255</v>
      </c>
      <c r="F15" s="22" t="s">
        <v>239</v>
      </c>
      <c r="G15" s="145">
        <v>206.97145310840119</v>
      </c>
      <c r="H15" s="142">
        <v>112.22512893278113</v>
      </c>
    </row>
    <row r="16" spans="1:8" x14ac:dyDescent="0.2">
      <c r="A16" s="143"/>
      <c r="B16" s="136" t="s">
        <v>240</v>
      </c>
      <c r="C16" s="26">
        <v>1108</v>
      </c>
      <c r="D16" s="26">
        <v>1297</v>
      </c>
      <c r="E16" s="26">
        <v>2939.4288000000001</v>
      </c>
      <c r="F16" s="27"/>
      <c r="G16" s="137">
        <v>165.29140794223827</v>
      </c>
      <c r="H16" s="138">
        <v>126.63290670778719</v>
      </c>
    </row>
    <row r="17" spans="1:9" x14ac:dyDescent="0.2">
      <c r="A17" s="139" t="s">
        <v>213</v>
      </c>
      <c r="B17" s="140" t="s">
        <v>3</v>
      </c>
      <c r="C17" s="20">
        <v>15147.73662791529</v>
      </c>
      <c r="D17" s="20">
        <v>10383.175814053724</v>
      </c>
      <c r="E17" s="20">
        <v>18284.953299717923</v>
      </c>
      <c r="F17" s="22" t="s">
        <v>239</v>
      </c>
      <c r="G17" s="134">
        <v>20.710794944910475</v>
      </c>
      <c r="H17" s="135">
        <v>76.101740230277812</v>
      </c>
    </row>
    <row r="18" spans="1:9" ht="13.5" thickBot="1" x14ac:dyDescent="0.25">
      <c r="A18" s="149"/>
      <c r="B18" s="150" t="s">
        <v>240</v>
      </c>
      <c r="C18" s="43">
        <v>3013.1641528278669</v>
      </c>
      <c r="D18" s="43">
        <v>1756.753750034228</v>
      </c>
      <c r="E18" s="43">
        <v>3255.8576000000003</v>
      </c>
      <c r="F18" s="44"/>
      <c r="G18" s="151">
        <v>8.0544382868873612</v>
      </c>
      <c r="H18" s="152">
        <v>85.333749817614688</v>
      </c>
    </row>
    <row r="25" spans="1:9" x14ac:dyDescent="0.2">
      <c r="I25" s="148"/>
    </row>
    <row r="26" spans="1:9" x14ac:dyDescent="0.2">
      <c r="I26" s="148"/>
    </row>
    <row r="27" spans="1:9" x14ac:dyDescent="0.2">
      <c r="A27" s="153"/>
      <c r="B27" s="153"/>
      <c r="C27" s="64"/>
      <c r="D27" s="64"/>
      <c r="E27" s="21"/>
      <c r="F27" s="59"/>
      <c r="G27" s="146"/>
      <c r="H27" s="154"/>
      <c r="I27" s="148"/>
    </row>
    <row r="28" spans="1:9" x14ac:dyDescent="0.2">
      <c r="A28" s="153"/>
      <c r="B28" s="153"/>
      <c r="C28" s="64"/>
      <c r="D28" s="64"/>
      <c r="E28" s="21"/>
      <c r="F28" s="59"/>
      <c r="G28" s="146"/>
      <c r="H28" s="154"/>
      <c r="I28" s="148"/>
    </row>
    <row r="29" spans="1:9" x14ac:dyDescent="0.2">
      <c r="A29" s="153"/>
      <c r="B29" s="153"/>
      <c r="C29" s="64"/>
      <c r="D29" s="64"/>
      <c r="E29" s="21"/>
      <c r="F29" s="59"/>
      <c r="G29" s="146"/>
      <c r="H29" s="154"/>
      <c r="I29" s="148"/>
    </row>
    <row r="30" spans="1:9" x14ac:dyDescent="0.2">
      <c r="A30" s="155"/>
      <c r="B30" s="156"/>
      <c r="C30" s="21"/>
      <c r="D30" s="21"/>
      <c r="E30" s="21"/>
      <c r="F30" s="63"/>
      <c r="G30" s="146"/>
      <c r="H30" s="154"/>
      <c r="I30" s="148"/>
    </row>
    <row r="31" spans="1:9" x14ac:dyDescent="0.2">
      <c r="A31" s="157"/>
      <c r="B31" s="158"/>
      <c r="C31" s="49"/>
      <c r="D31" s="55"/>
      <c r="E31" s="49"/>
      <c r="F31" s="49"/>
      <c r="G31" s="159"/>
      <c r="H31" s="160"/>
      <c r="I31" s="148"/>
    </row>
    <row r="32" spans="1:9" ht="16.5" thickBot="1" x14ac:dyDescent="0.3">
      <c r="A32" s="118" t="s">
        <v>219</v>
      </c>
      <c r="B32" s="119"/>
      <c r="C32" s="119"/>
      <c r="D32" s="119"/>
      <c r="E32" s="119"/>
      <c r="F32" s="119"/>
      <c r="G32" s="119"/>
      <c r="H32" s="120"/>
    </row>
    <row r="33" spans="1:8" x14ac:dyDescent="0.2">
      <c r="A33" s="121"/>
      <c r="B33" s="122"/>
      <c r="C33" s="225" t="s">
        <v>16</v>
      </c>
      <c r="D33" s="221"/>
      <c r="E33" s="221"/>
      <c r="F33" s="226"/>
      <c r="G33" s="221" t="s">
        <v>1</v>
      </c>
      <c r="H33" s="222"/>
    </row>
    <row r="34" spans="1:8" x14ac:dyDescent="0.2">
      <c r="A34" s="126"/>
      <c r="B34" s="127"/>
      <c r="C34" s="128" t="s">
        <v>234</v>
      </c>
      <c r="D34" s="129" t="s">
        <v>235</v>
      </c>
      <c r="E34" s="129" t="s">
        <v>236</v>
      </c>
      <c r="F34" s="130"/>
      <c r="G34" s="131" t="s">
        <v>237</v>
      </c>
      <c r="H34" s="132" t="s">
        <v>238</v>
      </c>
    </row>
    <row r="35" spans="1:8" ht="12.75" customHeight="1" x14ac:dyDescent="0.2">
      <c r="A35" s="223" t="s">
        <v>210</v>
      </c>
      <c r="B35" s="133" t="s">
        <v>3</v>
      </c>
      <c r="C35" s="80">
        <v>982.35582708179106</v>
      </c>
      <c r="D35" s="80">
        <v>1097.9182333987903</v>
      </c>
      <c r="E35" s="81">
        <v>1657.0202792012101</v>
      </c>
      <c r="F35" s="22" t="s">
        <v>239</v>
      </c>
      <c r="G35" s="134">
        <v>68.678215522331953</v>
      </c>
      <c r="H35" s="135">
        <v>50.923832831487402</v>
      </c>
    </row>
    <row r="36" spans="1:8" ht="12.75" customHeight="1" x14ac:dyDescent="0.2">
      <c r="A36" s="224"/>
      <c r="B36" s="136" t="s">
        <v>240</v>
      </c>
      <c r="C36" s="82">
        <v>265.20879792323075</v>
      </c>
      <c r="D36" s="82">
        <v>235.30161855054615</v>
      </c>
      <c r="E36" s="82">
        <v>381.33060114785962</v>
      </c>
      <c r="F36" s="27"/>
      <c r="G36" s="137">
        <v>43.785049415382645</v>
      </c>
      <c r="H36" s="138">
        <v>62.060339192245863</v>
      </c>
    </row>
    <row r="37" spans="1:8" x14ac:dyDescent="0.2">
      <c r="A37" s="139" t="s">
        <v>229</v>
      </c>
      <c r="B37" s="140" t="s">
        <v>3</v>
      </c>
      <c r="C37" s="80">
        <v>317.98876156719399</v>
      </c>
      <c r="D37" s="80">
        <v>326.23983367946346</v>
      </c>
      <c r="E37" s="80">
        <v>452.80579392297085</v>
      </c>
      <c r="F37" s="22" t="s">
        <v>239</v>
      </c>
      <c r="G37" s="141">
        <v>42.396791537957796</v>
      </c>
      <c r="H37" s="142">
        <v>38.795372967195874</v>
      </c>
    </row>
    <row r="38" spans="1:8" x14ac:dyDescent="0.2">
      <c r="A38" s="143"/>
      <c r="B38" s="136" t="s">
        <v>240</v>
      </c>
      <c r="C38" s="82">
        <v>85.944661627085807</v>
      </c>
      <c r="D38" s="82">
        <v>71.641493094612471</v>
      </c>
      <c r="E38" s="82">
        <v>106.06428469707227</v>
      </c>
      <c r="F38" s="27"/>
      <c r="G38" s="144">
        <v>23.409974149744841</v>
      </c>
      <c r="H38" s="138">
        <v>48.048679774163503</v>
      </c>
    </row>
    <row r="39" spans="1:8" x14ac:dyDescent="0.2">
      <c r="A39" s="139" t="s">
        <v>233</v>
      </c>
      <c r="B39" s="140" t="s">
        <v>3</v>
      </c>
      <c r="C39" s="80">
        <v>227.19536181345049</v>
      </c>
      <c r="D39" s="80">
        <v>256.23559530104421</v>
      </c>
      <c r="E39" s="80">
        <v>380.36636538355475</v>
      </c>
      <c r="F39" s="22" t="s">
        <v>239</v>
      </c>
      <c r="G39" s="145">
        <v>67.41819126390115</v>
      </c>
      <c r="H39" s="142">
        <v>48.443999334547073</v>
      </c>
    </row>
    <row r="40" spans="1:8" x14ac:dyDescent="0.2">
      <c r="A40" s="143"/>
      <c r="B40" s="136" t="s">
        <v>240</v>
      </c>
      <c r="C40" s="82">
        <v>65.229431492432241</v>
      </c>
      <c r="D40" s="82">
        <v>57.028485108391664</v>
      </c>
      <c r="E40" s="82">
        <v>91.51304196696492</v>
      </c>
      <c r="F40" s="27"/>
      <c r="G40" s="137">
        <v>40.294097117161044</v>
      </c>
      <c r="H40" s="138">
        <v>60.469003854880413</v>
      </c>
    </row>
    <row r="41" spans="1:8" x14ac:dyDescent="0.2">
      <c r="A41" s="139" t="s">
        <v>211</v>
      </c>
      <c r="B41" s="140" t="s">
        <v>3</v>
      </c>
      <c r="C41" s="80">
        <v>283.77362038047022</v>
      </c>
      <c r="D41" s="80">
        <v>345.55780100399943</v>
      </c>
      <c r="E41" s="80">
        <v>509.94712881903905</v>
      </c>
      <c r="F41" s="22" t="s">
        <v>239</v>
      </c>
      <c r="G41" s="134">
        <v>79.702090749424173</v>
      </c>
      <c r="H41" s="135">
        <v>47.57216515946547</v>
      </c>
    </row>
    <row r="42" spans="1:8" x14ac:dyDescent="0.2">
      <c r="A42" s="143"/>
      <c r="B42" s="136" t="s">
        <v>240</v>
      </c>
      <c r="C42" s="82">
        <v>81.505705300099862</v>
      </c>
      <c r="D42" s="82">
        <v>76.475962252428502</v>
      </c>
      <c r="E42" s="82">
        <v>122.20476957703649</v>
      </c>
      <c r="F42" s="27"/>
      <c r="G42" s="146">
        <v>49.934006615959873</v>
      </c>
      <c r="H42" s="135">
        <v>59.795007447789061</v>
      </c>
    </row>
    <row r="43" spans="1:8" x14ac:dyDescent="0.2">
      <c r="A43" s="139" t="s">
        <v>212</v>
      </c>
      <c r="B43" s="140" t="s">
        <v>3</v>
      </c>
      <c r="C43" s="80">
        <v>31.958343427435821</v>
      </c>
      <c r="D43" s="80">
        <v>50.626081812198294</v>
      </c>
      <c r="E43" s="80">
        <v>94.638873541110428</v>
      </c>
      <c r="F43" s="22" t="s">
        <v>239</v>
      </c>
      <c r="G43" s="145">
        <v>196.13197491289299</v>
      </c>
      <c r="H43" s="142">
        <v>86.936990091750118</v>
      </c>
    </row>
    <row r="44" spans="1:8" x14ac:dyDescent="0.2">
      <c r="A44" s="143"/>
      <c r="B44" s="136" t="s">
        <v>240</v>
      </c>
      <c r="C44" s="82">
        <v>8.8378571474646144</v>
      </c>
      <c r="D44" s="82">
        <v>10.330940893410924</v>
      </c>
      <c r="E44" s="82">
        <v>21.161057073357192</v>
      </c>
      <c r="F44" s="27"/>
      <c r="G44" s="137">
        <v>139.43651408110657</v>
      </c>
      <c r="H44" s="138">
        <v>104.83184727979341</v>
      </c>
    </row>
    <row r="45" spans="1:8" x14ac:dyDescent="0.2">
      <c r="A45" s="139" t="s">
        <v>213</v>
      </c>
      <c r="B45" s="140" t="s">
        <v>3</v>
      </c>
      <c r="C45" s="80">
        <v>121.43973989324058</v>
      </c>
      <c r="D45" s="80">
        <v>119.25892160208492</v>
      </c>
      <c r="E45" s="80">
        <v>230.97958059236464</v>
      </c>
      <c r="F45" s="22" t="s">
        <v>239</v>
      </c>
      <c r="G45" s="134">
        <v>90.200984286875183</v>
      </c>
      <c r="H45" s="135">
        <v>93.679078671399452</v>
      </c>
    </row>
    <row r="46" spans="1:8" ht="13.5" thickBot="1" x14ac:dyDescent="0.25">
      <c r="A46" s="149"/>
      <c r="B46" s="150" t="s">
        <v>240</v>
      </c>
      <c r="C46" s="86">
        <v>23.691142356148227</v>
      </c>
      <c r="D46" s="86">
        <v>19.824737201702561</v>
      </c>
      <c r="E46" s="86">
        <v>40.387447833428766</v>
      </c>
      <c r="F46" s="44"/>
      <c r="G46" s="151">
        <v>70.474885618791546</v>
      </c>
      <c r="H46" s="152">
        <v>103.72248783181988</v>
      </c>
    </row>
    <row r="53" spans="1:9" x14ac:dyDescent="0.2">
      <c r="I53" s="148"/>
    </row>
    <row r="54" spans="1:9" x14ac:dyDescent="0.2">
      <c r="I54" s="148"/>
    </row>
    <row r="55" spans="1:9" x14ac:dyDescent="0.2">
      <c r="A55" s="155"/>
      <c r="B55" s="156"/>
      <c r="C55" s="21"/>
      <c r="D55" s="21"/>
      <c r="E55" s="21"/>
      <c r="F55" s="63"/>
      <c r="G55" s="146"/>
      <c r="H55" s="154"/>
      <c r="I55" s="148"/>
    </row>
    <row r="56" spans="1:9" x14ac:dyDescent="0.2">
      <c r="A56" s="155"/>
      <c r="B56" s="156"/>
      <c r="C56" s="21"/>
      <c r="D56" s="21"/>
      <c r="E56" s="21"/>
      <c r="F56" s="63"/>
      <c r="G56" s="146"/>
      <c r="H56" s="154"/>
      <c r="I56" s="148"/>
    </row>
    <row r="57" spans="1:9" x14ac:dyDescent="0.2">
      <c r="A57" s="155"/>
      <c r="B57" s="156"/>
      <c r="C57" s="21"/>
      <c r="D57" s="21"/>
      <c r="E57" s="21"/>
      <c r="F57" s="63"/>
      <c r="G57" s="146"/>
      <c r="H57" s="154"/>
      <c r="I57" s="148"/>
    </row>
    <row r="58" spans="1:9" x14ac:dyDescent="0.2">
      <c r="A58" s="155"/>
      <c r="B58" s="156"/>
      <c r="C58" s="21"/>
      <c r="D58" s="21"/>
      <c r="E58" s="21"/>
      <c r="F58" s="63"/>
      <c r="G58" s="146"/>
      <c r="H58" s="154"/>
      <c r="I58" s="148"/>
    </row>
    <row r="59" spans="1:9" x14ac:dyDescent="0.2">
      <c r="A59" s="157"/>
      <c r="B59" s="158"/>
      <c r="C59" s="49"/>
      <c r="D59" s="49"/>
      <c r="E59" s="49"/>
      <c r="F59" s="49"/>
      <c r="G59" s="159"/>
      <c r="H59" s="160"/>
      <c r="I59" s="148"/>
    </row>
    <row r="60" spans="1:9" x14ac:dyDescent="0.2">
      <c r="A60" s="161"/>
      <c r="B60" s="161"/>
      <c r="C60" s="161"/>
      <c r="D60" s="161"/>
      <c r="E60" s="161"/>
      <c r="F60" s="161"/>
      <c r="G60" s="161"/>
      <c r="H60" s="161"/>
    </row>
    <row r="61" spans="1:9" ht="12.75" customHeight="1" x14ac:dyDescent="0.2">
      <c r="A61" s="162" t="str">
        <f>+Innhold!$B$123</f>
        <v>Finans Norge / Skadestatistikk</v>
      </c>
      <c r="G61" s="163"/>
      <c r="H61" s="219">
        <v>23</v>
      </c>
    </row>
    <row r="62" spans="1:9" ht="12.75" customHeight="1" x14ac:dyDescent="0.2">
      <c r="A62" s="162" t="str">
        <f>+Innhold!$B$124</f>
        <v>Skadestatistikk for landbasert forsikring 1. kvartal 2019</v>
      </c>
      <c r="G62" s="163"/>
      <c r="H62" s="220"/>
    </row>
    <row r="67" ht="12.75" customHeight="1" x14ac:dyDescent="0.2"/>
    <row r="68" ht="12.75" customHeight="1" x14ac:dyDescent="0.2"/>
  </sheetData>
  <mergeCells count="6">
    <mergeCell ref="H61:H62"/>
    <mergeCell ref="G5:H5"/>
    <mergeCell ref="A7:A8"/>
    <mergeCell ref="C33:F33"/>
    <mergeCell ref="G33:H33"/>
    <mergeCell ref="A35:A36"/>
  </mergeCells>
  <hyperlinks>
    <hyperlink ref="A2" location="Innhold!A70" display="Tilbake til innholdsfortegnelsen" xr:uid="{00000000-0004-0000-12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163"/>
  <sheetViews>
    <sheetView showGridLines="0" showRowColHeaders="0" zoomScaleNormal="100" zoomScaleSheetLayoutView="70" workbookViewId="0"/>
  </sheetViews>
  <sheetFormatPr defaultColWidth="11.42578125" defaultRowHeight="12.75" customHeight="1" x14ac:dyDescent="0.2"/>
  <cols>
    <col min="1" max="1" width="11.42578125" style="89" customWidth="1"/>
    <col min="2" max="2" width="27.140625" style="1" customWidth="1"/>
    <col min="3" max="5" width="10.5703125" style="1" customWidth="1"/>
    <col min="6" max="8" width="7.5703125" style="1" customWidth="1"/>
    <col min="9" max="16384" width="11.42578125" style="1"/>
  </cols>
  <sheetData>
    <row r="2" spans="1:8" ht="12.75" customHeight="1" x14ac:dyDescent="0.2">
      <c r="B2" s="2"/>
      <c r="C2" s="2"/>
      <c r="D2" s="2"/>
      <c r="E2" s="2"/>
      <c r="F2" s="2"/>
      <c r="G2" s="2"/>
    </row>
    <row r="3" spans="1:8" ht="12.75" customHeight="1" x14ac:dyDescent="0.2">
      <c r="A3" s="90"/>
      <c r="B3" s="2"/>
      <c r="C3" s="2"/>
      <c r="D3" s="2"/>
      <c r="E3" s="2"/>
      <c r="F3" s="2"/>
      <c r="G3" s="2"/>
    </row>
    <row r="4" spans="1:8" ht="12.75" customHeight="1" x14ac:dyDescent="0.25">
      <c r="A4" s="90"/>
      <c r="C4" s="74"/>
      <c r="D4" s="74" t="s">
        <v>88</v>
      </c>
      <c r="E4" s="74"/>
      <c r="F4" s="74"/>
      <c r="G4" s="74"/>
      <c r="H4" s="74"/>
    </row>
    <row r="5" spans="1:8" ht="12.75" customHeight="1" x14ac:dyDescent="0.25">
      <c r="A5" s="90"/>
      <c r="B5" s="75"/>
      <c r="C5" s="74"/>
      <c r="D5" s="74"/>
      <c r="E5" s="74"/>
      <c r="F5" s="74"/>
      <c r="G5" s="74"/>
      <c r="H5" s="74"/>
    </row>
    <row r="6" spans="1:8" ht="12.75" customHeight="1" x14ac:dyDescent="0.25">
      <c r="A6" s="90"/>
      <c r="B6" s="73"/>
      <c r="C6" s="73"/>
      <c r="D6" s="73"/>
      <c r="E6" s="73"/>
      <c r="F6" s="73"/>
      <c r="G6" s="73"/>
      <c r="H6" s="73"/>
    </row>
    <row r="7" spans="1:8" ht="12.75" customHeight="1" x14ac:dyDescent="0.25">
      <c r="A7" s="90"/>
      <c r="B7" s="73"/>
      <c r="C7" s="73"/>
      <c r="D7" s="73"/>
      <c r="E7" s="73"/>
      <c r="F7" s="73"/>
      <c r="G7" s="73"/>
      <c r="H7" s="73"/>
    </row>
    <row r="8" spans="1:8" ht="12.75" customHeight="1" x14ac:dyDescent="0.25">
      <c r="A8" s="91" t="s">
        <v>113</v>
      </c>
      <c r="B8" s="73" t="s">
        <v>89</v>
      </c>
      <c r="C8" s="73"/>
      <c r="D8" s="73"/>
      <c r="E8" s="73"/>
      <c r="F8" s="73"/>
      <c r="G8" s="73"/>
      <c r="H8" s="76">
        <v>2</v>
      </c>
    </row>
    <row r="9" spans="1:8" ht="12.75" customHeight="1" x14ac:dyDescent="0.25">
      <c r="B9" s="73"/>
      <c r="C9" s="73"/>
      <c r="D9" s="73"/>
      <c r="E9" s="73"/>
      <c r="F9" s="73"/>
      <c r="G9" s="73"/>
      <c r="H9" s="76"/>
    </row>
    <row r="10" spans="1:8" ht="12.75" customHeight="1" x14ac:dyDescent="0.25">
      <c r="B10" s="73" t="s">
        <v>90</v>
      </c>
      <c r="C10" s="73"/>
      <c r="D10" s="73"/>
      <c r="E10" s="73"/>
      <c r="F10" s="73"/>
      <c r="G10" s="73"/>
      <c r="H10" s="76"/>
    </row>
    <row r="11" spans="1:8" ht="12.75" customHeight="1" x14ac:dyDescent="0.25">
      <c r="A11" s="91" t="s">
        <v>114</v>
      </c>
      <c r="B11" s="73" t="str">
        <f>+'Tab2'!A6&amp;" ……………………………………………"</f>
        <v>Figur 1. Antall meldte skader etter bransjer  ……………………………………………</v>
      </c>
      <c r="C11" s="73"/>
      <c r="D11" s="73"/>
      <c r="E11" s="73"/>
      <c r="F11" s="73"/>
      <c r="G11" s="73"/>
      <c r="H11" s="76">
        <v>4</v>
      </c>
    </row>
    <row r="12" spans="1:8" ht="12.75" customHeight="1" x14ac:dyDescent="0.25">
      <c r="B12" s="73" t="str">
        <f>+'Tab2'!A32&amp;" ……………………………"</f>
        <v>Figur 2. Antall meldte skader etter bransjer  ……………………………</v>
      </c>
      <c r="C12" s="73"/>
      <c r="D12" s="73"/>
      <c r="E12" s="73"/>
      <c r="F12" s="73"/>
      <c r="G12" s="73"/>
      <c r="H12" s="76">
        <v>4</v>
      </c>
    </row>
    <row r="13" spans="1:8" ht="12.75" customHeight="1" x14ac:dyDescent="0.25">
      <c r="B13" s="73" t="str">
        <f>+'Tab2'!I6&amp;"  ………………………………………………………………………………………………….."</f>
        <v>Figur 3. Anslått erstatning etter bransje, pr.   …………………………………………………………………………………………………..</v>
      </c>
      <c r="C13" s="73"/>
      <c r="D13" s="73"/>
      <c r="E13" s="73"/>
      <c r="F13" s="73"/>
      <c r="G13" s="73"/>
      <c r="H13" s="76">
        <v>5</v>
      </c>
    </row>
    <row r="14" spans="1:8" ht="12.75" customHeight="1" x14ac:dyDescent="0.25">
      <c r="B14" s="73" t="str">
        <f>+'Tab2'!I32&amp;"  ………………………………………………………………………………………………….."</f>
        <v>Figur 4. Vannskader pr. kvartal  …………………………………………………………………………………………………..</v>
      </c>
      <c r="C14" s="73"/>
      <c r="D14" s="73"/>
      <c r="E14" s="73"/>
      <c r="F14" s="73"/>
      <c r="G14" s="73"/>
      <c r="H14" s="76">
        <v>5</v>
      </c>
    </row>
    <row r="15" spans="1:8" ht="12.75" customHeight="1" x14ac:dyDescent="0.25">
      <c r="B15" s="73" t="str">
        <f>+'Tab2'!P6&amp;" ……………………………"</f>
        <v>Figur 5. Antall meldte skader i motorvogn kvartalsvis (i 1000) ……………………………</v>
      </c>
      <c r="C15" s="73"/>
      <c r="D15" s="73"/>
      <c r="E15" s="73"/>
      <c r="F15" s="73"/>
      <c r="G15" s="73"/>
      <c r="H15" s="76">
        <v>6</v>
      </c>
    </row>
    <row r="16" spans="1:8" ht="12.75" customHeight="1" x14ac:dyDescent="0.25">
      <c r="B16" s="73" t="str">
        <f>+'Tab2'!P32&amp;" ……………………………"</f>
        <v>Figur 6. Anslått erstatning etter skadetype, motorvogn  2019 ……………………………</v>
      </c>
      <c r="C16" s="73"/>
      <c r="D16" s="73"/>
      <c r="E16" s="73"/>
      <c r="F16" s="73"/>
      <c r="G16" s="73"/>
      <c r="H16" s="76">
        <v>6</v>
      </c>
    </row>
    <row r="17" spans="1:14" ht="12.75" customHeight="1" x14ac:dyDescent="0.25">
      <c r="B17" s="73" t="str">
        <f>+'Tab2'!W6&amp;" ……………………………………………………………"</f>
        <v>Figur 7. Antall meldte skader i de Brann-kombinerte bransjer etter skadetype  ……………………………………………………………</v>
      </c>
      <c r="C17" s="73"/>
      <c r="D17" s="73"/>
      <c r="E17" s="73"/>
      <c r="F17" s="73"/>
      <c r="G17" s="73"/>
      <c r="H17" s="76">
        <v>7</v>
      </c>
    </row>
    <row r="18" spans="1:14" ht="12.75" customHeight="1" x14ac:dyDescent="0.25">
      <c r="B18" s="73" t="str">
        <f>+'Tab2'!W32&amp;" ……………………………………………………………"</f>
        <v>Figur 8. Anslått erstatning i de Brann-kombinerte bransjer etter skadetype  ……………………………………………………………</v>
      </c>
      <c r="C18" s="73"/>
      <c r="D18" s="73"/>
      <c r="E18" s="73"/>
      <c r="F18" s="73"/>
      <c r="G18" s="73"/>
      <c r="H18" s="76">
        <v>7</v>
      </c>
    </row>
    <row r="19" spans="1:14" ht="12.75" customHeight="1" x14ac:dyDescent="0.25">
      <c r="B19" s="73" t="str">
        <f>+'Tab2'!AD6&amp;"  ………………………………………………………………………………………………….."</f>
        <v>Figur 9. Brannskader pr. kvartal  …………………………………………………………………………………………………..</v>
      </c>
      <c r="C19" s="73"/>
      <c r="D19" s="73"/>
      <c r="E19" s="73"/>
      <c r="F19" s="73"/>
      <c r="G19" s="73"/>
      <c r="H19" s="76">
        <v>8</v>
      </c>
    </row>
    <row r="20" spans="1:14" ht="12.75" customHeight="1" x14ac:dyDescent="0.25">
      <c r="B20" s="73" t="str">
        <f>+'Tab2'!AD32&amp;"  ………………………………………………………………………………………………….."</f>
        <v>Figur 10. Innbrudd, tyverier og ran pr. kvartal  …………………………………………………………………………………………………..</v>
      </c>
      <c r="C20" s="73"/>
      <c r="D20" s="73"/>
      <c r="E20" s="73"/>
      <c r="F20" s="73"/>
      <c r="G20" s="73"/>
      <c r="H20" s="76">
        <v>8</v>
      </c>
    </row>
    <row r="22" spans="1:14" ht="12.75" customHeight="1" x14ac:dyDescent="0.25">
      <c r="B22" s="73" t="s">
        <v>91</v>
      </c>
      <c r="C22" s="73"/>
      <c r="D22" s="73"/>
      <c r="E22" s="73"/>
      <c r="F22" s="73"/>
      <c r="G22" s="73"/>
      <c r="H22" s="76"/>
    </row>
    <row r="23" spans="1:14" ht="12.75" customHeight="1" x14ac:dyDescent="0.25">
      <c r="A23" s="91" t="s">
        <v>115</v>
      </c>
      <c r="B23" s="73" t="s">
        <v>131</v>
      </c>
      <c r="C23" s="73"/>
      <c r="D23" s="73"/>
      <c r="E23" s="73"/>
      <c r="F23" s="73"/>
      <c r="G23" s="73"/>
      <c r="H23" s="76">
        <v>9</v>
      </c>
    </row>
    <row r="24" spans="1:14" ht="12.75" customHeight="1" x14ac:dyDescent="0.25">
      <c r="A24" s="91" t="s">
        <v>116</v>
      </c>
      <c r="B24" s="73" t="s">
        <v>93</v>
      </c>
      <c r="C24" s="73"/>
      <c r="D24" s="73"/>
      <c r="E24" s="73"/>
      <c r="F24" s="73"/>
      <c r="G24" s="73"/>
      <c r="H24" s="76">
        <f>H23+1</f>
        <v>10</v>
      </c>
    </row>
    <row r="25" spans="1:14" ht="12.75" customHeight="1" x14ac:dyDescent="0.25">
      <c r="B25" s="73"/>
      <c r="C25" s="73"/>
      <c r="D25" s="73"/>
      <c r="E25" s="73"/>
      <c r="F25" s="73"/>
      <c r="G25" s="73"/>
      <c r="H25" s="76"/>
    </row>
    <row r="26" spans="1:14" ht="12.75" customHeight="1" x14ac:dyDescent="0.25">
      <c r="A26" s="91" t="s">
        <v>117</v>
      </c>
      <c r="B26" s="73" t="s">
        <v>132</v>
      </c>
      <c r="C26" s="73"/>
      <c r="D26" s="73"/>
      <c r="E26" s="73"/>
      <c r="F26" s="73"/>
      <c r="G26" s="73"/>
      <c r="H26" s="76">
        <f>+H24+1</f>
        <v>11</v>
      </c>
    </row>
    <row r="27" spans="1:14" ht="12.75" customHeight="1" x14ac:dyDescent="0.25">
      <c r="B27" s="73" t="s">
        <v>94</v>
      </c>
      <c r="C27" s="73"/>
      <c r="D27" s="73"/>
      <c r="E27" s="73"/>
      <c r="F27" s="73"/>
      <c r="G27" s="73"/>
      <c r="H27" s="76">
        <f>+H26</f>
        <v>11</v>
      </c>
      <c r="N27" s="77"/>
    </row>
    <row r="28" spans="1:14" ht="12.75" customHeight="1" x14ac:dyDescent="0.25">
      <c r="A28" s="91" t="s">
        <v>118</v>
      </c>
      <c r="B28" s="73" t="s">
        <v>133</v>
      </c>
      <c r="C28" s="73"/>
      <c r="D28" s="73"/>
      <c r="E28" s="73"/>
      <c r="F28" s="73"/>
      <c r="G28" s="73"/>
      <c r="H28" s="76">
        <f>+H26+1</f>
        <v>12</v>
      </c>
      <c r="N28" s="77"/>
    </row>
    <row r="29" spans="1:14" ht="12.75" customHeight="1" x14ac:dyDescent="0.25">
      <c r="B29" s="73" t="s">
        <v>95</v>
      </c>
      <c r="C29" s="73"/>
      <c r="D29" s="73"/>
      <c r="E29" s="73"/>
      <c r="F29" s="73"/>
      <c r="G29" s="73"/>
      <c r="H29" s="76">
        <f>+H28</f>
        <v>12</v>
      </c>
      <c r="N29" s="77"/>
    </row>
    <row r="30" spans="1:14" ht="12.75" customHeight="1" x14ac:dyDescent="0.25">
      <c r="B30" s="73"/>
      <c r="C30" s="73"/>
      <c r="D30" s="73"/>
      <c r="E30" s="73"/>
      <c r="F30" s="73"/>
      <c r="G30" s="73"/>
      <c r="H30" s="76"/>
      <c r="N30" s="77"/>
    </row>
    <row r="31" spans="1:14" ht="12.75" customHeight="1" x14ac:dyDescent="0.25">
      <c r="A31" s="91" t="s">
        <v>119</v>
      </c>
      <c r="B31" s="73" t="s">
        <v>134</v>
      </c>
      <c r="C31" s="73"/>
      <c r="D31" s="73"/>
      <c r="E31" s="73"/>
      <c r="F31" s="73"/>
      <c r="G31" s="73"/>
      <c r="H31" s="76">
        <f>+H29+1</f>
        <v>13</v>
      </c>
      <c r="N31" s="77"/>
    </row>
    <row r="32" spans="1:14" ht="12.75" customHeight="1" x14ac:dyDescent="0.25">
      <c r="B32" s="73" t="s">
        <v>96</v>
      </c>
      <c r="C32" s="73"/>
      <c r="D32" s="73"/>
      <c r="E32" s="73"/>
      <c r="F32" s="73"/>
      <c r="G32" s="73"/>
      <c r="H32" s="76">
        <f>+H31</f>
        <v>13</v>
      </c>
      <c r="N32" s="77"/>
    </row>
    <row r="33" spans="1:14" ht="12.75" customHeight="1" x14ac:dyDescent="0.25">
      <c r="A33" s="91" t="s">
        <v>120</v>
      </c>
      <c r="B33" s="73" t="s">
        <v>135</v>
      </c>
      <c r="C33" s="73"/>
      <c r="D33" s="73"/>
      <c r="E33" s="73"/>
      <c r="F33" s="73"/>
      <c r="G33" s="73"/>
      <c r="H33" s="76">
        <f>+H31+1</f>
        <v>14</v>
      </c>
      <c r="N33" s="77"/>
    </row>
    <row r="34" spans="1:14" ht="12.75" customHeight="1" x14ac:dyDescent="0.25">
      <c r="B34" s="73" t="s">
        <v>97</v>
      </c>
      <c r="C34" s="73"/>
      <c r="D34" s="73"/>
      <c r="E34" s="73"/>
      <c r="F34" s="73"/>
      <c r="G34" s="73"/>
      <c r="H34" s="76">
        <f>+H33</f>
        <v>14</v>
      </c>
      <c r="N34" s="77"/>
    </row>
    <row r="35" spans="1:14" ht="12.75" customHeight="1" x14ac:dyDescent="0.25">
      <c r="A35" s="91" t="s">
        <v>121</v>
      </c>
      <c r="B35" s="73" t="s">
        <v>136</v>
      </c>
      <c r="C35" s="73"/>
      <c r="D35" s="73"/>
      <c r="E35" s="73"/>
      <c r="F35" s="73"/>
      <c r="G35" s="73"/>
      <c r="H35" s="76">
        <f>+H34+1</f>
        <v>15</v>
      </c>
      <c r="N35" s="77"/>
    </row>
    <row r="36" spans="1:14" ht="12.75" customHeight="1" x14ac:dyDescent="0.25">
      <c r="B36" s="73" t="s">
        <v>100</v>
      </c>
      <c r="C36" s="73"/>
      <c r="D36" s="73"/>
      <c r="E36" s="73"/>
      <c r="F36" s="73"/>
      <c r="G36" s="73"/>
      <c r="H36" s="76">
        <f>+H35</f>
        <v>15</v>
      </c>
      <c r="N36" s="77"/>
    </row>
    <row r="37" spans="1:14" ht="12.75" customHeight="1" x14ac:dyDescent="0.25">
      <c r="A37" s="91" t="s">
        <v>122</v>
      </c>
      <c r="B37" s="73" t="s">
        <v>137</v>
      </c>
      <c r="C37" s="73"/>
      <c r="D37" s="73"/>
      <c r="E37" s="73"/>
      <c r="F37" s="73"/>
      <c r="G37" s="73"/>
      <c r="H37" s="76">
        <f>+H36+1</f>
        <v>16</v>
      </c>
      <c r="N37" s="77"/>
    </row>
    <row r="38" spans="1:14" ht="12.75" customHeight="1" x14ac:dyDescent="0.25">
      <c r="B38" s="73" t="s">
        <v>101</v>
      </c>
      <c r="C38" s="73"/>
      <c r="D38" s="73"/>
      <c r="E38" s="73"/>
      <c r="F38" s="73"/>
      <c r="G38" s="73"/>
      <c r="H38" s="76">
        <f>+H37</f>
        <v>16</v>
      </c>
      <c r="N38" s="77"/>
    </row>
    <row r="39" spans="1:14" ht="12.75" customHeight="1" x14ac:dyDescent="0.25">
      <c r="B39" s="73"/>
      <c r="C39" s="73"/>
      <c r="D39" s="73"/>
      <c r="E39" s="73"/>
      <c r="F39" s="73"/>
      <c r="G39" s="73"/>
      <c r="H39" s="76"/>
      <c r="N39" s="77"/>
    </row>
    <row r="40" spans="1:14" ht="12.75" customHeight="1" x14ac:dyDescent="0.25">
      <c r="A40" s="91" t="s">
        <v>123</v>
      </c>
      <c r="B40" s="73" t="s">
        <v>166</v>
      </c>
      <c r="C40" s="73"/>
      <c r="D40" s="73"/>
      <c r="E40" s="73"/>
      <c r="F40" s="73"/>
      <c r="G40" s="73"/>
      <c r="H40" s="76">
        <f>+H38+1</f>
        <v>17</v>
      </c>
      <c r="N40" s="77"/>
    </row>
    <row r="41" spans="1:14" ht="12.75" customHeight="1" x14ac:dyDescent="0.25">
      <c r="B41" s="73" t="s">
        <v>167</v>
      </c>
      <c r="C41" s="73"/>
      <c r="D41" s="73"/>
      <c r="E41" s="73"/>
      <c r="F41" s="73"/>
      <c r="G41" s="73"/>
      <c r="H41" s="76">
        <f>+H40</f>
        <v>17</v>
      </c>
      <c r="N41" s="77"/>
    </row>
    <row r="42" spans="1:14" ht="12.75" customHeight="1" x14ac:dyDescent="0.25">
      <c r="B42" s="73"/>
      <c r="C42" s="73"/>
      <c r="D42" s="73"/>
      <c r="E42" s="73"/>
      <c r="F42" s="73"/>
      <c r="G42" s="73"/>
      <c r="H42" s="76"/>
      <c r="N42" s="77"/>
    </row>
    <row r="43" spans="1:14" ht="12.75" customHeight="1" x14ac:dyDescent="0.25">
      <c r="A43" s="91" t="s">
        <v>172</v>
      </c>
      <c r="B43" s="73" t="s">
        <v>138</v>
      </c>
      <c r="H43" s="76">
        <f>+H40+1</f>
        <v>18</v>
      </c>
      <c r="N43" s="77"/>
    </row>
    <row r="44" spans="1:14" ht="12.75" customHeight="1" x14ac:dyDescent="0.25">
      <c r="B44" s="73" t="s">
        <v>104</v>
      </c>
      <c r="H44" s="76">
        <f>+H43</f>
        <v>18</v>
      </c>
      <c r="N44" s="77"/>
    </row>
    <row r="45" spans="1:14" ht="12.75" customHeight="1" x14ac:dyDescent="0.25">
      <c r="A45" s="91" t="s">
        <v>124</v>
      </c>
      <c r="B45" s="73" t="s">
        <v>139</v>
      </c>
      <c r="H45" s="76">
        <f>+H43+1</f>
        <v>19</v>
      </c>
      <c r="N45" s="77"/>
    </row>
    <row r="46" spans="1:14" ht="12.75" customHeight="1" x14ac:dyDescent="0.25">
      <c r="B46" s="73" t="s">
        <v>102</v>
      </c>
      <c r="H46" s="76">
        <f>+H45</f>
        <v>19</v>
      </c>
      <c r="N46" s="77"/>
    </row>
    <row r="47" spans="1:14" ht="12.75" customHeight="1" x14ac:dyDescent="0.25">
      <c r="A47" s="91" t="s">
        <v>125</v>
      </c>
      <c r="B47" s="73" t="s">
        <v>140</v>
      </c>
      <c r="H47" s="76">
        <f>+H46+1</f>
        <v>20</v>
      </c>
      <c r="N47" s="77"/>
    </row>
    <row r="48" spans="1:14" ht="12.75" customHeight="1" x14ac:dyDescent="0.25">
      <c r="B48" s="73" t="s">
        <v>103</v>
      </c>
      <c r="H48" s="76">
        <f>H47</f>
        <v>20</v>
      </c>
      <c r="N48" s="77"/>
    </row>
    <row r="49" spans="1:14" ht="12.75" customHeight="1" x14ac:dyDescent="0.25">
      <c r="A49" s="91"/>
      <c r="B49" s="73"/>
      <c r="C49" s="73"/>
      <c r="D49" s="73"/>
      <c r="E49" s="73"/>
      <c r="F49" s="73"/>
      <c r="G49" s="73"/>
      <c r="H49" s="76"/>
      <c r="N49" s="77"/>
    </row>
    <row r="50" spans="1:14" ht="12.75" customHeight="1" x14ac:dyDescent="0.25">
      <c r="A50" s="91"/>
      <c r="B50" s="73"/>
      <c r="C50" s="73"/>
      <c r="D50" s="73"/>
      <c r="E50" s="73"/>
      <c r="F50" s="73"/>
      <c r="G50" s="73"/>
      <c r="H50" s="76"/>
      <c r="N50" s="77"/>
    </row>
    <row r="51" spans="1:14" ht="12.75" customHeight="1" x14ac:dyDescent="0.25">
      <c r="A51" s="91"/>
      <c r="B51" s="73"/>
      <c r="C51" s="73"/>
      <c r="D51" s="73"/>
      <c r="E51" s="73"/>
      <c r="F51" s="73"/>
      <c r="G51" s="73"/>
      <c r="H51" s="76"/>
      <c r="N51" s="77"/>
    </row>
    <row r="52" spans="1:14" ht="12.75" customHeight="1" x14ac:dyDescent="0.25">
      <c r="A52" s="91"/>
      <c r="B52" s="73"/>
      <c r="C52" s="73"/>
      <c r="D52" s="73"/>
      <c r="E52" s="73"/>
      <c r="F52" s="73"/>
      <c r="G52" s="73"/>
      <c r="H52" s="76"/>
      <c r="N52" s="77"/>
    </row>
    <row r="53" spans="1:14" ht="12.75" customHeight="1" x14ac:dyDescent="0.25">
      <c r="A53" s="91"/>
      <c r="B53" s="73"/>
      <c r="C53" s="73"/>
      <c r="D53" s="73"/>
      <c r="E53" s="73"/>
      <c r="F53" s="73"/>
      <c r="G53" s="73"/>
      <c r="H53" s="76"/>
      <c r="N53" s="77"/>
    </row>
    <row r="54" spans="1:14" ht="12.75" customHeight="1" x14ac:dyDescent="0.25">
      <c r="A54" s="91"/>
      <c r="B54" s="73"/>
      <c r="C54" s="73"/>
      <c r="D54" s="73"/>
      <c r="E54" s="73"/>
      <c r="F54" s="73"/>
      <c r="G54" s="73"/>
      <c r="H54" s="76"/>
      <c r="N54" s="77"/>
    </row>
    <row r="55" spans="1:14" ht="12.75" customHeight="1" x14ac:dyDescent="0.25">
      <c r="A55" s="91"/>
      <c r="B55" s="73"/>
      <c r="C55" s="73"/>
      <c r="D55" s="73"/>
      <c r="E55" s="73"/>
      <c r="F55" s="73"/>
      <c r="G55" s="73"/>
      <c r="H55" s="76"/>
      <c r="N55" s="77"/>
    </row>
    <row r="56" spans="1:14" ht="12.75" customHeight="1" x14ac:dyDescent="0.25">
      <c r="A56" s="91"/>
      <c r="B56" s="73"/>
      <c r="C56" s="73"/>
      <c r="D56" s="73"/>
      <c r="E56" s="73"/>
      <c r="F56" s="73"/>
      <c r="G56" s="73"/>
      <c r="H56" s="76"/>
      <c r="N56" s="77"/>
    </row>
    <row r="57" spans="1:14" ht="12.75" customHeight="1" x14ac:dyDescent="0.25">
      <c r="A57" s="91"/>
      <c r="B57" s="73"/>
      <c r="C57" s="73"/>
      <c r="D57" s="73"/>
      <c r="E57" s="73"/>
      <c r="F57" s="73"/>
      <c r="G57" s="73"/>
      <c r="H57" s="76"/>
      <c r="N57" s="77"/>
    </row>
    <row r="58" spans="1:14" ht="12.75" customHeight="1" x14ac:dyDescent="0.25">
      <c r="B58" s="73"/>
      <c r="C58" s="73"/>
      <c r="D58" s="73"/>
      <c r="E58" s="73"/>
      <c r="F58" s="73"/>
      <c r="G58" s="73"/>
      <c r="H58" s="76"/>
      <c r="N58" s="77"/>
    </row>
    <row r="59" spans="1:14" ht="12.75" customHeight="1" x14ac:dyDescent="0.2">
      <c r="B59" s="48"/>
      <c r="C59" s="49"/>
      <c r="D59" s="49"/>
      <c r="E59" s="98"/>
      <c r="F59" s="49"/>
      <c r="G59" s="50"/>
      <c r="H59" s="51"/>
      <c r="N59" s="77"/>
    </row>
    <row r="60" spans="1:14" ht="12.75" customHeight="1" x14ac:dyDescent="0.2">
      <c r="B60" s="52"/>
      <c r="C60" s="52"/>
      <c r="D60" s="52"/>
      <c r="E60" s="52"/>
      <c r="F60" s="52"/>
      <c r="G60" s="52"/>
      <c r="H60" s="52"/>
      <c r="I60" s="77"/>
    </row>
    <row r="61" spans="1:14" ht="12.75" customHeight="1" x14ac:dyDescent="0.2">
      <c r="B61" s="54" t="str">
        <f>+B123</f>
        <v>Finans Norge / Skadestatistikk</v>
      </c>
      <c r="H61" s="207">
        <v>1</v>
      </c>
      <c r="I61" s="77"/>
    </row>
    <row r="62" spans="1:14" ht="12.75" customHeight="1" x14ac:dyDescent="0.2">
      <c r="B62" s="54" t="str">
        <f>+B124</f>
        <v>Skadestatistikk for landbasert forsikring 1. kvartal 2019</v>
      </c>
      <c r="H62" s="208"/>
      <c r="I62" s="77"/>
    </row>
    <row r="63" spans="1:14" ht="12.75" customHeight="1" x14ac:dyDescent="0.2">
      <c r="I63" s="77"/>
    </row>
    <row r="64" spans="1:14" ht="12.75" customHeight="1" x14ac:dyDescent="0.2">
      <c r="I64" s="77"/>
    </row>
    <row r="66" spans="1:13" ht="12.75" customHeight="1" x14ac:dyDescent="0.25">
      <c r="A66" s="91" t="s">
        <v>126</v>
      </c>
      <c r="B66" s="73" t="s">
        <v>220</v>
      </c>
      <c r="H66" s="76">
        <f>H48+1</f>
        <v>21</v>
      </c>
    </row>
    <row r="67" spans="1:13" ht="12.75" customHeight="1" x14ac:dyDescent="0.25">
      <c r="B67" s="73" t="s">
        <v>221</v>
      </c>
      <c r="H67" s="76">
        <f>H66</f>
        <v>21</v>
      </c>
    </row>
    <row r="68" spans="1:13" ht="12.75" customHeight="1" x14ac:dyDescent="0.25">
      <c r="A68" s="91" t="s">
        <v>127</v>
      </c>
      <c r="B68" s="73" t="s">
        <v>222</v>
      </c>
      <c r="H68" s="76">
        <f>H67+1</f>
        <v>22</v>
      </c>
    </row>
    <row r="69" spans="1:13" ht="12.75" customHeight="1" x14ac:dyDescent="0.25">
      <c r="B69" s="73" t="s">
        <v>223</v>
      </c>
      <c r="H69" s="76">
        <f>H68</f>
        <v>22</v>
      </c>
    </row>
    <row r="70" spans="1:13" ht="12.75" customHeight="1" x14ac:dyDescent="0.25">
      <c r="A70" s="91" t="s">
        <v>128</v>
      </c>
      <c r="B70" s="73" t="s">
        <v>224</v>
      </c>
      <c r="H70" s="76">
        <f>H69+1</f>
        <v>23</v>
      </c>
      <c r="J70"/>
      <c r="K70"/>
      <c r="L70"/>
      <c r="M70"/>
    </row>
    <row r="71" spans="1:13" ht="12.75" customHeight="1" x14ac:dyDescent="0.25">
      <c r="B71" s="73" t="s">
        <v>225</v>
      </c>
      <c r="H71" s="76">
        <f>H70</f>
        <v>23</v>
      </c>
      <c r="J71"/>
      <c r="K71" s="71"/>
      <c r="L71" s="72"/>
      <c r="M71" s="72"/>
    </row>
    <row r="72" spans="1:13" ht="12.75" customHeight="1" x14ac:dyDescent="0.2">
      <c r="J72"/>
      <c r="K72" s="70"/>
      <c r="L72"/>
      <c r="M72"/>
    </row>
    <row r="73" spans="1:13" ht="12.75" customHeight="1" x14ac:dyDescent="0.25">
      <c r="A73" s="91" t="s">
        <v>129</v>
      </c>
      <c r="B73" s="73" t="s">
        <v>141</v>
      </c>
      <c r="C73" s="73"/>
      <c r="D73" s="73"/>
      <c r="E73" s="73"/>
      <c r="F73" s="73"/>
      <c r="G73" s="73"/>
      <c r="H73" s="76">
        <f>+H71+1</f>
        <v>24</v>
      </c>
      <c r="J73"/>
      <c r="K73" s="69"/>
      <c r="L73" s="69"/>
      <c r="M73" s="69"/>
    </row>
    <row r="74" spans="1:13" ht="12.75" customHeight="1" x14ac:dyDescent="0.25">
      <c r="B74" s="73" t="s">
        <v>107</v>
      </c>
      <c r="C74" s="73"/>
      <c r="D74" s="73"/>
      <c r="E74" s="73"/>
      <c r="F74" s="73"/>
      <c r="G74" s="73"/>
      <c r="H74" s="76">
        <f>+H73</f>
        <v>24</v>
      </c>
      <c r="J74"/>
      <c r="K74" s="69"/>
      <c r="L74" s="69"/>
      <c r="M74" s="69"/>
    </row>
    <row r="75" spans="1:13" ht="12.75" customHeight="1" x14ac:dyDescent="0.25">
      <c r="A75" s="91" t="s">
        <v>226</v>
      </c>
      <c r="B75" s="73" t="s">
        <v>142</v>
      </c>
      <c r="C75" s="73"/>
      <c r="D75" s="73"/>
      <c r="E75" s="73"/>
      <c r="F75" s="73"/>
      <c r="G75" s="73"/>
      <c r="H75" s="76">
        <f>+H74+1</f>
        <v>25</v>
      </c>
      <c r="J75"/>
      <c r="K75" s="69"/>
      <c r="L75" s="69"/>
      <c r="M75" s="69"/>
    </row>
    <row r="76" spans="1:13" ht="12.75" customHeight="1" x14ac:dyDescent="0.25">
      <c r="B76" s="73" t="s">
        <v>105</v>
      </c>
      <c r="C76" s="73"/>
      <c r="D76" s="73"/>
      <c r="E76" s="73"/>
      <c r="F76" s="73"/>
      <c r="G76" s="73"/>
      <c r="H76" s="76">
        <f>+H75</f>
        <v>25</v>
      </c>
      <c r="J76"/>
      <c r="K76" s="69"/>
      <c r="L76" s="69"/>
      <c r="M76" s="69"/>
    </row>
    <row r="77" spans="1:13" ht="12.75" customHeight="1" x14ac:dyDescent="0.25">
      <c r="A77" s="91" t="s">
        <v>227</v>
      </c>
      <c r="B77" s="73" t="s">
        <v>143</v>
      </c>
      <c r="C77" s="73"/>
      <c r="D77" s="73"/>
      <c r="E77" s="73"/>
      <c r="F77" s="73"/>
      <c r="G77" s="73"/>
      <c r="H77" s="76">
        <f>+H76+1</f>
        <v>26</v>
      </c>
      <c r="J77"/>
      <c r="K77"/>
      <c r="L77"/>
      <c r="M77"/>
    </row>
    <row r="78" spans="1:13" ht="12.75" customHeight="1" x14ac:dyDescent="0.25">
      <c r="B78" s="73" t="s">
        <v>106</v>
      </c>
      <c r="C78" s="73"/>
      <c r="D78" s="73"/>
      <c r="E78" s="73"/>
      <c r="F78" s="73"/>
      <c r="G78" s="73"/>
      <c r="H78" s="76">
        <f>+H77</f>
        <v>26</v>
      </c>
      <c r="J78"/>
      <c r="K78"/>
      <c r="L78"/>
      <c r="M78"/>
    </row>
    <row r="79" spans="1:13" ht="12.75" customHeight="1" x14ac:dyDescent="0.2">
      <c r="B79"/>
      <c r="C79"/>
      <c r="D79"/>
      <c r="E79"/>
      <c r="F79"/>
      <c r="G79"/>
      <c r="I79"/>
      <c r="J79"/>
      <c r="K79"/>
      <c r="L79"/>
      <c r="M79"/>
    </row>
    <row r="80" spans="1:13" ht="12.75" customHeight="1" x14ac:dyDescent="0.25">
      <c r="A80" s="91" t="s">
        <v>228</v>
      </c>
      <c r="B80" s="73" t="s">
        <v>92</v>
      </c>
      <c r="C80" s="73"/>
      <c r="D80" s="73"/>
      <c r="E80" s="73"/>
      <c r="F80" s="73"/>
      <c r="G80" s="73"/>
      <c r="H80" s="76">
        <f>+H78+1</f>
        <v>27</v>
      </c>
      <c r="I80"/>
      <c r="J80"/>
      <c r="K80"/>
      <c r="L80"/>
      <c r="M80"/>
    </row>
    <row r="81" spans="2:13" ht="12.75" customHeight="1" x14ac:dyDescent="0.2">
      <c r="C81"/>
      <c r="D81"/>
      <c r="E81"/>
      <c r="F81"/>
      <c r="G81"/>
      <c r="I81" s="68"/>
      <c r="J81"/>
      <c r="K81"/>
      <c r="L81"/>
      <c r="M81"/>
    </row>
    <row r="82" spans="2:13" ht="12.75" customHeight="1" x14ac:dyDescent="0.2">
      <c r="C82"/>
      <c r="D82"/>
      <c r="E82"/>
      <c r="F82"/>
      <c r="G82"/>
      <c r="I82" s="68"/>
      <c r="J82"/>
      <c r="K82"/>
      <c r="L82"/>
      <c r="M82"/>
    </row>
    <row r="83" spans="2:13" ht="12.75" customHeight="1" x14ac:dyDescent="0.2">
      <c r="C83"/>
      <c r="D83"/>
      <c r="E83"/>
      <c r="F83"/>
      <c r="G83"/>
      <c r="I83" s="68"/>
      <c r="J83"/>
      <c r="K83"/>
      <c r="L83"/>
      <c r="M83"/>
    </row>
    <row r="84" spans="2:13" ht="12.75" customHeight="1" x14ac:dyDescent="0.2">
      <c r="C84"/>
      <c r="D84"/>
      <c r="E84"/>
      <c r="F84"/>
      <c r="G84"/>
      <c r="I84" s="68"/>
      <c r="J84"/>
      <c r="K84"/>
      <c r="L84"/>
      <c r="M84"/>
    </row>
    <row r="85" spans="2:13" ht="12.75" customHeight="1" x14ac:dyDescent="0.2">
      <c r="C85"/>
      <c r="D85"/>
      <c r="E85"/>
      <c r="F85"/>
      <c r="G85"/>
      <c r="I85" s="68"/>
      <c r="J85"/>
      <c r="K85"/>
      <c r="L85"/>
      <c r="M85"/>
    </row>
    <row r="86" spans="2:13" ht="12.75" customHeight="1" x14ac:dyDescent="0.2">
      <c r="C86"/>
      <c r="D86"/>
      <c r="E86"/>
      <c r="F86"/>
      <c r="G86"/>
      <c r="I86" s="68"/>
      <c r="J86"/>
      <c r="K86"/>
      <c r="L86"/>
      <c r="M86"/>
    </row>
    <row r="87" spans="2:13" ht="12.75" customHeight="1" x14ac:dyDescent="0.2">
      <c r="C87"/>
      <c r="D87"/>
      <c r="E87"/>
      <c r="F87"/>
      <c r="G87"/>
      <c r="I87" s="68"/>
      <c r="J87"/>
      <c r="K87"/>
      <c r="L87"/>
      <c r="M87"/>
    </row>
    <row r="88" spans="2:13" ht="12.75" customHeight="1" x14ac:dyDescent="0.2">
      <c r="C88"/>
      <c r="D88"/>
      <c r="E88"/>
      <c r="F88"/>
      <c r="G88"/>
      <c r="I88" s="68"/>
      <c r="J88"/>
      <c r="K88"/>
      <c r="L88"/>
      <c r="M88"/>
    </row>
    <row r="89" spans="2:13" ht="12.75" customHeight="1" x14ac:dyDescent="0.2">
      <c r="C89"/>
      <c r="D89"/>
      <c r="E89"/>
      <c r="F89"/>
      <c r="G89"/>
      <c r="I89"/>
      <c r="J89"/>
      <c r="K89"/>
      <c r="L89"/>
      <c r="M89"/>
    </row>
    <row r="90" spans="2:13" ht="12.75" customHeight="1" x14ac:dyDescent="0.2">
      <c r="C90"/>
      <c r="D90"/>
      <c r="E90"/>
      <c r="F90"/>
      <c r="G90"/>
      <c r="I90"/>
      <c r="J90"/>
      <c r="K90"/>
      <c r="L90"/>
      <c r="M90"/>
    </row>
    <row r="91" spans="2:13" ht="12.75" customHeight="1" x14ac:dyDescent="0.25">
      <c r="B91" s="88"/>
      <c r="C91"/>
      <c r="D91"/>
      <c r="E91"/>
      <c r="F91"/>
      <c r="G91"/>
      <c r="I91"/>
      <c r="J91"/>
      <c r="K91"/>
      <c r="L91"/>
      <c r="M91"/>
    </row>
    <row r="92" spans="2:13" ht="12.75" customHeight="1" x14ac:dyDescent="0.2">
      <c r="C92"/>
      <c r="D92"/>
      <c r="E92"/>
      <c r="F92"/>
      <c r="G92"/>
      <c r="I92"/>
      <c r="J92"/>
      <c r="K92"/>
      <c r="L92"/>
      <c r="M92"/>
    </row>
    <row r="93" spans="2:13" ht="12.75" customHeight="1" x14ac:dyDescent="0.2">
      <c r="C93"/>
      <c r="D93"/>
      <c r="E93"/>
      <c r="F93"/>
      <c r="G93"/>
      <c r="I93"/>
      <c r="J93"/>
      <c r="K93"/>
      <c r="L93"/>
      <c r="M93"/>
    </row>
    <row r="94" spans="2:13" ht="12.75" customHeight="1" x14ac:dyDescent="0.2">
      <c r="B94"/>
      <c r="C94"/>
      <c r="D94"/>
      <c r="E94"/>
      <c r="F94"/>
      <c r="G94"/>
      <c r="I94"/>
      <c r="J94"/>
      <c r="K94"/>
      <c r="L94"/>
      <c r="M94"/>
    </row>
    <row r="95" spans="2:13" ht="12.75" customHeight="1" x14ac:dyDescent="0.2">
      <c r="B95"/>
      <c r="C95"/>
      <c r="D95"/>
      <c r="E95"/>
      <c r="F95"/>
      <c r="G95"/>
      <c r="I95"/>
      <c r="J95"/>
      <c r="K95"/>
      <c r="L95"/>
      <c r="M95"/>
    </row>
    <row r="96" spans="2:13" ht="12.75" customHeight="1" x14ac:dyDescent="0.2">
      <c r="C96"/>
      <c r="D96"/>
      <c r="E96"/>
      <c r="F96"/>
      <c r="G96"/>
      <c r="I96"/>
      <c r="J96"/>
      <c r="K96"/>
      <c r="L96"/>
      <c r="M96"/>
    </row>
    <row r="97" spans="2:13" ht="12.75" customHeight="1" x14ac:dyDescent="0.2">
      <c r="C97"/>
      <c r="D97"/>
      <c r="E97"/>
      <c r="F97"/>
      <c r="G97"/>
      <c r="I97"/>
      <c r="J97"/>
      <c r="K97"/>
      <c r="L97"/>
      <c r="M97"/>
    </row>
    <row r="98" spans="2:13" ht="12.75" customHeight="1" x14ac:dyDescent="0.2">
      <c r="B98"/>
      <c r="C98"/>
      <c r="D98"/>
      <c r="E98"/>
      <c r="F98"/>
      <c r="G98"/>
      <c r="I98"/>
      <c r="J98"/>
      <c r="K98"/>
      <c r="L98"/>
      <c r="M98"/>
    </row>
    <row r="99" spans="2:13" ht="12.75" customHeight="1" x14ac:dyDescent="0.2">
      <c r="C99"/>
      <c r="D99"/>
      <c r="E99"/>
      <c r="F99"/>
      <c r="G99"/>
      <c r="I99"/>
      <c r="J99"/>
      <c r="K99"/>
      <c r="L99"/>
      <c r="M99"/>
    </row>
    <row r="100" spans="2:13" ht="12.75" customHeight="1" x14ac:dyDescent="0.2">
      <c r="C100"/>
      <c r="D100"/>
      <c r="E100"/>
      <c r="F100"/>
      <c r="G100"/>
      <c r="I100"/>
      <c r="J100"/>
      <c r="K100"/>
      <c r="L100"/>
      <c r="M100"/>
    </row>
    <row r="101" spans="2:13" ht="12.75" customHeight="1" x14ac:dyDescent="0.2">
      <c r="B101"/>
      <c r="C101"/>
      <c r="D101"/>
      <c r="E101"/>
      <c r="F101"/>
      <c r="G101"/>
      <c r="I101"/>
      <c r="J101"/>
      <c r="K101"/>
      <c r="L101"/>
      <c r="M101"/>
    </row>
    <row r="102" spans="2:13" ht="12.75" customHeight="1" x14ac:dyDescent="0.2">
      <c r="B102"/>
      <c r="C102"/>
      <c r="D102"/>
      <c r="E102"/>
      <c r="F102"/>
      <c r="G102"/>
      <c r="I102"/>
      <c r="J102"/>
      <c r="K102"/>
      <c r="L102"/>
      <c r="M102"/>
    </row>
    <row r="103" spans="2:13" ht="12.75" customHeight="1" x14ac:dyDescent="0.2">
      <c r="B103"/>
      <c r="C103"/>
      <c r="D103"/>
      <c r="E103"/>
      <c r="F103"/>
      <c r="G103"/>
      <c r="I103"/>
      <c r="J103"/>
      <c r="K103"/>
      <c r="L103"/>
      <c r="M103"/>
    </row>
    <row r="104" spans="2:13" ht="12.75" customHeight="1" x14ac:dyDescent="0.2">
      <c r="B104"/>
      <c r="C104"/>
      <c r="D104"/>
      <c r="E104"/>
      <c r="F104"/>
      <c r="G104"/>
      <c r="I104"/>
      <c r="J104"/>
      <c r="K104"/>
      <c r="L104"/>
      <c r="M104"/>
    </row>
    <row r="105" spans="2:13" ht="12.75" customHeight="1" x14ac:dyDescent="0.2">
      <c r="B105"/>
      <c r="C105"/>
      <c r="D105"/>
      <c r="E105"/>
      <c r="F105"/>
      <c r="G105"/>
      <c r="I105"/>
      <c r="J105"/>
      <c r="K105"/>
      <c r="L105"/>
      <c r="M105"/>
    </row>
    <row r="106" spans="2:13" ht="12.75" customHeight="1" x14ac:dyDescent="0.2">
      <c r="B106"/>
      <c r="C106"/>
      <c r="D106"/>
      <c r="E106"/>
      <c r="F106"/>
      <c r="G106"/>
      <c r="I106"/>
      <c r="J106"/>
      <c r="K106"/>
      <c r="L106"/>
      <c r="M106"/>
    </row>
    <row r="107" spans="2:13" ht="12.75" customHeight="1" x14ac:dyDescent="0.2">
      <c r="B107"/>
      <c r="C107"/>
      <c r="D107"/>
      <c r="E107"/>
      <c r="F107"/>
      <c r="G107"/>
      <c r="I107"/>
      <c r="J107"/>
      <c r="K107"/>
      <c r="L107"/>
      <c r="M107"/>
    </row>
    <row r="108" spans="2:13" ht="12.75" customHeight="1" x14ac:dyDescent="0.2">
      <c r="B108"/>
      <c r="C108"/>
      <c r="D108"/>
      <c r="E108"/>
      <c r="F108"/>
      <c r="G108"/>
      <c r="I108"/>
      <c r="J108"/>
      <c r="K108"/>
      <c r="L108"/>
      <c r="M108"/>
    </row>
    <row r="109" spans="2:13" ht="12.75" customHeight="1" x14ac:dyDescent="0.2">
      <c r="B109"/>
      <c r="C109"/>
      <c r="D109"/>
      <c r="E109"/>
      <c r="F109"/>
      <c r="G109"/>
      <c r="I109"/>
      <c r="J109"/>
      <c r="K109"/>
      <c r="L109"/>
      <c r="M109"/>
    </row>
    <row r="110" spans="2:13" ht="12.75" customHeight="1" x14ac:dyDescent="0.2">
      <c r="B110"/>
      <c r="C110"/>
      <c r="D110"/>
      <c r="E110"/>
      <c r="F110"/>
      <c r="G110"/>
      <c r="I110"/>
      <c r="J110"/>
      <c r="K110"/>
      <c r="L110"/>
      <c r="M110"/>
    </row>
    <row r="111" spans="2:13" ht="12.75" customHeight="1" x14ac:dyDescent="0.2">
      <c r="B111"/>
      <c r="C111"/>
      <c r="D111"/>
      <c r="E111"/>
      <c r="F111"/>
      <c r="G111"/>
      <c r="I111"/>
      <c r="J111"/>
      <c r="K111"/>
      <c r="L111"/>
      <c r="M111"/>
    </row>
    <row r="112" spans="2:13" ht="12.75" customHeight="1" x14ac:dyDescent="0.2">
      <c r="B112"/>
      <c r="C112"/>
      <c r="D112"/>
      <c r="E112"/>
      <c r="F112"/>
      <c r="G112"/>
      <c r="I112"/>
      <c r="J112"/>
      <c r="K112"/>
      <c r="L112"/>
      <c r="M112"/>
    </row>
    <row r="113" spans="2:13" ht="12.75" customHeight="1" x14ac:dyDescent="0.2">
      <c r="B113"/>
      <c r="C113"/>
      <c r="D113"/>
      <c r="E113"/>
      <c r="F113"/>
      <c r="G113"/>
      <c r="I113"/>
      <c r="J113"/>
      <c r="K113"/>
      <c r="L113"/>
      <c r="M113"/>
    </row>
    <row r="114" spans="2:13" ht="12.75" customHeight="1" x14ac:dyDescent="0.2">
      <c r="B114"/>
      <c r="C114"/>
      <c r="D114"/>
      <c r="E114"/>
      <c r="F114"/>
      <c r="G114"/>
      <c r="I114"/>
      <c r="J114"/>
      <c r="K114"/>
      <c r="L114"/>
      <c r="M114"/>
    </row>
    <row r="115" spans="2:13" ht="12.75" customHeight="1" x14ac:dyDescent="0.2">
      <c r="B115"/>
      <c r="C115"/>
      <c r="D115"/>
      <c r="E115"/>
      <c r="F115"/>
      <c r="G115"/>
      <c r="L115"/>
    </row>
    <row r="116" spans="2:13" ht="12.75" customHeight="1" x14ac:dyDescent="0.2">
      <c r="B116"/>
      <c r="C116"/>
      <c r="D116"/>
      <c r="E116"/>
      <c r="F116"/>
      <c r="G116"/>
      <c r="L116"/>
    </row>
    <row r="117" spans="2:13" ht="12.75" customHeight="1" x14ac:dyDescent="0.2">
      <c r="B117"/>
      <c r="C117"/>
      <c r="D117"/>
      <c r="E117"/>
      <c r="F117"/>
      <c r="G117"/>
      <c r="I117"/>
      <c r="J117"/>
      <c r="K117"/>
      <c r="L117"/>
    </row>
    <row r="118" spans="2:13" ht="12.75" customHeight="1" x14ac:dyDescent="0.2">
      <c r="B118"/>
      <c r="C118"/>
      <c r="D118"/>
      <c r="E118"/>
      <c r="F118"/>
      <c r="G118"/>
      <c r="I118"/>
      <c r="J118"/>
      <c r="K118"/>
      <c r="L118"/>
    </row>
    <row r="119" spans="2:13" ht="12.75" customHeight="1" x14ac:dyDescent="0.2">
      <c r="B119"/>
      <c r="C119"/>
      <c r="D119"/>
      <c r="E119"/>
      <c r="F119"/>
      <c r="G119"/>
      <c r="I119"/>
      <c r="J119"/>
      <c r="K119"/>
      <c r="L119"/>
    </row>
    <row r="120" spans="2:13" ht="12.75" customHeight="1" x14ac:dyDescent="0.2">
      <c r="B120"/>
      <c r="C120"/>
      <c r="D120"/>
      <c r="E120"/>
      <c r="F120"/>
      <c r="G120"/>
      <c r="I120"/>
      <c r="J120"/>
      <c r="K120"/>
      <c r="L120"/>
    </row>
    <row r="121" spans="2:13" ht="12.75" customHeight="1" x14ac:dyDescent="0.2">
      <c r="B121"/>
      <c r="C121"/>
      <c r="D121"/>
      <c r="E121"/>
      <c r="F121"/>
      <c r="G121"/>
      <c r="I121"/>
      <c r="J121"/>
      <c r="K121"/>
      <c r="L121"/>
    </row>
    <row r="122" spans="2:13" ht="12.75" customHeight="1" x14ac:dyDescent="0.2">
      <c r="B122" s="52"/>
      <c r="C122" s="52"/>
      <c r="D122" s="52"/>
      <c r="E122" s="52"/>
      <c r="F122" s="52"/>
      <c r="G122" s="52"/>
      <c r="H122" s="52"/>
      <c r="I122"/>
      <c r="J122" s="69"/>
      <c r="K122" s="69"/>
      <c r="L122" s="69"/>
    </row>
    <row r="123" spans="2:13" ht="12.75" customHeight="1" x14ac:dyDescent="0.2">
      <c r="B123" s="54" t="str">
        <f>"Finans Norge / Skadestatistikk"</f>
        <v>Finans Norge / Skadestatistikk</v>
      </c>
      <c r="H123" s="207">
        <v>2</v>
      </c>
      <c r="I123"/>
      <c r="J123" s="69"/>
      <c r="K123" s="69"/>
      <c r="L123" s="69"/>
    </row>
    <row r="124" spans="2:13" ht="12.75" customHeight="1" x14ac:dyDescent="0.2">
      <c r="B124" s="54" t="str">
        <f>"Skadestatistikk for landbasert forsikring 1. kvartal 2019"</f>
        <v>Skadestatistikk for landbasert forsikring 1. kvartal 2019</v>
      </c>
      <c r="H124" s="208"/>
      <c r="I124"/>
      <c r="J124"/>
      <c r="K124"/>
      <c r="L124"/>
    </row>
    <row r="125" spans="2:13" ht="12.75" customHeight="1" x14ac:dyDescent="0.2">
      <c r="B125" s="78"/>
      <c r="C125"/>
      <c r="D125"/>
      <c r="E125"/>
      <c r="F125"/>
      <c r="G125"/>
      <c r="I125"/>
      <c r="J125"/>
      <c r="K125"/>
      <c r="L125"/>
    </row>
    <row r="126" spans="2:13" ht="12.75" customHeight="1" x14ac:dyDescent="0.2">
      <c r="B126"/>
      <c r="C126"/>
      <c r="D126"/>
      <c r="E126"/>
      <c r="F126"/>
      <c r="G126"/>
      <c r="I126"/>
      <c r="J126"/>
      <c r="K126"/>
      <c r="L126"/>
    </row>
    <row r="127" spans="2:13" ht="12.75" customHeight="1" x14ac:dyDescent="0.2">
      <c r="B127"/>
      <c r="C127"/>
      <c r="D127"/>
      <c r="E127"/>
      <c r="F127"/>
      <c r="G127"/>
      <c r="L127"/>
    </row>
    <row r="128" spans="2:13" ht="12.75" customHeight="1" x14ac:dyDescent="0.2">
      <c r="B128"/>
      <c r="C128"/>
      <c r="D128"/>
      <c r="E128"/>
      <c r="F128"/>
      <c r="G128"/>
      <c r="L128"/>
    </row>
    <row r="129" spans="2:12" ht="12.75" customHeight="1" x14ac:dyDescent="0.2">
      <c r="B129"/>
      <c r="C129"/>
      <c r="D129"/>
      <c r="E129"/>
      <c r="F129"/>
      <c r="G129"/>
      <c r="I129" s="68"/>
      <c r="J129"/>
      <c r="K129"/>
      <c r="L129"/>
    </row>
    <row r="130" spans="2:12" ht="12.75" customHeight="1" x14ac:dyDescent="0.2">
      <c r="B130"/>
      <c r="C130"/>
      <c r="D130"/>
      <c r="E130"/>
      <c r="F130"/>
      <c r="G130"/>
      <c r="I130"/>
      <c r="J130"/>
      <c r="K130"/>
      <c r="L130"/>
    </row>
    <row r="131" spans="2:12" ht="12.75" customHeight="1" x14ac:dyDescent="0.2">
      <c r="B131"/>
      <c r="C131"/>
      <c r="D131"/>
      <c r="E131"/>
      <c r="F131"/>
      <c r="G131"/>
      <c r="I131"/>
      <c r="J131"/>
      <c r="K131"/>
      <c r="L131"/>
    </row>
    <row r="132" spans="2:12" ht="12.75" customHeight="1" x14ac:dyDescent="0.2">
      <c r="B132"/>
      <c r="C132"/>
      <c r="D132"/>
      <c r="E132"/>
      <c r="F132"/>
      <c r="G132"/>
      <c r="I132"/>
      <c r="J132"/>
      <c r="K132" s="69"/>
      <c r="L132" s="69"/>
    </row>
    <row r="133" spans="2:12" ht="12.75" customHeight="1" x14ac:dyDescent="0.2">
      <c r="B133"/>
      <c r="C133"/>
      <c r="D133"/>
      <c r="E133"/>
      <c r="F133"/>
      <c r="G133"/>
      <c r="I133"/>
      <c r="J133"/>
      <c r="K133" s="69"/>
      <c r="L133" s="69"/>
    </row>
    <row r="134" spans="2:12" ht="12.75" customHeight="1" x14ac:dyDescent="0.2">
      <c r="B134"/>
      <c r="C134"/>
      <c r="D134"/>
      <c r="E134"/>
      <c r="F134"/>
      <c r="G134"/>
      <c r="I134"/>
      <c r="J134"/>
      <c r="K134" s="69"/>
      <c r="L134" s="69"/>
    </row>
    <row r="135" spans="2:12" ht="12.75" customHeight="1" x14ac:dyDescent="0.2">
      <c r="B135"/>
      <c r="C135"/>
      <c r="D135"/>
      <c r="E135"/>
      <c r="F135"/>
      <c r="G135"/>
      <c r="I135"/>
      <c r="J135"/>
      <c r="K135"/>
      <c r="L135"/>
    </row>
    <row r="136" spans="2:12" ht="12.75" customHeight="1" x14ac:dyDescent="0.2">
      <c r="B136"/>
      <c r="C136"/>
      <c r="D136"/>
      <c r="E136"/>
      <c r="F136"/>
      <c r="G136"/>
      <c r="I136"/>
      <c r="J136"/>
      <c r="K136"/>
      <c r="L136"/>
    </row>
    <row r="137" spans="2:12" ht="12.75" customHeight="1" x14ac:dyDescent="0.2">
      <c r="B137"/>
      <c r="C137"/>
      <c r="D137"/>
      <c r="E137"/>
      <c r="F137"/>
      <c r="G137"/>
      <c r="I137"/>
      <c r="J137"/>
      <c r="K137"/>
      <c r="L137"/>
    </row>
    <row r="138" spans="2:12" ht="12.75" customHeight="1" x14ac:dyDescent="0.2">
      <c r="B138"/>
      <c r="C138"/>
      <c r="D138"/>
      <c r="E138"/>
      <c r="F138"/>
      <c r="G138"/>
    </row>
    <row r="139" spans="2:12" ht="12.75" customHeight="1" x14ac:dyDescent="0.2">
      <c r="B139"/>
      <c r="C139"/>
      <c r="D139"/>
      <c r="E139"/>
      <c r="F139"/>
      <c r="G139"/>
    </row>
    <row r="140" spans="2:12" ht="12.75" customHeight="1" x14ac:dyDescent="0.2">
      <c r="B140"/>
      <c r="C140"/>
      <c r="D140"/>
      <c r="E140"/>
      <c r="F140"/>
      <c r="G140"/>
      <c r="I140" s="68"/>
      <c r="J140"/>
      <c r="K140"/>
      <c r="L140"/>
    </row>
    <row r="141" spans="2:12" ht="12.75" customHeight="1" x14ac:dyDescent="0.2">
      <c r="B141"/>
      <c r="C141"/>
      <c r="D141"/>
      <c r="E141"/>
      <c r="F141"/>
      <c r="G141"/>
      <c r="I141"/>
      <c r="J141"/>
      <c r="K141"/>
      <c r="L141"/>
    </row>
    <row r="142" spans="2:12" ht="12.75" customHeight="1" x14ac:dyDescent="0.2">
      <c r="B142"/>
      <c r="C142"/>
      <c r="D142"/>
      <c r="E142"/>
      <c r="F142"/>
      <c r="G142"/>
      <c r="I142"/>
      <c r="J142"/>
      <c r="K142"/>
      <c r="L142"/>
    </row>
    <row r="143" spans="2:12" ht="12.75" customHeight="1" x14ac:dyDescent="0.2">
      <c r="B143"/>
      <c r="C143"/>
      <c r="D143"/>
      <c r="E143"/>
      <c r="F143"/>
      <c r="G143"/>
      <c r="I143"/>
      <c r="J143"/>
      <c r="K143" s="69"/>
      <c r="L143" s="69"/>
    </row>
    <row r="144" spans="2:12" ht="12.75" customHeight="1" x14ac:dyDescent="0.2">
      <c r="B144"/>
      <c r="C144"/>
      <c r="D144"/>
      <c r="E144"/>
      <c r="F144"/>
      <c r="G144"/>
      <c r="I144"/>
      <c r="J144"/>
      <c r="K144" s="69"/>
      <c r="L144" s="69"/>
    </row>
    <row r="145" spans="2:12" ht="12.75" customHeight="1" x14ac:dyDescent="0.2">
      <c r="B145"/>
      <c r="C145"/>
      <c r="D145"/>
      <c r="E145"/>
      <c r="F145"/>
      <c r="G145"/>
      <c r="I145"/>
      <c r="J145"/>
      <c r="K145" s="69"/>
      <c r="L145" s="69"/>
    </row>
    <row r="146" spans="2:12" ht="12.75" customHeight="1" x14ac:dyDescent="0.2">
      <c r="B146"/>
      <c r="C146"/>
      <c r="D146"/>
      <c r="E146"/>
      <c r="F146"/>
      <c r="G146"/>
      <c r="I146"/>
      <c r="J146"/>
      <c r="K146"/>
      <c r="L146"/>
    </row>
    <row r="147" spans="2:12" ht="12.75" customHeight="1" x14ac:dyDescent="0.2">
      <c r="B147"/>
      <c r="C147"/>
      <c r="D147"/>
      <c r="E147"/>
      <c r="F147"/>
      <c r="G147"/>
      <c r="H147"/>
      <c r="I147"/>
      <c r="J147"/>
      <c r="K147"/>
      <c r="L147"/>
    </row>
    <row r="148" spans="2:12" ht="12.75" customHeight="1" x14ac:dyDescent="0.2">
      <c r="B148"/>
      <c r="C148"/>
      <c r="D148"/>
      <c r="E148"/>
      <c r="F148"/>
      <c r="G148"/>
      <c r="H148"/>
      <c r="I148"/>
      <c r="J148"/>
      <c r="K148"/>
      <c r="L148"/>
    </row>
    <row r="149" spans="2:12" ht="12.75" customHeight="1" x14ac:dyDescent="0.2">
      <c r="B149"/>
      <c r="C149"/>
      <c r="D149"/>
      <c r="E149"/>
      <c r="F149"/>
      <c r="G149"/>
      <c r="H149"/>
      <c r="I149"/>
      <c r="J149" s="69"/>
      <c r="K149" s="69"/>
    </row>
    <row r="150" spans="2:12" ht="12.75" customHeight="1" x14ac:dyDescent="0.2">
      <c r="B150"/>
      <c r="C150" s="69"/>
      <c r="D150" s="69"/>
      <c r="E150"/>
      <c r="F150"/>
      <c r="G150"/>
      <c r="H150"/>
      <c r="I150"/>
      <c r="J150" s="69"/>
      <c r="K150" s="69"/>
    </row>
    <row r="151" spans="2:12" ht="12.75" customHeight="1" x14ac:dyDescent="0.2">
      <c r="B151"/>
      <c r="C151"/>
      <c r="D151"/>
      <c r="E151"/>
      <c r="G151"/>
      <c r="H151"/>
      <c r="I151"/>
      <c r="J151"/>
      <c r="K151"/>
    </row>
    <row r="152" spans="2:12" ht="12.75" customHeight="1" x14ac:dyDescent="0.2">
      <c r="B152"/>
      <c r="C152"/>
      <c r="D152"/>
      <c r="E152"/>
      <c r="G152"/>
      <c r="H152"/>
      <c r="I152"/>
      <c r="J152"/>
      <c r="K152"/>
    </row>
    <row r="153" spans="2:12" ht="12.75" customHeight="1" x14ac:dyDescent="0.2">
      <c r="B153"/>
      <c r="C153"/>
      <c r="D153"/>
      <c r="E153"/>
      <c r="G153"/>
      <c r="H153"/>
      <c r="I153"/>
      <c r="J153"/>
      <c r="K153"/>
    </row>
    <row r="154" spans="2:12" ht="12.75" customHeight="1" x14ac:dyDescent="0.2">
      <c r="B154"/>
      <c r="C154" s="69"/>
      <c r="D154" s="69"/>
      <c r="E154"/>
      <c r="G154"/>
      <c r="H154"/>
      <c r="I154"/>
      <c r="J154"/>
      <c r="K154"/>
    </row>
    <row r="155" spans="2:12" ht="12.75" customHeight="1" x14ac:dyDescent="0.2">
      <c r="B155"/>
      <c r="C155" s="69"/>
      <c r="D155" s="69"/>
      <c r="E155"/>
      <c r="G155"/>
      <c r="H155"/>
      <c r="I155"/>
      <c r="J155"/>
      <c r="K155"/>
    </row>
    <row r="156" spans="2:12" ht="12.75" customHeight="1" x14ac:dyDescent="0.2">
      <c r="B156"/>
      <c r="C156" s="69"/>
      <c r="D156" s="69"/>
      <c r="E156"/>
      <c r="G156"/>
    </row>
    <row r="157" spans="2:12" ht="12.75" customHeight="1" x14ac:dyDescent="0.2">
      <c r="B157"/>
      <c r="C157"/>
      <c r="D157"/>
      <c r="E157"/>
      <c r="G157"/>
    </row>
    <row r="158" spans="2:12" ht="12.75" customHeight="1" x14ac:dyDescent="0.2">
      <c r="B158"/>
      <c r="C158" s="69"/>
      <c r="D158" s="69"/>
      <c r="E158"/>
      <c r="G158"/>
    </row>
    <row r="159" spans="2:12" ht="12.75" customHeight="1" x14ac:dyDescent="0.2">
      <c r="B159"/>
      <c r="C159" s="69"/>
      <c r="D159" s="69"/>
      <c r="E159"/>
      <c r="G159"/>
    </row>
    <row r="160" spans="2:12" ht="12.75" customHeight="1" x14ac:dyDescent="0.2">
      <c r="B160"/>
      <c r="C160" s="69"/>
      <c r="D160" s="69"/>
      <c r="E160"/>
      <c r="G160"/>
    </row>
    <row r="161" spans="2:7" ht="12.75" customHeight="1" x14ac:dyDescent="0.2">
      <c r="B161"/>
      <c r="C161"/>
      <c r="D161"/>
      <c r="E161"/>
      <c r="G161"/>
    </row>
    <row r="162" spans="2:7" ht="12.75" customHeight="1" x14ac:dyDescent="0.2">
      <c r="B162"/>
      <c r="C162" s="69"/>
      <c r="D162" s="69"/>
      <c r="E162"/>
      <c r="G162"/>
    </row>
    <row r="163" spans="2:7" ht="12.75" customHeight="1" x14ac:dyDescent="0.2">
      <c r="B163"/>
      <c r="C163" s="69"/>
      <c r="D163" s="69"/>
      <c r="E163"/>
      <c r="G163"/>
    </row>
  </sheetData>
  <mergeCells count="2">
    <mergeCell ref="H61:H62"/>
    <mergeCell ref="H123:H124"/>
  </mergeCells>
  <phoneticPr fontId="0" type="noConversion"/>
  <hyperlinks>
    <hyperlink ref="A8" location="Tab1!A2" display="Tab1" xr:uid="{00000000-0004-0000-0100-000000000000}"/>
    <hyperlink ref="A11" location="Tab2!A2" display="Tab2" xr:uid="{00000000-0004-0000-0100-000001000000}"/>
    <hyperlink ref="A23" location="Tab3!A2" display="Tab3" xr:uid="{00000000-0004-0000-0100-000002000000}"/>
    <hyperlink ref="A24" location="Tab4!A2" display="Tab4" xr:uid="{00000000-0004-0000-0100-000003000000}"/>
    <hyperlink ref="A26" location="Tab5!A2" display="Tab5" xr:uid="{00000000-0004-0000-0100-000004000000}"/>
    <hyperlink ref="A28" location="Tab6!A2" display="Tab6" xr:uid="{00000000-0004-0000-0100-000005000000}"/>
    <hyperlink ref="A31" location="Tab7!A2" display="Tab7" xr:uid="{00000000-0004-0000-0100-000006000000}"/>
    <hyperlink ref="A33" location="Tab8!A2" display="Tab8" xr:uid="{00000000-0004-0000-0100-000007000000}"/>
    <hyperlink ref="A35" location="Tab9!A2" display="Tab9" xr:uid="{00000000-0004-0000-0100-000008000000}"/>
    <hyperlink ref="A37" location="Tab10!A2" display="Tab10" xr:uid="{00000000-0004-0000-0100-000009000000}"/>
    <hyperlink ref="A40" location="Tab11!A2" display="Tab11" xr:uid="{00000000-0004-0000-0100-00000A000000}"/>
    <hyperlink ref="A43" location="'Tab12'!A2" display="Tab12" xr:uid="{00000000-0004-0000-0100-00000B000000}"/>
    <hyperlink ref="A45" location="'Tab13'!A2" display="Tab13" xr:uid="{00000000-0004-0000-0100-00000C000000}"/>
    <hyperlink ref="A73" location="'Tab18'!A2" display="Tab18" xr:uid="{00000000-0004-0000-0100-00000D000000}"/>
    <hyperlink ref="A75" location="'Tab19'!A2" display="Tab19" xr:uid="{00000000-0004-0000-0100-00000E000000}"/>
    <hyperlink ref="A77" location="'Tab20'!A2" display="Tab20" xr:uid="{00000000-0004-0000-0100-00000F000000}"/>
    <hyperlink ref="A47" location="'Tab14'!A2" display="Tab14" xr:uid="{00000000-0004-0000-0100-000010000000}"/>
    <hyperlink ref="A80" location="'Tab21'!A2" display="Tab21" xr:uid="{00000000-0004-0000-0100-000011000000}"/>
    <hyperlink ref="A66" location="'Tab15'!A2" display="Tab15" xr:uid="{00000000-0004-0000-0100-000012000000}"/>
    <hyperlink ref="A68" location="'Tab16'!A2" display="Tab16" xr:uid="{00000000-0004-0000-0100-000013000000}"/>
    <hyperlink ref="A70" location="'Tab17'!A2" display="Tab17" xr:uid="{00000000-0004-0000-0100-000014000000}"/>
  </hyperlinks>
  <pageMargins left="0.78740157480314965" right="0.78740157480314965" top="0.98425196850393704" bottom="0.19685039370078741" header="3.937007874015748E-2" footer="3.937007874015748E-2"/>
  <pageSetup paperSize="9" scale="93" fitToWidth="0" fitToHeight="0" orientation="portrait" horizontalDpi="300" verticalDpi="300" r:id="rId1"/>
  <headerFooter alignWithMargins="0"/>
  <rowBreaks count="1" manualBreakCount="1">
    <brk id="62"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154</v>
      </c>
      <c r="B4" s="5"/>
      <c r="C4" s="5"/>
      <c r="D4" s="5"/>
      <c r="E4" s="5"/>
      <c r="F4" s="5"/>
      <c r="G4" s="5"/>
      <c r="H4" s="6"/>
    </row>
    <row r="5" spans="1:8" x14ac:dyDescent="0.2">
      <c r="A5" s="7"/>
      <c r="B5" s="8"/>
      <c r="C5" s="9"/>
      <c r="D5" s="8"/>
      <c r="E5" s="10"/>
      <c r="F5" s="11"/>
      <c r="G5" s="212" t="s">
        <v>1</v>
      </c>
      <c r="H5" s="213"/>
    </row>
    <row r="6" spans="1:8" x14ac:dyDescent="0.2">
      <c r="A6" s="12"/>
      <c r="B6" s="13"/>
      <c r="C6" s="14" t="s">
        <v>234</v>
      </c>
      <c r="D6" s="15" t="s">
        <v>235</v>
      </c>
      <c r="E6" s="15" t="s">
        <v>236</v>
      </c>
      <c r="F6" s="16"/>
      <c r="G6" s="17" t="s">
        <v>237</v>
      </c>
      <c r="H6" s="18" t="s">
        <v>238</v>
      </c>
    </row>
    <row r="7" spans="1:8" x14ac:dyDescent="0.2">
      <c r="A7" s="214" t="s">
        <v>61</v>
      </c>
      <c r="B7" s="19" t="s">
        <v>3</v>
      </c>
      <c r="C7" s="20">
        <v>320312</v>
      </c>
      <c r="D7" s="20">
        <v>333492</v>
      </c>
      <c r="E7" s="79">
        <v>339717.48938745662</v>
      </c>
      <c r="F7" s="22" t="s">
        <v>239</v>
      </c>
      <c r="G7" s="23">
        <v>6.0583085827120584</v>
      </c>
      <c r="H7" s="24">
        <v>1.8667582393150752</v>
      </c>
    </row>
    <row r="8" spans="1:8" x14ac:dyDescent="0.2">
      <c r="A8" s="215"/>
      <c r="B8" s="25" t="s">
        <v>240</v>
      </c>
      <c r="C8" s="26">
        <v>83111</v>
      </c>
      <c r="D8" s="26">
        <v>76206</v>
      </c>
      <c r="E8" s="26">
        <v>80844</v>
      </c>
      <c r="F8" s="27"/>
      <c r="G8" s="28">
        <v>-2.7276774434190401</v>
      </c>
      <c r="H8" s="29">
        <v>6.0861349500039381</v>
      </c>
    </row>
    <row r="9" spans="1:8" x14ac:dyDescent="0.2">
      <c r="A9" s="30" t="s">
        <v>62</v>
      </c>
      <c r="B9" s="31" t="s">
        <v>3</v>
      </c>
      <c r="C9" s="20">
        <v>95488</v>
      </c>
      <c r="D9" s="20">
        <v>93851</v>
      </c>
      <c r="E9" s="21">
        <v>94902.746504328141</v>
      </c>
      <c r="F9" s="22" t="s">
        <v>239</v>
      </c>
      <c r="G9" s="32">
        <v>-0.61290790012552065</v>
      </c>
      <c r="H9" s="33">
        <v>1.1206556182972349</v>
      </c>
    </row>
    <row r="10" spans="1:8" x14ac:dyDescent="0.2">
      <c r="A10" s="34"/>
      <c r="B10" s="25" t="s">
        <v>240</v>
      </c>
      <c r="C10" s="26">
        <v>24279</v>
      </c>
      <c r="D10" s="26">
        <v>19256</v>
      </c>
      <c r="E10" s="26">
        <v>20811</v>
      </c>
      <c r="F10" s="27"/>
      <c r="G10" s="35">
        <v>-14.283949091807742</v>
      </c>
      <c r="H10" s="29">
        <v>8.0754050685500687</v>
      </c>
    </row>
    <row r="11" spans="1:8" x14ac:dyDescent="0.2">
      <c r="A11" s="30" t="s">
        <v>47</v>
      </c>
      <c r="B11" s="31" t="s">
        <v>3</v>
      </c>
      <c r="C11" s="20">
        <v>11450</v>
      </c>
      <c r="D11" s="20">
        <v>11771</v>
      </c>
      <c r="E11" s="21">
        <v>11639.896876644187</v>
      </c>
      <c r="F11" s="22" t="s">
        <v>239</v>
      </c>
      <c r="G11" s="37">
        <v>1.6584880056260971</v>
      </c>
      <c r="H11" s="33">
        <v>-1.1137806758628273</v>
      </c>
    </row>
    <row r="12" spans="1:8" x14ac:dyDescent="0.2">
      <c r="A12" s="34"/>
      <c r="B12" s="25" t="s">
        <v>240</v>
      </c>
      <c r="C12" s="26">
        <v>3636</v>
      </c>
      <c r="D12" s="26">
        <v>3151</v>
      </c>
      <c r="E12" s="26">
        <v>3288</v>
      </c>
      <c r="F12" s="27"/>
      <c r="G12" s="28">
        <v>-9.5709570957095735</v>
      </c>
      <c r="H12" s="29">
        <v>4.3478260869565162</v>
      </c>
    </row>
    <row r="13" spans="1:8" x14ac:dyDescent="0.2">
      <c r="A13" s="30" t="s">
        <v>48</v>
      </c>
      <c r="B13" s="31" t="s">
        <v>3</v>
      </c>
      <c r="C13" s="20">
        <v>94408</v>
      </c>
      <c r="D13" s="20">
        <v>97865</v>
      </c>
      <c r="E13" s="21">
        <v>100656.30249740909</v>
      </c>
      <c r="F13" s="22" t="s">
        <v>239</v>
      </c>
      <c r="G13" s="23">
        <v>6.6184036283038381</v>
      </c>
      <c r="H13" s="24">
        <v>2.8521969012508066</v>
      </c>
    </row>
    <row r="14" spans="1:8" x14ac:dyDescent="0.2">
      <c r="A14" s="34"/>
      <c r="B14" s="25" t="s">
        <v>240</v>
      </c>
      <c r="C14" s="26">
        <v>26482</v>
      </c>
      <c r="D14" s="26">
        <v>24096</v>
      </c>
      <c r="E14" s="26">
        <v>25836</v>
      </c>
      <c r="F14" s="27"/>
      <c r="G14" s="38">
        <v>-2.4393927951061158</v>
      </c>
      <c r="H14" s="24">
        <v>7.221115537848604</v>
      </c>
    </row>
    <row r="15" spans="1:8" x14ac:dyDescent="0.2">
      <c r="A15" s="30" t="s">
        <v>49</v>
      </c>
      <c r="B15" s="31" t="s">
        <v>3</v>
      </c>
      <c r="C15" s="20">
        <v>80714</v>
      </c>
      <c r="D15" s="20">
        <v>84267</v>
      </c>
      <c r="E15" s="21">
        <v>82965.222932599369</v>
      </c>
      <c r="F15" s="22" t="s">
        <v>239</v>
      </c>
      <c r="G15" s="37">
        <v>2.7891356302492341</v>
      </c>
      <c r="H15" s="33">
        <v>-1.5448242697623442</v>
      </c>
    </row>
    <row r="16" spans="1:8" x14ac:dyDescent="0.2">
      <c r="A16" s="34"/>
      <c r="B16" s="25" t="s">
        <v>240</v>
      </c>
      <c r="C16" s="26">
        <v>20649</v>
      </c>
      <c r="D16" s="26">
        <v>19884</v>
      </c>
      <c r="E16" s="26">
        <v>20097</v>
      </c>
      <c r="F16" s="27"/>
      <c r="G16" s="28">
        <v>-2.673252942031084</v>
      </c>
      <c r="H16" s="29">
        <v>1.0712130356065046</v>
      </c>
    </row>
    <row r="17" spans="1:9" x14ac:dyDescent="0.2">
      <c r="A17" s="30" t="s">
        <v>50</v>
      </c>
      <c r="B17" s="31" t="s">
        <v>3</v>
      </c>
      <c r="C17" s="20">
        <v>50788</v>
      </c>
      <c r="D17" s="20">
        <v>58846</v>
      </c>
      <c r="E17" s="21">
        <v>66235.426830991506</v>
      </c>
      <c r="F17" s="22" t="s">
        <v>239</v>
      </c>
      <c r="G17" s="37">
        <v>30.41550529847899</v>
      </c>
      <c r="H17" s="33">
        <v>12.55722875130256</v>
      </c>
    </row>
    <row r="18" spans="1:9" ht="13.5" thickBot="1" x14ac:dyDescent="0.25">
      <c r="A18" s="56"/>
      <c r="B18" s="42" t="s">
        <v>240</v>
      </c>
      <c r="C18" s="43">
        <v>10758</v>
      </c>
      <c r="D18" s="43">
        <v>12287</v>
      </c>
      <c r="E18" s="43">
        <v>13896</v>
      </c>
      <c r="F18" s="44"/>
      <c r="G18" s="57">
        <v>29.168990518683785</v>
      </c>
      <c r="H18" s="46">
        <v>13.095141206152846</v>
      </c>
    </row>
    <row r="19" spans="1:9" x14ac:dyDescent="0.2">
      <c r="A19" s="58"/>
      <c r="B19" s="58"/>
      <c r="C19" s="21"/>
      <c r="D19" s="21"/>
      <c r="E19" s="21"/>
      <c r="F19" s="59"/>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71</v>
      </c>
      <c r="B32" s="5"/>
      <c r="C32" s="5"/>
      <c r="D32" s="5"/>
      <c r="E32" s="5"/>
      <c r="F32" s="5"/>
      <c r="G32" s="5"/>
      <c r="H32" s="6"/>
    </row>
    <row r="33" spans="1:9" x14ac:dyDescent="0.2">
      <c r="A33" s="7"/>
      <c r="B33" s="8"/>
      <c r="C33" s="216" t="s">
        <v>16</v>
      </c>
      <c r="D33" s="212"/>
      <c r="E33" s="212"/>
      <c r="F33" s="217"/>
      <c r="G33" s="212" t="s">
        <v>1</v>
      </c>
      <c r="H33" s="213"/>
    </row>
    <row r="34" spans="1:9" x14ac:dyDescent="0.2">
      <c r="A34" s="12"/>
      <c r="B34" s="13"/>
      <c r="C34" s="14" t="s">
        <v>234</v>
      </c>
      <c r="D34" s="15" t="s">
        <v>235</v>
      </c>
      <c r="E34" s="15" t="s">
        <v>236</v>
      </c>
      <c r="F34" s="16"/>
      <c r="G34" s="17" t="s">
        <v>237</v>
      </c>
      <c r="H34" s="18" t="s">
        <v>238</v>
      </c>
    </row>
    <row r="35" spans="1:9" ht="12.75" customHeight="1" x14ac:dyDescent="0.2">
      <c r="A35" s="214" t="s">
        <v>61</v>
      </c>
      <c r="B35" s="19" t="s">
        <v>3</v>
      </c>
      <c r="C35" s="80">
        <v>2078.8919979673683</v>
      </c>
      <c r="D35" s="80">
        <v>2198.8611608924543</v>
      </c>
      <c r="E35" s="81">
        <v>2485.2605528417848</v>
      </c>
      <c r="F35" s="22" t="s">
        <v>239</v>
      </c>
      <c r="G35" s="23">
        <v>19.547362502320581</v>
      </c>
      <c r="H35" s="24">
        <v>13.024896571145447</v>
      </c>
    </row>
    <row r="36" spans="1:9" ht="12.75" customHeight="1" x14ac:dyDescent="0.2">
      <c r="A36" s="215"/>
      <c r="B36" s="25" t="s">
        <v>240</v>
      </c>
      <c r="C36" s="82">
        <v>582.64189188147327</v>
      </c>
      <c r="D36" s="82">
        <v>567.07605057934711</v>
      </c>
      <c r="E36" s="82">
        <v>658.45600735484777</v>
      </c>
      <c r="F36" s="27"/>
      <c r="G36" s="28">
        <v>13.01212915339039</v>
      </c>
      <c r="H36" s="29">
        <v>16.114233123078165</v>
      </c>
    </row>
    <row r="37" spans="1:9" x14ac:dyDescent="0.2">
      <c r="A37" s="30" t="s">
        <v>62</v>
      </c>
      <c r="B37" s="31" t="s">
        <v>3</v>
      </c>
      <c r="C37" s="80">
        <v>319.84506398723425</v>
      </c>
      <c r="D37" s="80">
        <v>322.95153879669897</v>
      </c>
      <c r="E37" s="83">
        <v>351.43262681886767</v>
      </c>
      <c r="F37" s="22" t="s">
        <v>239</v>
      </c>
      <c r="G37" s="32">
        <v>9.8758950467636879</v>
      </c>
      <c r="H37" s="33">
        <v>8.8189974657769881</v>
      </c>
    </row>
    <row r="38" spans="1:9" x14ac:dyDescent="0.2">
      <c r="A38" s="34"/>
      <c r="B38" s="25" t="s">
        <v>240</v>
      </c>
      <c r="C38" s="82">
        <v>78.825740299472884</v>
      </c>
      <c r="D38" s="82">
        <v>68.787753947288792</v>
      </c>
      <c r="E38" s="82">
        <v>78.401501291833455</v>
      </c>
      <c r="F38" s="27"/>
      <c r="G38" s="35">
        <v>-0.53819857070503474</v>
      </c>
      <c r="H38" s="29">
        <v>13.975957627445652</v>
      </c>
    </row>
    <row r="39" spans="1:9" x14ac:dyDescent="0.2">
      <c r="A39" s="30" t="s">
        <v>47</v>
      </c>
      <c r="B39" s="31" t="s">
        <v>3</v>
      </c>
      <c r="C39" s="80">
        <v>202.57119352030469</v>
      </c>
      <c r="D39" s="80">
        <v>210.41494721508866</v>
      </c>
      <c r="E39" s="83">
        <v>283.99929225800275</v>
      </c>
      <c r="F39" s="22" t="s">
        <v>239</v>
      </c>
      <c r="G39" s="37">
        <v>40.197274510077932</v>
      </c>
      <c r="H39" s="33">
        <v>34.971063613506175</v>
      </c>
    </row>
    <row r="40" spans="1:9" x14ac:dyDescent="0.2">
      <c r="A40" s="34"/>
      <c r="B40" s="25" t="s">
        <v>240</v>
      </c>
      <c r="C40" s="82">
        <v>72.201114403515902</v>
      </c>
      <c r="D40" s="82">
        <v>72.666748242082733</v>
      </c>
      <c r="E40" s="82">
        <v>99.105446577921995</v>
      </c>
      <c r="F40" s="27"/>
      <c r="G40" s="28">
        <v>37.263042816823855</v>
      </c>
      <c r="H40" s="29">
        <v>36.38348897594966</v>
      </c>
    </row>
    <row r="41" spans="1:9" x14ac:dyDescent="0.2">
      <c r="A41" s="30" t="s">
        <v>48</v>
      </c>
      <c r="B41" s="31" t="s">
        <v>3</v>
      </c>
      <c r="C41" s="80">
        <v>965.91741902220747</v>
      </c>
      <c r="D41" s="80">
        <v>1026.8400479912541</v>
      </c>
      <c r="E41" s="83">
        <v>1140.7482462373098</v>
      </c>
      <c r="F41" s="22" t="s">
        <v>239</v>
      </c>
      <c r="G41" s="23">
        <v>18.099976641075855</v>
      </c>
      <c r="H41" s="24">
        <v>11.093080998241888</v>
      </c>
    </row>
    <row r="42" spans="1:9" x14ac:dyDescent="0.2">
      <c r="A42" s="34"/>
      <c r="B42" s="25" t="s">
        <v>240</v>
      </c>
      <c r="C42" s="82">
        <v>282.69746586616174</v>
      </c>
      <c r="D42" s="82">
        <v>270.22665442241816</v>
      </c>
      <c r="E42" s="82">
        <v>310.64348779972937</v>
      </c>
      <c r="F42" s="27"/>
      <c r="G42" s="38">
        <v>9.8854872462133017</v>
      </c>
      <c r="H42" s="24">
        <v>14.956642032111176</v>
      </c>
    </row>
    <row r="43" spans="1:9" x14ac:dyDescent="0.2">
      <c r="A43" s="30" t="s">
        <v>49</v>
      </c>
      <c r="B43" s="31" t="s">
        <v>3</v>
      </c>
      <c r="C43" s="80">
        <v>435.81523128285698</v>
      </c>
      <c r="D43" s="80">
        <v>482.04813965634253</v>
      </c>
      <c r="E43" s="83">
        <v>511.28581950068019</v>
      </c>
      <c r="F43" s="22" t="s">
        <v>239</v>
      </c>
      <c r="G43" s="37">
        <v>17.317106608612434</v>
      </c>
      <c r="H43" s="33">
        <v>6.0653029104482243</v>
      </c>
    </row>
    <row r="44" spans="1:9" x14ac:dyDescent="0.2">
      <c r="A44" s="34"/>
      <c r="B44" s="25" t="s">
        <v>240</v>
      </c>
      <c r="C44" s="82">
        <v>114.41227772957726</v>
      </c>
      <c r="D44" s="82">
        <v>116.62400839527616</v>
      </c>
      <c r="E44" s="82">
        <v>127.0183817796554</v>
      </c>
      <c r="F44" s="27"/>
      <c r="G44" s="28">
        <v>11.018139224422825</v>
      </c>
      <c r="H44" s="29">
        <v>8.9127217692170007</v>
      </c>
    </row>
    <row r="45" spans="1:9" x14ac:dyDescent="0.2">
      <c r="A45" s="30" t="s">
        <v>50</v>
      </c>
      <c r="B45" s="31" t="s">
        <v>3</v>
      </c>
      <c r="C45" s="80">
        <v>154.74309015476481</v>
      </c>
      <c r="D45" s="80">
        <v>156.6064872330698</v>
      </c>
      <c r="E45" s="83">
        <v>181.2749212332557</v>
      </c>
      <c r="F45" s="22" t="s">
        <v>239</v>
      </c>
      <c r="G45" s="37">
        <v>17.145729125581852</v>
      </c>
      <c r="H45" s="33">
        <v>15.7518596043043</v>
      </c>
    </row>
    <row r="46" spans="1:9" ht="13.5" thickBot="1" x14ac:dyDescent="0.25">
      <c r="A46" s="56"/>
      <c r="B46" s="42" t="s">
        <v>240</v>
      </c>
      <c r="C46" s="86">
        <v>34.505293582745502</v>
      </c>
      <c r="D46" s="86">
        <v>38.770885572281109</v>
      </c>
      <c r="E46" s="86">
        <v>43.287189905707876</v>
      </c>
      <c r="F46" s="44"/>
      <c r="G46" s="57">
        <v>25.450866841352692</v>
      </c>
      <c r="H46" s="46">
        <v>11.64870047914421</v>
      </c>
    </row>
    <row r="47" spans="1:9" x14ac:dyDescent="0.2">
      <c r="A47" s="58"/>
      <c r="B47" s="58"/>
      <c r="C47" s="21"/>
      <c r="D47" s="21"/>
      <c r="E47" s="21"/>
      <c r="F47" s="59"/>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row>
    <row r="60" spans="1:9" x14ac:dyDescent="0.2">
      <c r="A60" s="52"/>
      <c r="B60" s="52"/>
      <c r="C60" s="52"/>
      <c r="D60" s="52"/>
      <c r="E60" s="52"/>
      <c r="F60" s="52"/>
      <c r="G60" s="52"/>
      <c r="H60" s="52"/>
    </row>
    <row r="61" spans="1:9" ht="12.75" customHeight="1" x14ac:dyDescent="0.2">
      <c r="A61" s="54" t="str">
        <f>+Innhold!$B$123</f>
        <v>Finans Norge / Skadestatistikk</v>
      </c>
      <c r="G61" s="53"/>
      <c r="H61" s="211">
        <v>24</v>
      </c>
    </row>
    <row r="62" spans="1:9" ht="12.75" customHeight="1" x14ac:dyDescent="0.2">
      <c r="A62" s="54" t="str">
        <f>+Innhold!$B$124</f>
        <v>Skadestatistikk for landbasert forsikring 1. kvartal 2019</v>
      </c>
      <c r="G62" s="53"/>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73" display="Tilbake til innholdsfortegnelsen" xr:uid="{00000000-0004-0000-13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155</v>
      </c>
      <c r="B4" s="5"/>
      <c r="C4" s="5"/>
      <c r="D4" s="5"/>
      <c r="E4" s="5"/>
      <c r="F4" s="5"/>
      <c r="G4" s="5"/>
      <c r="H4" s="6"/>
    </row>
    <row r="5" spans="1:8" x14ac:dyDescent="0.2">
      <c r="A5" s="7"/>
      <c r="B5" s="8"/>
      <c r="C5" s="9"/>
      <c r="D5" s="8"/>
      <c r="E5" s="10"/>
      <c r="F5" s="11"/>
      <c r="G5" s="212" t="s">
        <v>1</v>
      </c>
      <c r="H5" s="213"/>
    </row>
    <row r="6" spans="1:8" x14ac:dyDescent="0.2">
      <c r="A6" s="12"/>
      <c r="B6" s="13"/>
      <c r="C6" s="14" t="s">
        <v>234</v>
      </c>
      <c r="D6" s="15" t="s">
        <v>235</v>
      </c>
      <c r="E6" s="15" t="s">
        <v>236</v>
      </c>
      <c r="F6" s="16"/>
      <c r="G6" s="17" t="s">
        <v>237</v>
      </c>
      <c r="H6" s="18" t="s">
        <v>238</v>
      </c>
    </row>
    <row r="7" spans="1:8" x14ac:dyDescent="0.2">
      <c r="A7" s="214" t="s">
        <v>51</v>
      </c>
      <c r="B7" s="19" t="s">
        <v>3</v>
      </c>
      <c r="C7" s="20">
        <v>9835.3017456359103</v>
      </c>
      <c r="D7" s="20">
        <v>12077.194513715711</v>
      </c>
      <c r="E7" s="79">
        <v>15640.130778370694</v>
      </c>
      <c r="F7" s="22" t="s">
        <v>239</v>
      </c>
      <c r="G7" s="23">
        <v>59.020345108481138</v>
      </c>
      <c r="H7" s="24">
        <v>29.50135696339629</v>
      </c>
    </row>
    <row r="8" spans="1:8" x14ac:dyDescent="0.2">
      <c r="A8" s="215"/>
      <c r="B8" s="25" t="s">
        <v>240</v>
      </c>
      <c r="C8" s="26">
        <v>1164.4622753117208</v>
      </c>
      <c r="D8" s="26">
        <v>1085.2063591022443</v>
      </c>
      <c r="E8" s="26">
        <v>1528.1477556109726</v>
      </c>
      <c r="F8" s="27"/>
      <c r="G8" s="28">
        <v>31.232053455909096</v>
      </c>
      <c r="H8" s="29">
        <v>40.816328875473914</v>
      </c>
    </row>
    <row r="9" spans="1:8" x14ac:dyDescent="0.2">
      <c r="A9" s="30" t="s">
        <v>12</v>
      </c>
      <c r="B9" s="31" t="s">
        <v>3</v>
      </c>
      <c r="C9" s="20">
        <v>251.97450000000001</v>
      </c>
      <c r="D9" s="20">
        <v>316.09050000000002</v>
      </c>
      <c r="E9" s="21">
        <v>575.55389117472134</v>
      </c>
      <c r="F9" s="22" t="s">
        <v>239</v>
      </c>
      <c r="G9" s="32">
        <v>128.41751493691675</v>
      </c>
      <c r="H9" s="33">
        <v>82.085159527009296</v>
      </c>
    </row>
    <row r="10" spans="1:8" x14ac:dyDescent="0.2">
      <c r="A10" s="34"/>
      <c r="B10" s="25" t="s">
        <v>240</v>
      </c>
      <c r="C10" s="26">
        <v>15.219037239999999</v>
      </c>
      <c r="D10" s="26">
        <v>21.248875000000002</v>
      </c>
      <c r="E10" s="26">
        <v>37.286625000000001</v>
      </c>
      <c r="F10" s="27"/>
      <c r="G10" s="35">
        <v>144.99989330468321</v>
      </c>
      <c r="H10" s="29">
        <v>75.475760481437248</v>
      </c>
    </row>
    <row r="11" spans="1:8" x14ac:dyDescent="0.2">
      <c r="A11" s="30" t="s">
        <v>18</v>
      </c>
      <c r="B11" s="31" t="s">
        <v>3</v>
      </c>
      <c r="C11" s="20">
        <v>273.38979999999998</v>
      </c>
      <c r="D11" s="20">
        <v>259.43619999999999</v>
      </c>
      <c r="E11" s="21">
        <v>574.02750293449787</v>
      </c>
      <c r="F11" s="22" t="s">
        <v>239</v>
      </c>
      <c r="G11" s="37">
        <v>109.96668600456121</v>
      </c>
      <c r="H11" s="33">
        <v>121.25960175738695</v>
      </c>
    </row>
    <row r="12" spans="1:8" x14ac:dyDescent="0.2">
      <c r="A12" s="34"/>
      <c r="B12" s="25" t="s">
        <v>240</v>
      </c>
      <c r="C12" s="26">
        <v>41.087614896000005</v>
      </c>
      <c r="D12" s="26">
        <v>21.099550000000001</v>
      </c>
      <c r="E12" s="26">
        <v>55.114649999999997</v>
      </c>
      <c r="F12" s="27"/>
      <c r="G12" s="28">
        <v>34.139326752124418</v>
      </c>
      <c r="H12" s="29">
        <v>161.21244291939871</v>
      </c>
    </row>
    <row r="13" spans="1:8" x14ac:dyDescent="0.2">
      <c r="A13" s="30" t="s">
        <v>63</v>
      </c>
      <c r="B13" s="31" t="s">
        <v>3</v>
      </c>
      <c r="C13" s="20">
        <v>1360.6543750000001</v>
      </c>
      <c r="D13" s="20">
        <v>1273.089375</v>
      </c>
      <c r="E13" s="21">
        <v>1371.3491431847049</v>
      </c>
      <c r="F13" s="22" t="s">
        <v>239</v>
      </c>
      <c r="G13" s="23">
        <v>0.78600182244699113</v>
      </c>
      <c r="H13" s="24">
        <v>7.718214456444187</v>
      </c>
    </row>
    <row r="14" spans="1:8" x14ac:dyDescent="0.2">
      <c r="A14" s="34"/>
      <c r="B14" s="25" t="s">
        <v>240</v>
      </c>
      <c r="C14" s="26">
        <v>167.82138964999999</v>
      </c>
      <c r="D14" s="26">
        <v>120.93328124999999</v>
      </c>
      <c r="E14" s="26">
        <v>141.07484375000001</v>
      </c>
      <c r="F14" s="27"/>
      <c r="G14" s="38">
        <v>-15.937507105489502</v>
      </c>
      <c r="H14" s="24">
        <v>16.655102955787868</v>
      </c>
    </row>
    <row r="15" spans="1:8" x14ac:dyDescent="0.2">
      <c r="A15" s="30" t="s">
        <v>52</v>
      </c>
      <c r="B15" s="31" t="s">
        <v>3</v>
      </c>
      <c r="C15" s="20">
        <v>4984.05375</v>
      </c>
      <c r="D15" s="20">
        <v>6422.0837499999998</v>
      </c>
      <c r="E15" s="21">
        <v>7714.7821707145058</v>
      </c>
      <c r="F15" s="22" t="s">
        <v>239</v>
      </c>
      <c r="G15" s="37">
        <v>54.789305205918083</v>
      </c>
      <c r="H15" s="33">
        <v>20.128956130703003</v>
      </c>
    </row>
    <row r="16" spans="1:8" x14ac:dyDescent="0.2">
      <c r="A16" s="34"/>
      <c r="B16" s="25" t="s">
        <v>240</v>
      </c>
      <c r="C16" s="26">
        <v>567.83315169999992</v>
      </c>
      <c r="D16" s="26">
        <v>562.35531250000008</v>
      </c>
      <c r="E16" s="26">
        <v>732.01593749999995</v>
      </c>
      <c r="F16" s="27"/>
      <c r="G16" s="28">
        <v>28.913913410737564</v>
      </c>
      <c r="H16" s="29">
        <v>30.169649193097968</v>
      </c>
    </row>
    <row r="17" spans="1:9" x14ac:dyDescent="0.2">
      <c r="A17" s="30" t="s">
        <v>50</v>
      </c>
      <c r="B17" s="31" t="s">
        <v>3</v>
      </c>
      <c r="C17" s="20">
        <v>3582.8724999999999</v>
      </c>
      <c r="D17" s="20">
        <v>4497.4524999999994</v>
      </c>
      <c r="E17" s="21">
        <v>6297.2064326263944</v>
      </c>
      <c r="F17" s="22" t="s">
        <v>239</v>
      </c>
      <c r="G17" s="37">
        <v>75.758596841679235</v>
      </c>
      <c r="H17" s="33">
        <v>40.017186009777674</v>
      </c>
    </row>
    <row r="18" spans="1:9" ht="13.5" thickBot="1" x14ac:dyDescent="0.25">
      <c r="A18" s="56"/>
      <c r="B18" s="42" t="s">
        <v>240</v>
      </c>
      <c r="C18" s="43">
        <v>419.0951862</v>
      </c>
      <c r="D18" s="43">
        <v>395.24437499999999</v>
      </c>
      <c r="E18" s="43">
        <v>603.43312500000002</v>
      </c>
      <c r="F18" s="44"/>
      <c r="G18" s="57">
        <v>43.984742576363203</v>
      </c>
      <c r="H18" s="46">
        <v>52.673425143621586</v>
      </c>
    </row>
    <row r="19" spans="1:9" x14ac:dyDescent="0.2">
      <c r="A19" s="58"/>
      <c r="B19" s="58"/>
      <c r="C19" s="21"/>
      <c r="D19" s="21"/>
      <c r="E19" s="21"/>
      <c r="F19" s="59"/>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70</v>
      </c>
      <c r="B32" s="5"/>
      <c r="C32" s="5"/>
      <c r="D32" s="5"/>
      <c r="E32" s="5"/>
      <c r="F32" s="5"/>
      <c r="G32" s="5"/>
      <c r="H32" s="6"/>
    </row>
    <row r="33" spans="1:9" x14ac:dyDescent="0.2">
      <c r="A33" s="7"/>
      <c r="B33" s="8"/>
      <c r="C33" s="216" t="s">
        <v>16</v>
      </c>
      <c r="D33" s="212"/>
      <c r="E33" s="212"/>
      <c r="F33" s="217"/>
      <c r="G33" s="212" t="s">
        <v>1</v>
      </c>
      <c r="H33" s="213"/>
    </row>
    <row r="34" spans="1:9" x14ac:dyDescent="0.2">
      <c r="A34" s="12"/>
      <c r="B34" s="13"/>
      <c r="C34" s="14" t="s">
        <v>234</v>
      </c>
      <c r="D34" s="15" t="s">
        <v>235</v>
      </c>
      <c r="E34" s="15" t="s">
        <v>236</v>
      </c>
      <c r="F34" s="16"/>
      <c r="G34" s="17" t="s">
        <v>237</v>
      </c>
      <c r="H34" s="18" t="s">
        <v>238</v>
      </c>
    </row>
    <row r="35" spans="1:9" ht="12.75" customHeight="1" x14ac:dyDescent="0.2">
      <c r="A35" s="214" t="s">
        <v>51</v>
      </c>
      <c r="B35" s="19" t="s">
        <v>3</v>
      </c>
      <c r="C35" s="80">
        <v>468.76565664708272</v>
      </c>
      <c r="D35" s="80">
        <v>540.69659437321695</v>
      </c>
      <c r="E35" s="81">
        <v>736.89874704081103</v>
      </c>
      <c r="F35" s="22" t="s">
        <v>239</v>
      </c>
      <c r="G35" s="23">
        <v>57.199815428372204</v>
      </c>
      <c r="H35" s="24">
        <v>36.286922223920101</v>
      </c>
    </row>
    <row r="36" spans="1:9" ht="12.75" customHeight="1" x14ac:dyDescent="0.2">
      <c r="A36" s="215"/>
      <c r="B36" s="25" t="s">
        <v>240</v>
      </c>
      <c r="C36" s="82">
        <v>55.113869167467833</v>
      </c>
      <c r="D36" s="82">
        <v>52.283765475558766</v>
      </c>
      <c r="E36" s="82">
        <v>75.738455798829577</v>
      </c>
      <c r="F36" s="27"/>
      <c r="G36" s="28">
        <v>37.421772310509198</v>
      </c>
      <c r="H36" s="29">
        <v>44.860369389873512</v>
      </c>
    </row>
    <row r="37" spans="1:9" x14ac:dyDescent="0.2">
      <c r="A37" s="30" t="s">
        <v>12</v>
      </c>
      <c r="B37" s="31" t="s">
        <v>3</v>
      </c>
      <c r="C37" s="80">
        <v>2.9888742341862047</v>
      </c>
      <c r="D37" s="80">
        <v>4.6908872103842141</v>
      </c>
      <c r="E37" s="83">
        <v>5.8745138100028305</v>
      </c>
      <c r="F37" s="22" t="s">
        <v>239</v>
      </c>
      <c r="G37" s="32">
        <v>96.546035387210367</v>
      </c>
      <c r="H37" s="33">
        <v>25.232467687528754</v>
      </c>
    </row>
    <row r="38" spans="1:9" x14ac:dyDescent="0.2">
      <c r="A38" s="34"/>
      <c r="B38" s="25" t="s">
        <v>240</v>
      </c>
      <c r="C38" s="82">
        <v>0.38360073656378468</v>
      </c>
      <c r="D38" s="82">
        <v>1.1956721693096446</v>
      </c>
      <c r="E38" s="82">
        <v>1.1269638435953939</v>
      </c>
      <c r="F38" s="27"/>
      <c r="G38" s="35">
        <v>193.78563078123904</v>
      </c>
      <c r="H38" s="29">
        <v>-5.7464184144991322</v>
      </c>
    </row>
    <row r="39" spans="1:9" x14ac:dyDescent="0.2">
      <c r="A39" s="30" t="s">
        <v>18</v>
      </c>
      <c r="B39" s="31" t="s">
        <v>3</v>
      </c>
      <c r="C39" s="80">
        <v>31.57427038837665</v>
      </c>
      <c r="D39" s="80">
        <v>30.739915328211769</v>
      </c>
      <c r="E39" s="83">
        <v>35.822310321916639</v>
      </c>
      <c r="F39" s="22" t="s">
        <v>239</v>
      </c>
      <c r="G39" s="37">
        <v>13.454119070012794</v>
      </c>
      <c r="H39" s="33">
        <v>16.533536086355014</v>
      </c>
    </row>
    <row r="40" spans="1:9" x14ac:dyDescent="0.2">
      <c r="A40" s="34"/>
      <c r="B40" s="25" t="s">
        <v>240</v>
      </c>
      <c r="C40" s="82">
        <v>3.0860237916295277</v>
      </c>
      <c r="D40" s="82">
        <v>2.4898186204512167</v>
      </c>
      <c r="E40" s="82">
        <v>3.0771770479404896</v>
      </c>
      <c r="F40" s="27"/>
      <c r="G40" s="28">
        <v>-0.28667127301589801</v>
      </c>
      <c r="H40" s="29">
        <v>23.590410267830237</v>
      </c>
    </row>
    <row r="41" spans="1:9" x14ac:dyDescent="0.2">
      <c r="A41" s="30" t="s">
        <v>63</v>
      </c>
      <c r="B41" s="31" t="s">
        <v>3</v>
      </c>
      <c r="C41" s="80">
        <v>63.538101099784939</v>
      </c>
      <c r="D41" s="80">
        <v>59.013278673136298</v>
      </c>
      <c r="E41" s="83">
        <v>63.342613454020196</v>
      </c>
      <c r="F41" s="22" t="s">
        <v>239</v>
      </c>
      <c r="G41" s="23">
        <v>-0.3076699529589888</v>
      </c>
      <c r="H41" s="24">
        <v>7.3362044580903358</v>
      </c>
    </row>
    <row r="42" spans="1:9" x14ac:dyDescent="0.2">
      <c r="A42" s="34"/>
      <c r="B42" s="25" t="s">
        <v>240</v>
      </c>
      <c r="C42" s="82">
        <v>8.4203174617217993</v>
      </c>
      <c r="D42" s="82">
        <v>5.6928788141476767</v>
      </c>
      <c r="E42" s="82">
        <v>6.7199593824296739</v>
      </c>
      <c r="F42" s="27"/>
      <c r="G42" s="38">
        <v>-20.193515114149079</v>
      </c>
      <c r="H42" s="24">
        <v>18.041497137257608</v>
      </c>
    </row>
    <row r="43" spans="1:9" x14ac:dyDescent="0.2">
      <c r="A43" s="30" t="s">
        <v>52</v>
      </c>
      <c r="B43" s="31" t="s">
        <v>3</v>
      </c>
      <c r="C43" s="80">
        <v>234.64305984490016</v>
      </c>
      <c r="D43" s="80">
        <v>294.63609474175274</v>
      </c>
      <c r="E43" s="83">
        <v>409.39917396576351</v>
      </c>
      <c r="F43" s="22" t="s">
        <v>239</v>
      </c>
      <c r="G43" s="37">
        <v>74.477427219188883</v>
      </c>
      <c r="H43" s="33">
        <v>38.950787521332074</v>
      </c>
    </row>
    <row r="44" spans="1:9" x14ac:dyDescent="0.2">
      <c r="A44" s="34"/>
      <c r="B44" s="25" t="s">
        <v>240</v>
      </c>
      <c r="C44" s="82">
        <v>26.759829027108104</v>
      </c>
      <c r="D44" s="82">
        <v>28.376227648737324</v>
      </c>
      <c r="E44" s="82">
        <v>41.584639198386022</v>
      </c>
      <c r="F44" s="27"/>
      <c r="G44" s="28">
        <v>55.399495102379632</v>
      </c>
      <c r="H44" s="29">
        <v>46.547454133623859</v>
      </c>
    </row>
    <row r="45" spans="1:9" x14ac:dyDescent="0.2">
      <c r="A45" s="30" t="s">
        <v>50</v>
      </c>
      <c r="B45" s="31" t="s">
        <v>3</v>
      </c>
      <c r="C45" s="80">
        <v>136.02135107983489</v>
      </c>
      <c r="D45" s="80">
        <v>151.61641841973204</v>
      </c>
      <c r="E45" s="83">
        <v>225.57851503870319</v>
      </c>
      <c r="F45" s="22" t="s">
        <v>239</v>
      </c>
      <c r="G45" s="37">
        <v>65.840519336044991</v>
      </c>
      <c r="H45" s="33">
        <v>48.782379500758225</v>
      </c>
    </row>
    <row r="46" spans="1:9" ht="13.5" thickBot="1" x14ac:dyDescent="0.25">
      <c r="A46" s="56"/>
      <c r="B46" s="42" t="s">
        <v>240</v>
      </c>
      <c r="C46" s="86">
        <v>16.464098150444617</v>
      </c>
      <c r="D46" s="86">
        <v>14.529168222912908</v>
      </c>
      <c r="E46" s="86">
        <v>23.229716326477998</v>
      </c>
      <c r="F46" s="44"/>
      <c r="G46" s="57">
        <v>41.093159881646329</v>
      </c>
      <c r="H46" s="46">
        <v>59.883318646170522</v>
      </c>
    </row>
    <row r="47" spans="1:9" x14ac:dyDescent="0.2">
      <c r="A47" s="58"/>
      <c r="B47" s="58"/>
      <c r="C47" s="21"/>
      <c r="D47" s="21"/>
      <c r="E47" s="21"/>
      <c r="F47" s="59"/>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row>
    <row r="60" spans="1:9" x14ac:dyDescent="0.2">
      <c r="A60" s="52"/>
      <c r="B60" s="52"/>
      <c r="C60" s="52"/>
      <c r="D60" s="52"/>
      <c r="E60" s="52"/>
      <c r="F60" s="52"/>
      <c r="G60" s="52"/>
      <c r="H60" s="52"/>
    </row>
    <row r="61" spans="1:9" ht="12.75" customHeight="1" x14ac:dyDescent="0.2">
      <c r="A61" s="54" t="str">
        <f>+Innhold!$B$123</f>
        <v>Finans Norge / Skadestatistikk</v>
      </c>
      <c r="H61" s="207">
        <v>25</v>
      </c>
    </row>
    <row r="62" spans="1:9" ht="12.75" customHeight="1" x14ac:dyDescent="0.2">
      <c r="A62" s="54" t="str">
        <f>+Innhold!$B$124</f>
        <v>Skadestatistikk for landbasert forsikring 1. kvartal 2019</v>
      </c>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75" display="Tilbake til innholdsfortegnelsen" xr:uid="{00000000-0004-0000-14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156</v>
      </c>
      <c r="B4" s="5"/>
      <c r="C4" s="5"/>
      <c r="D4" s="5"/>
      <c r="E4" s="5"/>
      <c r="F4" s="5"/>
      <c r="G4" s="5"/>
      <c r="H4" s="6"/>
    </row>
    <row r="5" spans="1:8" x14ac:dyDescent="0.2">
      <c r="A5" s="7"/>
      <c r="B5" s="8"/>
      <c r="C5" s="9"/>
      <c r="D5" s="8"/>
      <c r="E5" s="10"/>
      <c r="F5" s="11"/>
      <c r="G5" s="212" t="s">
        <v>1</v>
      </c>
      <c r="H5" s="213"/>
    </row>
    <row r="6" spans="1:8" x14ac:dyDescent="0.2">
      <c r="A6" s="12"/>
      <c r="B6" s="13"/>
      <c r="C6" s="14" t="s">
        <v>234</v>
      </c>
      <c r="D6" s="15" t="s">
        <v>235</v>
      </c>
      <c r="E6" s="15" t="s">
        <v>236</v>
      </c>
      <c r="F6" s="16"/>
      <c r="G6" s="17" t="s">
        <v>237</v>
      </c>
      <c r="H6" s="18" t="s">
        <v>238</v>
      </c>
    </row>
    <row r="7" spans="1:8" ht="12.75" customHeight="1" x14ac:dyDescent="0.2">
      <c r="A7" s="214" t="s">
        <v>64</v>
      </c>
      <c r="B7" s="19" t="s">
        <v>3</v>
      </c>
      <c r="C7" s="20">
        <v>9480.0519999999997</v>
      </c>
      <c r="D7" s="20">
        <v>11145.096</v>
      </c>
      <c r="E7" s="79">
        <v>12579.075835710564</v>
      </c>
      <c r="F7" s="22" t="s">
        <v>239</v>
      </c>
      <c r="G7" s="23">
        <v>32.689945537330033</v>
      </c>
      <c r="H7" s="24">
        <v>12.866464637994724</v>
      </c>
    </row>
    <row r="8" spans="1:8" ht="12.75" customHeight="1" x14ac:dyDescent="0.2">
      <c r="A8" s="215"/>
      <c r="B8" s="25" t="s">
        <v>240</v>
      </c>
      <c r="C8" s="26">
        <v>2548.8293733400001</v>
      </c>
      <c r="D8" s="26">
        <v>2556.018</v>
      </c>
      <c r="E8" s="26">
        <v>3033.5279999999998</v>
      </c>
      <c r="F8" s="27"/>
      <c r="G8" s="28">
        <v>19.016519180522778</v>
      </c>
      <c r="H8" s="29">
        <v>18.681793320704301</v>
      </c>
    </row>
    <row r="9" spans="1:8" x14ac:dyDescent="0.2">
      <c r="A9" s="30" t="s">
        <v>53</v>
      </c>
      <c r="B9" s="31" t="s">
        <v>3</v>
      </c>
      <c r="C9" s="20">
        <v>3.12052</v>
      </c>
      <c r="D9" s="20">
        <v>3.13096</v>
      </c>
      <c r="E9" s="21">
        <v>1.368494949592999</v>
      </c>
      <c r="F9" s="22" t="s">
        <v>239</v>
      </c>
      <c r="G9" s="32">
        <v>-56.145291502922625</v>
      </c>
      <c r="H9" s="33">
        <v>-56.291522421461821</v>
      </c>
    </row>
    <row r="10" spans="1:8" x14ac:dyDescent="0.2">
      <c r="A10" s="34"/>
      <c r="B10" s="25" t="s">
        <v>240</v>
      </c>
      <c r="C10" s="26">
        <v>2.8293733399999993E-2</v>
      </c>
      <c r="D10" s="26">
        <v>1.0301800000000001</v>
      </c>
      <c r="E10" s="26">
        <v>3.5279999999999992E-2</v>
      </c>
      <c r="F10" s="27"/>
      <c r="G10" s="35">
        <v>24.691922063561961</v>
      </c>
      <c r="H10" s="29">
        <v>-96.575355763070533</v>
      </c>
    </row>
    <row r="11" spans="1:8" x14ac:dyDescent="0.2">
      <c r="A11" s="30" t="s">
        <v>54</v>
      </c>
      <c r="B11" s="31" t="s">
        <v>3</v>
      </c>
      <c r="C11" s="20">
        <v>781.60260000000005</v>
      </c>
      <c r="D11" s="20">
        <v>955.65480000000002</v>
      </c>
      <c r="E11" s="21">
        <v>1064.496593989126</v>
      </c>
      <c r="F11" s="22" t="s">
        <v>239</v>
      </c>
      <c r="G11" s="37">
        <v>36.194095821729093</v>
      </c>
      <c r="H11" s="33">
        <v>11.38923740969291</v>
      </c>
    </row>
    <row r="12" spans="1:8" x14ac:dyDescent="0.2">
      <c r="A12" s="34"/>
      <c r="B12" s="25" t="s">
        <v>240</v>
      </c>
      <c r="C12" s="26">
        <v>157.141468667</v>
      </c>
      <c r="D12" s="26">
        <v>164.15089999999998</v>
      </c>
      <c r="E12" s="26">
        <v>192.1764</v>
      </c>
      <c r="F12" s="27"/>
      <c r="G12" s="28">
        <v>22.295153297340534</v>
      </c>
      <c r="H12" s="29">
        <v>17.073010260680888</v>
      </c>
    </row>
    <row r="13" spans="1:8" x14ac:dyDescent="0.2">
      <c r="A13" s="30" t="s">
        <v>66</v>
      </c>
      <c r="B13" s="31" t="s">
        <v>3</v>
      </c>
      <c r="C13" s="20">
        <v>370.24104</v>
      </c>
      <c r="D13" s="20">
        <v>56.261920000000003</v>
      </c>
      <c r="E13" s="21">
        <v>287.05048532875935</v>
      </c>
      <c r="F13" s="22" t="s">
        <v>239</v>
      </c>
      <c r="G13" s="23">
        <v>-22.46929585959478</v>
      </c>
      <c r="H13" s="24">
        <v>410.20385605176529</v>
      </c>
    </row>
    <row r="14" spans="1:8" x14ac:dyDescent="0.2">
      <c r="A14" s="34"/>
      <c r="B14" s="25" t="s">
        <v>240</v>
      </c>
      <c r="C14" s="26">
        <v>18.0565874668</v>
      </c>
      <c r="D14" s="26">
        <v>11.060359999999999</v>
      </c>
      <c r="E14" s="26">
        <v>28.07056</v>
      </c>
      <c r="F14" s="27"/>
      <c r="G14" s="38">
        <v>55.458832138754531</v>
      </c>
      <c r="H14" s="24">
        <v>153.7942707108991</v>
      </c>
    </row>
    <row r="15" spans="1:8" x14ac:dyDescent="0.2">
      <c r="A15" s="30" t="s">
        <v>55</v>
      </c>
      <c r="B15" s="31" t="s">
        <v>3</v>
      </c>
      <c r="C15" s="20">
        <v>6849.6415999999999</v>
      </c>
      <c r="D15" s="20">
        <v>7916.4768000000004</v>
      </c>
      <c r="E15" s="21">
        <v>9138.7164684767322</v>
      </c>
      <c r="F15" s="22" t="s">
        <v>239</v>
      </c>
      <c r="G15" s="37">
        <v>33.418899880494962</v>
      </c>
      <c r="H15" s="33">
        <v>15.439187145432314</v>
      </c>
    </row>
    <row r="16" spans="1:8" x14ac:dyDescent="0.2">
      <c r="A16" s="34"/>
      <c r="B16" s="25" t="s">
        <v>240</v>
      </c>
      <c r="C16" s="26">
        <v>1846.263498672</v>
      </c>
      <c r="D16" s="26">
        <v>1864.4143999999999</v>
      </c>
      <c r="E16" s="26">
        <v>2246.8224</v>
      </c>
      <c r="F16" s="27"/>
      <c r="G16" s="28">
        <v>21.695651872883715</v>
      </c>
      <c r="H16" s="29">
        <v>20.510890711850323</v>
      </c>
    </row>
    <row r="17" spans="1:9" x14ac:dyDescent="0.2">
      <c r="A17" s="30" t="s">
        <v>67</v>
      </c>
      <c r="B17" s="31" t="s">
        <v>3</v>
      </c>
      <c r="C17" s="20">
        <v>355.6026</v>
      </c>
      <c r="D17" s="20">
        <v>408.65480000000002</v>
      </c>
      <c r="E17" s="21">
        <v>422.48160194022495</v>
      </c>
      <c r="F17" s="22" t="s">
        <v>239</v>
      </c>
      <c r="G17" s="37">
        <v>18.807230863954572</v>
      </c>
      <c r="H17" s="33">
        <v>3.3834918714340034</v>
      </c>
    </row>
    <row r="18" spans="1:9" x14ac:dyDescent="0.2">
      <c r="A18" s="30"/>
      <c r="B18" s="25" t="s">
        <v>240</v>
      </c>
      <c r="C18" s="26">
        <v>131.141468667</v>
      </c>
      <c r="D18" s="26">
        <v>103.15089999999999</v>
      </c>
      <c r="E18" s="26">
        <v>119.1764</v>
      </c>
      <c r="F18" s="27"/>
      <c r="G18" s="28">
        <v>-9.1237873028417908</v>
      </c>
      <c r="H18" s="29">
        <v>15.535976903740064</v>
      </c>
    </row>
    <row r="19" spans="1:9" x14ac:dyDescent="0.2">
      <c r="A19" s="39" t="s">
        <v>56</v>
      </c>
      <c r="B19" s="31" t="s">
        <v>3</v>
      </c>
      <c r="C19" s="20">
        <v>8.1205199999999991</v>
      </c>
      <c r="D19" s="20">
        <v>29.130960000000002</v>
      </c>
      <c r="E19" s="21">
        <v>545.74054928702242</v>
      </c>
      <c r="F19" s="22" t="s">
        <v>239</v>
      </c>
      <c r="G19" s="23">
        <v>6620.5123475716146</v>
      </c>
      <c r="H19" s="24">
        <v>1773.4039293144558</v>
      </c>
    </row>
    <row r="20" spans="1:9" x14ac:dyDescent="0.2">
      <c r="A20" s="34"/>
      <c r="B20" s="25" t="s">
        <v>240</v>
      </c>
      <c r="C20" s="26">
        <v>2.0282937334</v>
      </c>
      <c r="D20" s="26">
        <v>1.0301800000000001</v>
      </c>
      <c r="E20" s="26">
        <v>27.03528</v>
      </c>
      <c r="F20" s="27"/>
      <c r="G20" s="38">
        <v>1232.9075347820133</v>
      </c>
      <c r="H20" s="24">
        <v>2524.3258459686654</v>
      </c>
    </row>
    <row r="21" spans="1:9" x14ac:dyDescent="0.2">
      <c r="A21" s="39" t="s">
        <v>68</v>
      </c>
      <c r="B21" s="31" t="s">
        <v>3</v>
      </c>
      <c r="C21" s="20">
        <v>103.12052</v>
      </c>
      <c r="D21" s="20">
        <v>51.130960000000002</v>
      </c>
      <c r="E21" s="21">
        <v>13.502251572667026</v>
      </c>
      <c r="F21" s="22" t="s">
        <v>239</v>
      </c>
      <c r="G21" s="37">
        <v>-86.906338745511533</v>
      </c>
      <c r="H21" s="33">
        <v>-73.592806447078203</v>
      </c>
    </row>
    <row r="22" spans="1:9" x14ac:dyDescent="0.2">
      <c r="A22" s="34"/>
      <c r="B22" s="25" t="s">
        <v>240</v>
      </c>
      <c r="C22" s="26">
        <v>51.028293733399998</v>
      </c>
      <c r="D22" s="26">
        <v>9.0301799999999997</v>
      </c>
      <c r="E22" s="26">
        <v>3.0352800000000002</v>
      </c>
      <c r="F22" s="27"/>
      <c r="G22" s="28">
        <v>-94.051770541539213</v>
      </c>
      <c r="H22" s="29">
        <v>-66.387380982438884</v>
      </c>
    </row>
    <row r="23" spans="1:9" x14ac:dyDescent="0.2">
      <c r="A23" s="30" t="s">
        <v>69</v>
      </c>
      <c r="B23" s="31" t="s">
        <v>3</v>
      </c>
      <c r="C23" s="20">
        <v>1266.6025999999999</v>
      </c>
      <c r="D23" s="20">
        <v>1746.6548</v>
      </c>
      <c r="E23" s="21">
        <v>1770.3437023884774</v>
      </c>
      <c r="F23" s="22" t="s">
        <v>239</v>
      </c>
      <c r="G23" s="23">
        <v>39.771045976731585</v>
      </c>
      <c r="H23" s="24">
        <v>1.356244083746688</v>
      </c>
    </row>
    <row r="24" spans="1:9" ht="13.5" thickBot="1" x14ac:dyDescent="0.25">
      <c r="A24" s="56"/>
      <c r="B24" s="42" t="s">
        <v>240</v>
      </c>
      <c r="C24" s="43">
        <v>346.14146866700003</v>
      </c>
      <c r="D24" s="43">
        <v>410.15089999999998</v>
      </c>
      <c r="E24" s="43">
        <v>436.1764</v>
      </c>
      <c r="F24" s="44"/>
      <c r="G24" s="57">
        <v>26.011021354860148</v>
      </c>
      <c r="H24" s="46">
        <v>6.3453475294092954</v>
      </c>
    </row>
    <row r="25" spans="1:9" x14ac:dyDescent="0.2">
      <c r="A25" s="58"/>
      <c r="B25" s="58"/>
      <c r="C25" s="64"/>
      <c r="D25" s="64"/>
      <c r="E25" s="21"/>
      <c r="F25" s="59"/>
      <c r="G25" s="38"/>
      <c r="H25" s="60"/>
      <c r="I25" s="61"/>
    </row>
    <row r="26" spans="1:9" x14ac:dyDescent="0.2">
      <c r="A26" s="58"/>
      <c r="B26" s="58"/>
      <c r="C26" s="64"/>
      <c r="D26" s="64"/>
      <c r="E26" s="21"/>
      <c r="F26" s="59"/>
      <c r="G26" s="38"/>
      <c r="H26" s="60"/>
      <c r="I26" s="61"/>
    </row>
    <row r="27" spans="1:9" x14ac:dyDescent="0.2">
      <c r="A27" s="58"/>
      <c r="B27" s="58"/>
      <c r="C27" s="64"/>
      <c r="D27" s="64"/>
      <c r="E27" s="21"/>
      <c r="F27" s="59"/>
      <c r="G27" s="38"/>
      <c r="H27" s="60"/>
      <c r="I27" s="61"/>
    </row>
    <row r="28" spans="1:9" x14ac:dyDescent="0.2">
      <c r="A28" s="58"/>
      <c r="B28" s="58"/>
      <c r="C28" s="64"/>
      <c r="D28" s="64"/>
      <c r="E28" s="21"/>
      <c r="F28" s="59"/>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65</v>
      </c>
      <c r="B32" s="5"/>
      <c r="C32" s="5"/>
      <c r="D32" s="5"/>
      <c r="E32" s="5"/>
      <c r="F32" s="5"/>
      <c r="G32" s="5"/>
      <c r="H32" s="6"/>
    </row>
    <row r="33" spans="1:8" x14ac:dyDescent="0.2">
      <c r="A33" s="7"/>
      <c r="B33" s="8"/>
      <c r="C33" s="216" t="s">
        <v>16</v>
      </c>
      <c r="D33" s="212"/>
      <c r="E33" s="212"/>
      <c r="F33" s="217"/>
      <c r="G33" s="212" t="s">
        <v>1</v>
      </c>
      <c r="H33" s="213"/>
    </row>
    <row r="34" spans="1:8" x14ac:dyDescent="0.2">
      <c r="A34" s="12"/>
      <c r="B34" s="13"/>
      <c r="C34" s="14" t="s">
        <v>234</v>
      </c>
      <c r="D34" s="15" t="s">
        <v>235</v>
      </c>
      <c r="E34" s="15" t="s">
        <v>236</v>
      </c>
      <c r="F34" s="16"/>
      <c r="G34" s="17" t="s">
        <v>237</v>
      </c>
      <c r="H34" s="18" t="s">
        <v>238</v>
      </c>
    </row>
    <row r="35" spans="1:8" ht="12.75" customHeight="1" x14ac:dyDescent="0.2">
      <c r="A35" s="214" t="s">
        <v>64</v>
      </c>
      <c r="B35" s="19" t="s">
        <v>3</v>
      </c>
      <c r="C35" s="80">
        <v>963.64843128868381</v>
      </c>
      <c r="D35" s="80">
        <v>1093.9684121220591</v>
      </c>
      <c r="E35" s="81">
        <v>1287.2917625867524</v>
      </c>
      <c r="F35" s="22" t="s">
        <v>239</v>
      </c>
      <c r="G35" s="23">
        <v>33.585208130859655</v>
      </c>
      <c r="H35" s="24">
        <v>17.671748866101922</v>
      </c>
    </row>
    <row r="36" spans="1:8" ht="12.75" customHeight="1" x14ac:dyDescent="0.2">
      <c r="A36" s="215"/>
      <c r="B36" s="25" t="s">
        <v>240</v>
      </c>
      <c r="C36" s="82">
        <v>234.47679721429455</v>
      </c>
      <c r="D36" s="82">
        <v>233.93808828589465</v>
      </c>
      <c r="E36" s="82">
        <v>286.86351714177778</v>
      </c>
      <c r="F36" s="27"/>
      <c r="G36" s="28">
        <v>22.341963277332553</v>
      </c>
      <c r="H36" s="29">
        <v>22.623690414706317</v>
      </c>
    </row>
    <row r="37" spans="1:8" x14ac:dyDescent="0.2">
      <c r="A37" s="30" t="s">
        <v>53</v>
      </c>
      <c r="B37" s="31" t="s">
        <v>3</v>
      </c>
      <c r="C37" s="80">
        <v>0.22367484399517759</v>
      </c>
      <c r="D37" s="80">
        <v>0.132257286811863</v>
      </c>
      <c r="E37" s="83">
        <v>0.12795066006937122</v>
      </c>
      <c r="F37" s="22" t="s">
        <v>239</v>
      </c>
      <c r="G37" s="32">
        <v>-42.796133090348853</v>
      </c>
      <c r="H37" s="33">
        <v>-3.2562491234361772</v>
      </c>
    </row>
    <row r="38" spans="1:8" x14ac:dyDescent="0.2">
      <c r="A38" s="34"/>
      <c r="B38" s="25" t="s">
        <v>240</v>
      </c>
      <c r="C38" s="82">
        <v>3.0866589572708492E-2</v>
      </c>
      <c r="D38" s="82">
        <v>3.2192345623652294E-2</v>
      </c>
      <c r="E38" s="82">
        <v>2.4823588125345322E-2</v>
      </c>
      <c r="F38" s="27"/>
      <c r="G38" s="35">
        <v>-19.577807367180753</v>
      </c>
      <c r="H38" s="29">
        <v>-22.8897812680447</v>
      </c>
    </row>
    <row r="39" spans="1:8" x14ac:dyDescent="0.2">
      <c r="A39" s="30" t="s">
        <v>54</v>
      </c>
      <c r="B39" s="31" t="s">
        <v>3</v>
      </c>
      <c r="C39" s="80">
        <v>49.903237326064755</v>
      </c>
      <c r="D39" s="80">
        <v>57.8566841245324</v>
      </c>
      <c r="E39" s="83">
        <v>59.444591752160953</v>
      </c>
      <c r="F39" s="22" t="s">
        <v>239</v>
      </c>
      <c r="G39" s="37">
        <v>19.119710338136116</v>
      </c>
      <c r="H39" s="33">
        <v>2.7445534628474348</v>
      </c>
    </row>
    <row r="40" spans="1:8" x14ac:dyDescent="0.2">
      <c r="A40" s="34"/>
      <c r="B40" s="25" t="s">
        <v>240</v>
      </c>
      <c r="C40" s="82">
        <v>9.6627410268815233</v>
      </c>
      <c r="D40" s="82">
        <v>11.735458855678756</v>
      </c>
      <c r="E40" s="82">
        <v>11.869413128334955</v>
      </c>
      <c r="F40" s="27"/>
      <c r="G40" s="28">
        <v>22.836916515867699</v>
      </c>
      <c r="H40" s="29">
        <v>1.1414489565644743</v>
      </c>
    </row>
    <row r="41" spans="1:8" x14ac:dyDescent="0.2">
      <c r="A41" s="30" t="s">
        <v>66</v>
      </c>
      <c r="B41" s="31" t="s">
        <v>3</v>
      </c>
      <c r="C41" s="80">
        <v>29.691987090402726</v>
      </c>
      <c r="D41" s="80">
        <v>25.332420010772626</v>
      </c>
      <c r="E41" s="83">
        <v>41.624379793433576</v>
      </c>
      <c r="F41" s="22" t="s">
        <v>239</v>
      </c>
      <c r="G41" s="23">
        <v>40.187248723706091</v>
      </c>
      <c r="H41" s="24">
        <v>64.312686177367908</v>
      </c>
    </row>
    <row r="42" spans="1:8" x14ac:dyDescent="0.2">
      <c r="A42" s="34"/>
      <c r="B42" s="25" t="s">
        <v>240</v>
      </c>
      <c r="C42" s="82">
        <v>1.6940788935303539</v>
      </c>
      <c r="D42" s="82">
        <v>3.5282986963982856</v>
      </c>
      <c r="E42" s="82">
        <v>3.9161773065505754</v>
      </c>
      <c r="F42" s="27"/>
      <c r="G42" s="38">
        <v>131.16853184974806</v>
      </c>
      <c r="H42" s="24">
        <v>10.993360923445607</v>
      </c>
    </row>
    <row r="43" spans="1:8" x14ac:dyDescent="0.2">
      <c r="A43" s="30" t="s">
        <v>55</v>
      </c>
      <c r="B43" s="31" t="s">
        <v>3</v>
      </c>
      <c r="C43" s="80">
        <v>639.02268746624634</v>
      </c>
      <c r="D43" s="80">
        <v>708.58016793359457</v>
      </c>
      <c r="E43" s="83">
        <v>779.16278605802734</v>
      </c>
      <c r="F43" s="22" t="s">
        <v>239</v>
      </c>
      <c r="G43" s="37">
        <v>21.930379208826338</v>
      </c>
      <c r="H43" s="33">
        <v>9.9611337317371067</v>
      </c>
    </row>
    <row r="44" spans="1:8" x14ac:dyDescent="0.2">
      <c r="A44" s="34"/>
      <c r="B44" s="25" t="s">
        <v>240</v>
      </c>
      <c r="C44" s="82">
        <v>161.12810492840512</v>
      </c>
      <c r="D44" s="82">
        <v>157.38943523927443</v>
      </c>
      <c r="E44" s="82">
        <v>180.22139324790538</v>
      </c>
      <c r="F44" s="27"/>
      <c r="G44" s="28">
        <v>11.849756644245318</v>
      </c>
      <c r="H44" s="29">
        <v>14.506664932064979</v>
      </c>
    </row>
    <row r="45" spans="1:8" x14ac:dyDescent="0.2">
      <c r="A45" s="30" t="s">
        <v>67</v>
      </c>
      <c r="B45" s="31" t="s">
        <v>3</v>
      </c>
      <c r="C45" s="80">
        <v>123.4606986868736</v>
      </c>
      <c r="D45" s="80">
        <v>109.72973136447268</v>
      </c>
      <c r="E45" s="83">
        <v>82.814780672071748</v>
      </c>
      <c r="F45" s="22" t="s">
        <v>239</v>
      </c>
      <c r="G45" s="37">
        <v>-32.92215129762856</v>
      </c>
      <c r="H45" s="33">
        <v>-24.528402974943603</v>
      </c>
    </row>
    <row r="46" spans="1:8" x14ac:dyDescent="0.2">
      <c r="A46" s="30"/>
      <c r="B46" s="25" t="s">
        <v>240</v>
      </c>
      <c r="C46" s="82">
        <v>30.658551758342028</v>
      </c>
      <c r="D46" s="82">
        <v>31.528022635727201</v>
      </c>
      <c r="E46" s="82">
        <v>22.611065418447705</v>
      </c>
      <c r="F46" s="27"/>
      <c r="G46" s="28">
        <v>-26.248749136379686</v>
      </c>
      <c r="H46" s="29">
        <v>-28.282640241367048</v>
      </c>
    </row>
    <row r="47" spans="1:8" x14ac:dyDescent="0.2">
      <c r="A47" s="39" t="s">
        <v>56</v>
      </c>
      <c r="B47" s="31" t="s">
        <v>3</v>
      </c>
      <c r="C47" s="80">
        <v>3.9777678179466296</v>
      </c>
      <c r="D47" s="80">
        <v>4.6671651927617948</v>
      </c>
      <c r="E47" s="83">
        <v>12.716605080893011</v>
      </c>
      <c r="F47" s="22" t="s">
        <v>239</v>
      </c>
      <c r="G47" s="23">
        <v>219.69198965105693</v>
      </c>
      <c r="H47" s="24">
        <v>172.46957319220064</v>
      </c>
    </row>
    <row r="48" spans="1:8" x14ac:dyDescent="0.2">
      <c r="A48" s="34"/>
      <c r="B48" s="25" t="s">
        <v>240</v>
      </c>
      <c r="C48" s="82">
        <v>1.1448093631664045</v>
      </c>
      <c r="D48" s="82">
        <v>1.0984810273037842</v>
      </c>
      <c r="E48" s="82">
        <v>3.1865598947438816</v>
      </c>
      <c r="F48" s="27"/>
      <c r="G48" s="38">
        <v>178.34851786416579</v>
      </c>
      <c r="H48" s="24">
        <v>190.08784089473767</v>
      </c>
    </row>
    <row r="49" spans="1:9" x14ac:dyDescent="0.2">
      <c r="A49" s="39" t="s">
        <v>68</v>
      </c>
      <c r="B49" s="31" t="s">
        <v>3</v>
      </c>
      <c r="C49" s="80">
        <v>12.016896349864272</v>
      </c>
      <c r="D49" s="80">
        <v>7.8416505044696763</v>
      </c>
      <c r="E49" s="83">
        <v>4.8141202603919444</v>
      </c>
      <c r="F49" s="22" t="s">
        <v>239</v>
      </c>
      <c r="G49" s="37">
        <v>-59.938738587469643</v>
      </c>
      <c r="H49" s="33">
        <v>-38.608329233138669</v>
      </c>
    </row>
    <row r="50" spans="1:9" x14ac:dyDescent="0.2">
      <c r="A50" s="34"/>
      <c r="B50" s="25" t="s">
        <v>240</v>
      </c>
      <c r="C50" s="82">
        <v>4.4027962610191338</v>
      </c>
      <c r="D50" s="82">
        <v>2.3484192371776391</v>
      </c>
      <c r="E50" s="82">
        <v>1.5351776084554971</v>
      </c>
      <c r="F50" s="27"/>
      <c r="G50" s="28">
        <v>-65.13175905850018</v>
      </c>
      <c r="H50" s="29">
        <v>-34.629320687200064</v>
      </c>
    </row>
    <row r="51" spans="1:9" x14ac:dyDescent="0.2">
      <c r="A51" s="30" t="s">
        <v>69</v>
      </c>
      <c r="B51" s="31" t="s">
        <v>3</v>
      </c>
      <c r="C51" s="80">
        <v>105.35148170729047</v>
      </c>
      <c r="D51" s="80">
        <v>179.82833570464365</v>
      </c>
      <c r="E51" s="83">
        <v>376.27910119552479</v>
      </c>
      <c r="F51" s="22" t="s">
        <v>239</v>
      </c>
      <c r="G51" s="23">
        <v>257.16545709435974</v>
      </c>
      <c r="H51" s="24">
        <v>109.24349865170234</v>
      </c>
    </row>
    <row r="52" spans="1:9" ht="13.5" thickBot="1" x14ac:dyDescent="0.25">
      <c r="A52" s="56"/>
      <c r="B52" s="42" t="s">
        <v>240</v>
      </c>
      <c r="C52" s="86">
        <v>25.754848393377213</v>
      </c>
      <c r="D52" s="86">
        <v>26.277780248710958</v>
      </c>
      <c r="E52" s="86">
        <v>63.498906949214437</v>
      </c>
      <c r="F52" s="44"/>
      <c r="G52" s="57">
        <v>146.55127446039637</v>
      </c>
      <c r="H52" s="46">
        <v>141.64486630231767</v>
      </c>
    </row>
    <row r="53" spans="1:9" x14ac:dyDescent="0.2">
      <c r="A53" s="65"/>
      <c r="B53" s="62"/>
      <c r="C53" s="21"/>
      <c r="D53" s="21"/>
      <c r="E53" s="21"/>
      <c r="F53" s="63"/>
      <c r="G53" s="38"/>
      <c r="H53" s="60"/>
      <c r="I53" s="61"/>
    </row>
    <row r="54" spans="1:9" x14ac:dyDescent="0.2">
      <c r="A54" s="65"/>
      <c r="B54" s="62"/>
      <c r="C54" s="21"/>
      <c r="D54" s="21"/>
      <c r="E54" s="21"/>
      <c r="F54" s="63"/>
      <c r="G54" s="38"/>
      <c r="H54" s="60"/>
      <c r="I54" s="61"/>
    </row>
    <row r="55" spans="1:9" x14ac:dyDescent="0.2">
      <c r="A55" s="65"/>
      <c r="B55" s="62"/>
      <c r="C55" s="21"/>
      <c r="D55" s="21"/>
      <c r="E55" s="21"/>
      <c r="F55" s="63"/>
      <c r="G55" s="38"/>
      <c r="H55" s="60"/>
      <c r="I55" s="61"/>
    </row>
    <row r="56" spans="1:9" x14ac:dyDescent="0.2">
      <c r="A56" s="65"/>
      <c r="B56" s="62"/>
      <c r="C56" s="21"/>
      <c r="D56" s="21"/>
      <c r="E56" s="21"/>
      <c r="F56" s="63"/>
      <c r="G56" s="38"/>
      <c r="H56" s="60"/>
      <c r="I56" s="61"/>
    </row>
    <row r="57" spans="1:9" x14ac:dyDescent="0.2">
      <c r="A57" s="65"/>
      <c r="B57" s="62"/>
      <c r="C57" s="21"/>
      <c r="D57" s="21"/>
      <c r="E57" s="21"/>
      <c r="F57" s="63"/>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c r="I59" s="61"/>
    </row>
    <row r="60" spans="1:9" x14ac:dyDescent="0.2">
      <c r="A60" s="52"/>
      <c r="B60" s="52"/>
      <c r="C60" s="52"/>
      <c r="D60" s="52"/>
      <c r="E60" s="52"/>
      <c r="F60" s="52"/>
      <c r="G60" s="52"/>
      <c r="H60" s="52"/>
    </row>
    <row r="61" spans="1:9" ht="12.75" customHeight="1" x14ac:dyDescent="0.2">
      <c r="A61" s="54" t="str">
        <f>+Innhold!$B$123</f>
        <v>Finans Norge / Skadestatistikk</v>
      </c>
      <c r="G61" s="53"/>
      <c r="H61" s="211">
        <v>26</v>
      </c>
    </row>
    <row r="62" spans="1:9" ht="12.75" customHeight="1" x14ac:dyDescent="0.2">
      <c r="A62" s="54" t="str">
        <f>+Innhold!$B$124</f>
        <v>Skadestatistikk for landbasert forsikring 1. kvartal 2019</v>
      </c>
      <c r="G62" s="53"/>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77" display="Tilbake til innholdsfortegnelsen" xr:uid="{00000000-0004-0000-15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38"/>
  <sheetViews>
    <sheetView showGridLines="0" showRowColHeaders="0" tabSelected="1" zoomScaleNormal="100" zoomScaleSheetLayoutView="70" workbookViewId="0"/>
  </sheetViews>
  <sheetFormatPr defaultColWidth="11.42578125" defaultRowHeight="12.75" x14ac:dyDescent="0.2"/>
  <cols>
    <col min="1" max="1" width="27.140625" style="1" customWidth="1"/>
    <col min="2" max="4" width="10.5703125" style="1" customWidth="1"/>
    <col min="5" max="6" width="7.5703125" style="1" customWidth="1"/>
    <col min="7" max="7" width="8.140625" style="1" customWidth="1"/>
    <col min="8" max="16384" width="11.42578125" style="1"/>
  </cols>
  <sheetData>
    <row r="1" spans="1:7" ht="5.25" customHeight="1" x14ac:dyDescent="0.2"/>
    <row r="2" spans="1:7" x14ac:dyDescent="0.2">
      <c r="A2" s="92" t="s">
        <v>0</v>
      </c>
      <c r="B2" s="2"/>
      <c r="C2" s="2"/>
      <c r="D2" s="2"/>
      <c r="E2" s="2"/>
      <c r="F2" s="2"/>
    </row>
    <row r="3" spans="1:7" ht="6" customHeight="1" x14ac:dyDescent="0.2">
      <c r="A3" s="2"/>
      <c r="B3" s="2"/>
      <c r="C3" s="2"/>
      <c r="D3" s="2"/>
      <c r="E3" s="2"/>
      <c r="F3" s="2"/>
    </row>
    <row r="4" spans="1:7" ht="15.75" customHeight="1" x14ac:dyDescent="0.25">
      <c r="A4" s="88" t="s">
        <v>109</v>
      </c>
      <c r="B4" s="74"/>
      <c r="C4" s="74"/>
      <c r="D4" s="74"/>
      <c r="E4" s="74"/>
      <c r="F4" s="74"/>
      <c r="G4" s="74"/>
    </row>
    <row r="5" spans="1:7" ht="15.75" customHeight="1" x14ac:dyDescent="0.25">
      <c r="A5" s="75"/>
      <c r="B5" s="74"/>
      <c r="C5" s="74"/>
      <c r="D5" s="74"/>
      <c r="E5" s="74"/>
      <c r="F5" s="74"/>
      <c r="G5" s="74"/>
    </row>
    <row r="6" spans="1:7" ht="15.75" customHeight="1" x14ac:dyDescent="0.25">
      <c r="A6" s="73"/>
      <c r="B6" s="73"/>
      <c r="C6" s="73"/>
      <c r="D6" s="73"/>
      <c r="E6" s="73"/>
      <c r="F6" s="73"/>
      <c r="G6" s="73"/>
    </row>
    <row r="7" spans="1:7" ht="15.75" customHeight="1" x14ac:dyDescent="0.25">
      <c r="A7" s="73"/>
      <c r="B7" s="73"/>
      <c r="C7" s="73"/>
      <c r="D7" s="73"/>
      <c r="E7" s="73"/>
      <c r="F7" s="73"/>
      <c r="G7" s="73"/>
    </row>
    <row r="8" spans="1:7" ht="15.75" customHeight="1" x14ac:dyDescent="0.25">
      <c r="A8" s="73"/>
      <c r="B8" s="73"/>
      <c r="C8" s="73"/>
      <c r="D8" s="73"/>
      <c r="E8" s="73"/>
      <c r="F8" s="73"/>
      <c r="G8" s="73"/>
    </row>
    <row r="9" spans="1:7" ht="15.75" customHeight="1" x14ac:dyDescent="0.25">
      <c r="A9" s="73"/>
      <c r="B9" s="73"/>
      <c r="C9" s="73"/>
      <c r="D9" s="73"/>
      <c r="E9" s="73"/>
      <c r="F9" s="73"/>
      <c r="G9" s="73"/>
    </row>
    <row r="10" spans="1:7" ht="15.75" customHeight="1" x14ac:dyDescent="0.25">
      <c r="A10" s="73"/>
      <c r="B10" s="73"/>
      <c r="C10" s="73"/>
      <c r="D10" s="73"/>
      <c r="E10" s="73"/>
      <c r="F10" s="73"/>
      <c r="G10" s="73"/>
    </row>
    <row r="11" spans="1:7" ht="15.75" customHeight="1" x14ac:dyDescent="0.25">
      <c r="A11" s="73"/>
      <c r="B11" s="73"/>
      <c r="C11" s="73"/>
      <c r="D11" s="73"/>
      <c r="E11" s="73"/>
      <c r="F11" s="73"/>
      <c r="G11" s="73"/>
    </row>
    <row r="12" spans="1:7" ht="15.75" customHeight="1" x14ac:dyDescent="0.25">
      <c r="A12" s="73"/>
      <c r="B12" s="73"/>
      <c r="C12" s="73"/>
      <c r="D12" s="73"/>
      <c r="E12" s="73"/>
      <c r="F12" s="73"/>
      <c r="G12" s="73"/>
    </row>
    <row r="13" spans="1:7" ht="15.75" customHeight="1" x14ac:dyDescent="0.25">
      <c r="A13" s="73"/>
      <c r="B13" s="73"/>
      <c r="C13" s="73"/>
      <c r="D13" s="73"/>
      <c r="E13" s="73"/>
      <c r="F13" s="73"/>
      <c r="G13" s="73"/>
    </row>
    <row r="14" spans="1:7" ht="15.75" customHeight="1" x14ac:dyDescent="0.25">
      <c r="A14" s="73"/>
      <c r="B14" s="73"/>
      <c r="C14" s="73"/>
      <c r="D14" s="73"/>
      <c r="E14" s="73"/>
      <c r="F14" s="73"/>
      <c r="G14" s="73"/>
    </row>
    <row r="15" spans="1:7" ht="15.75" customHeight="1" x14ac:dyDescent="0.25">
      <c r="A15" s="73"/>
      <c r="B15" s="73"/>
      <c r="C15" s="73"/>
      <c r="D15" s="73"/>
      <c r="E15" s="73"/>
      <c r="F15" s="73"/>
      <c r="G15" s="73"/>
    </row>
    <row r="16" spans="1:7" ht="15.75" customHeight="1" x14ac:dyDescent="0.25">
      <c r="A16" s="73"/>
      <c r="B16" s="73"/>
      <c r="C16" s="73"/>
      <c r="D16" s="73"/>
      <c r="E16" s="73"/>
      <c r="F16" s="73"/>
      <c r="G16" s="73"/>
    </row>
    <row r="17" spans="1:13" ht="15.75" customHeight="1" x14ac:dyDescent="0.25">
      <c r="A17" s="73"/>
      <c r="B17" s="73"/>
      <c r="C17" s="73"/>
      <c r="D17" s="73"/>
      <c r="E17" s="73"/>
      <c r="F17" s="73"/>
      <c r="G17" s="73"/>
    </row>
    <row r="18" spans="1:13" ht="15.75" customHeight="1" x14ac:dyDescent="0.25">
      <c r="A18" s="73"/>
      <c r="B18" s="73"/>
      <c r="C18" s="73"/>
      <c r="D18" s="73"/>
      <c r="E18" s="73"/>
      <c r="F18" s="73"/>
      <c r="G18" s="73"/>
    </row>
    <row r="19" spans="1:13" ht="15.75" customHeight="1" x14ac:dyDescent="0.25">
      <c r="A19" s="73"/>
      <c r="B19" s="73"/>
      <c r="C19" s="73"/>
      <c r="D19" s="73"/>
      <c r="E19" s="73"/>
      <c r="F19" s="73"/>
      <c r="G19" s="73"/>
    </row>
    <row r="20" spans="1:13" ht="15.75" customHeight="1" x14ac:dyDescent="0.25">
      <c r="A20" s="73"/>
      <c r="B20" s="73"/>
      <c r="C20" s="73"/>
      <c r="D20" s="73"/>
      <c r="E20" s="73"/>
      <c r="F20" s="73"/>
      <c r="G20" s="73"/>
    </row>
    <row r="21" spans="1:13" ht="15.75" customHeight="1" x14ac:dyDescent="0.25">
      <c r="A21" s="73"/>
      <c r="B21" s="73"/>
      <c r="C21" s="73"/>
      <c r="D21" s="73"/>
      <c r="E21" s="73"/>
      <c r="F21" s="73"/>
      <c r="G21" s="73"/>
    </row>
    <row r="22" spans="1:13" ht="15.75" customHeight="1" x14ac:dyDescent="0.25">
      <c r="A22" s="73"/>
      <c r="B22" s="73"/>
      <c r="C22" s="73"/>
      <c r="D22" s="73"/>
      <c r="E22" s="73"/>
      <c r="F22" s="73"/>
      <c r="G22" s="73"/>
    </row>
    <row r="23" spans="1:13" ht="15.75" customHeight="1" x14ac:dyDescent="0.25">
      <c r="A23" s="73"/>
      <c r="B23" s="73"/>
      <c r="C23" s="73"/>
      <c r="D23" s="73"/>
      <c r="E23" s="73"/>
      <c r="F23" s="73"/>
      <c r="G23" s="73"/>
    </row>
    <row r="24" spans="1:13" ht="15.75" customHeight="1" x14ac:dyDescent="0.25">
      <c r="A24" s="73"/>
      <c r="B24" s="73"/>
      <c r="C24" s="73"/>
      <c r="D24" s="73"/>
      <c r="E24" s="73"/>
      <c r="F24" s="73"/>
      <c r="G24" s="73"/>
    </row>
    <row r="25" spans="1:13" ht="15.75" customHeight="1" x14ac:dyDescent="0.25">
      <c r="A25" s="73"/>
      <c r="B25" s="73"/>
      <c r="C25" s="73"/>
      <c r="D25" s="73"/>
      <c r="E25" s="73"/>
      <c r="F25" s="73"/>
      <c r="G25" s="73"/>
    </row>
    <row r="26" spans="1:13" ht="15.75" customHeight="1" x14ac:dyDescent="0.25">
      <c r="A26" s="73"/>
      <c r="B26" s="73"/>
      <c r="C26" s="73"/>
      <c r="D26" s="73"/>
      <c r="E26" s="73"/>
      <c r="F26" s="73"/>
      <c r="G26" s="73"/>
    </row>
    <row r="27" spans="1:13" ht="15.75" customHeight="1" x14ac:dyDescent="0.25">
      <c r="A27" s="73"/>
      <c r="B27" s="73"/>
      <c r="C27" s="73"/>
      <c r="D27" s="73"/>
      <c r="E27" s="73"/>
      <c r="F27" s="73"/>
      <c r="G27" s="73"/>
      <c r="M27" s="77"/>
    </row>
    <row r="28" spans="1:13" ht="15.75" customHeight="1" x14ac:dyDescent="0.25">
      <c r="A28" s="73"/>
      <c r="B28" s="73"/>
      <c r="C28" s="73"/>
      <c r="D28" s="73"/>
      <c r="E28" s="73"/>
      <c r="F28" s="73"/>
      <c r="G28" s="73"/>
      <c r="M28" s="77"/>
    </row>
    <row r="29" spans="1:13" ht="15.75" customHeight="1" x14ac:dyDescent="0.25">
      <c r="A29" s="73"/>
      <c r="B29" s="73"/>
      <c r="C29" s="73"/>
      <c r="D29" s="73"/>
      <c r="E29" s="73"/>
      <c r="F29" s="73"/>
      <c r="G29" s="73"/>
      <c r="M29" s="77"/>
    </row>
    <row r="30" spans="1:13" ht="15.75" customHeight="1" x14ac:dyDescent="0.25">
      <c r="A30" s="73"/>
      <c r="B30" s="73"/>
      <c r="C30" s="73"/>
      <c r="D30" s="73"/>
      <c r="E30" s="73"/>
      <c r="F30" s="73"/>
      <c r="G30" s="73"/>
      <c r="M30" s="77"/>
    </row>
    <row r="31" spans="1:13" ht="15.75" customHeight="1" x14ac:dyDescent="0.25">
      <c r="A31" s="73"/>
      <c r="B31" s="73"/>
      <c r="C31" s="73"/>
      <c r="D31" s="73"/>
      <c r="E31" s="73"/>
      <c r="F31" s="73"/>
      <c r="G31" s="73"/>
      <c r="M31" s="77"/>
    </row>
    <row r="32" spans="1:13" ht="15.75" customHeight="1" x14ac:dyDescent="0.25">
      <c r="A32" s="73"/>
      <c r="B32" s="73"/>
      <c r="C32" s="73"/>
      <c r="D32" s="73"/>
      <c r="E32" s="73"/>
      <c r="F32" s="73"/>
      <c r="G32" s="73"/>
      <c r="M32" s="77"/>
    </row>
    <row r="33" spans="1:13" ht="15.75" customHeight="1" x14ac:dyDescent="0.25">
      <c r="A33" s="73"/>
      <c r="B33" s="73"/>
      <c r="C33" s="73"/>
      <c r="D33" s="73"/>
      <c r="E33" s="73"/>
      <c r="F33" s="73"/>
      <c r="G33" s="73"/>
      <c r="M33" s="77"/>
    </row>
    <row r="34" spans="1:13" ht="15.75" customHeight="1" x14ac:dyDescent="0.25">
      <c r="A34" s="73"/>
      <c r="B34" s="73"/>
      <c r="C34" s="73"/>
      <c r="D34" s="73"/>
      <c r="E34" s="73"/>
      <c r="F34" s="73"/>
      <c r="G34" s="73"/>
      <c r="M34" s="77"/>
    </row>
    <row r="35" spans="1:13" ht="15.75" customHeight="1" x14ac:dyDescent="0.25">
      <c r="A35" s="73"/>
      <c r="B35" s="73"/>
      <c r="C35" s="73"/>
      <c r="D35" s="73"/>
      <c r="E35" s="73"/>
      <c r="F35" s="73"/>
      <c r="G35" s="73"/>
      <c r="M35" s="77"/>
    </row>
    <row r="36" spans="1:13" ht="15.75" customHeight="1" x14ac:dyDescent="0.25">
      <c r="A36" s="73"/>
      <c r="B36" s="73"/>
      <c r="C36" s="73"/>
      <c r="D36" s="73"/>
      <c r="E36" s="73"/>
      <c r="F36" s="73"/>
      <c r="G36" s="73"/>
      <c r="M36" s="77"/>
    </row>
    <row r="37" spans="1:13" ht="15.75" customHeight="1" x14ac:dyDescent="0.25">
      <c r="A37" s="73"/>
      <c r="B37" s="73"/>
      <c r="C37" s="73"/>
      <c r="D37" s="73"/>
      <c r="E37" s="73"/>
      <c r="F37" s="73"/>
      <c r="G37" s="73"/>
      <c r="M37" s="77"/>
    </row>
    <row r="38" spans="1:13" ht="15.75" customHeight="1" x14ac:dyDescent="0.25">
      <c r="A38" s="73"/>
      <c r="B38" s="73"/>
      <c r="C38" s="73"/>
      <c r="D38" s="73"/>
      <c r="E38" s="73"/>
      <c r="F38" s="73"/>
      <c r="G38" s="73"/>
      <c r="M38" s="77"/>
    </row>
    <row r="39" spans="1:13" ht="15.75" customHeight="1" x14ac:dyDescent="0.25">
      <c r="A39" s="73"/>
      <c r="B39" s="73"/>
      <c r="C39" s="73"/>
      <c r="D39" s="73"/>
      <c r="E39" s="73"/>
      <c r="F39" s="73"/>
      <c r="G39" s="73"/>
      <c r="M39" s="77"/>
    </row>
    <row r="40" spans="1:13" ht="15.75" customHeight="1" x14ac:dyDescent="0.25">
      <c r="A40" s="73"/>
      <c r="B40" s="73"/>
      <c r="C40" s="73"/>
      <c r="D40" s="73"/>
      <c r="E40" s="73"/>
      <c r="F40" s="73"/>
      <c r="G40" s="73"/>
      <c r="M40" s="77"/>
    </row>
    <row r="41" spans="1:13" ht="15.75" customHeight="1" x14ac:dyDescent="0.25">
      <c r="A41" s="73"/>
      <c r="B41" s="73"/>
      <c r="C41" s="73"/>
      <c r="D41" s="73"/>
      <c r="E41" s="73"/>
      <c r="F41" s="73"/>
      <c r="G41" s="73"/>
      <c r="M41" s="77"/>
    </row>
    <row r="42" spans="1:13" ht="15.75" customHeight="1" x14ac:dyDescent="0.25">
      <c r="A42" s="73"/>
      <c r="B42" s="73"/>
      <c r="C42" s="73"/>
      <c r="D42" s="73"/>
      <c r="E42" s="73"/>
      <c r="F42" s="73"/>
      <c r="G42" s="73"/>
      <c r="M42" s="77"/>
    </row>
    <row r="43" spans="1:13" ht="15.75" customHeight="1" x14ac:dyDescent="0.25">
      <c r="A43" s="73"/>
      <c r="B43" s="73"/>
      <c r="C43" s="73"/>
      <c r="D43" s="73"/>
      <c r="E43" s="73"/>
      <c r="F43" s="73"/>
      <c r="G43" s="73"/>
      <c r="M43" s="77"/>
    </row>
    <row r="44" spans="1:13" ht="15.75" customHeight="1" x14ac:dyDescent="0.25">
      <c r="A44" s="73"/>
      <c r="B44" s="73"/>
      <c r="C44" s="73"/>
      <c r="D44" s="73"/>
      <c r="E44" s="73"/>
      <c r="F44" s="73"/>
      <c r="G44" s="73"/>
      <c r="M44" s="77"/>
    </row>
    <row r="45" spans="1:13" ht="15.75" customHeight="1" x14ac:dyDescent="0.25">
      <c r="A45" s="73"/>
      <c r="B45" s="73"/>
      <c r="C45" s="73"/>
      <c r="D45" s="73"/>
      <c r="E45" s="73"/>
      <c r="F45" s="73"/>
      <c r="G45" s="73"/>
      <c r="M45" s="77"/>
    </row>
    <row r="46" spans="1:13" ht="15.75" customHeight="1" x14ac:dyDescent="0.25">
      <c r="A46" s="73"/>
      <c r="B46" s="73"/>
      <c r="C46" s="73"/>
      <c r="D46" s="73"/>
      <c r="E46" s="73"/>
      <c r="F46" s="73"/>
      <c r="G46" s="73"/>
      <c r="M46" s="77"/>
    </row>
    <row r="47" spans="1:13" ht="15.75" customHeight="1" x14ac:dyDescent="0.25">
      <c r="A47" s="73"/>
      <c r="B47" s="73"/>
      <c r="C47" s="73"/>
      <c r="D47" s="73"/>
      <c r="E47" s="73"/>
      <c r="F47" s="73"/>
      <c r="G47" s="73"/>
      <c r="M47" s="77"/>
    </row>
    <row r="48" spans="1:13" ht="15.75" customHeight="1" x14ac:dyDescent="0.25">
      <c r="A48" s="73"/>
      <c r="B48" s="73"/>
      <c r="C48" s="73"/>
      <c r="D48" s="73"/>
      <c r="E48" s="73"/>
      <c r="F48" s="73"/>
      <c r="G48" s="73"/>
      <c r="M48" s="77"/>
    </row>
    <row r="49" spans="1:14" ht="15.75" customHeight="1" x14ac:dyDescent="0.25">
      <c r="A49" s="73"/>
      <c r="B49" s="73"/>
      <c r="C49" s="73"/>
      <c r="D49" s="73"/>
      <c r="E49" s="96"/>
      <c r="F49" s="73"/>
      <c r="G49" s="73"/>
      <c r="M49" s="77"/>
    </row>
    <row r="50" spans="1:14" ht="15.75" customHeight="1" x14ac:dyDescent="0.25">
      <c r="A50" s="73"/>
      <c r="B50" s="73"/>
      <c r="C50" s="73"/>
      <c r="D50" s="73"/>
      <c r="E50" s="73"/>
      <c r="F50" s="73"/>
      <c r="G50" s="73"/>
      <c r="M50" s="77"/>
    </row>
    <row r="51" spans="1:14" ht="12.75" customHeight="1" x14ac:dyDescent="0.2">
      <c r="A51" s="52"/>
      <c r="B51" s="52"/>
      <c r="C51" s="52"/>
      <c r="D51" s="52"/>
      <c r="E51" s="52"/>
      <c r="F51" s="52"/>
      <c r="G51" s="52"/>
      <c r="H51" s="52"/>
      <c r="I51" s="52"/>
      <c r="J51" s="52"/>
      <c r="K51" s="52"/>
      <c r="L51" s="52"/>
      <c r="M51" s="52"/>
      <c r="N51" s="52"/>
    </row>
    <row r="52" spans="1:14" ht="12.75" customHeight="1" x14ac:dyDescent="0.2">
      <c r="A52" s="54" t="str">
        <f>+Innhold!B123</f>
        <v>Finans Norge / Skadestatistikk</v>
      </c>
      <c r="G52" s="207">
        <v>27</v>
      </c>
      <c r="H52" s="54" t="str">
        <f>+Innhold!B123</f>
        <v>Finans Norge / Skadestatistikk</v>
      </c>
      <c r="N52" s="207">
        <v>28</v>
      </c>
    </row>
    <row r="53" spans="1:14" ht="12.75" customHeight="1" x14ac:dyDescent="0.2">
      <c r="A53" s="54" t="str">
        <f>+Innhold!B124</f>
        <v>Skadestatistikk for landbasert forsikring 1. kvartal 2019</v>
      </c>
      <c r="G53" s="208"/>
      <c r="H53" s="54" t="str">
        <f>+Innhold!B124</f>
        <v>Skadestatistikk for landbasert forsikring 1. kvartal 2019</v>
      </c>
      <c r="N53" s="208"/>
    </row>
    <row r="54" spans="1:14" ht="15.75" customHeight="1" x14ac:dyDescent="0.2"/>
    <row r="55" spans="1:14" ht="15.75" customHeight="1" x14ac:dyDescent="0.2"/>
    <row r="56" spans="1:14" ht="15.75" customHeight="1" x14ac:dyDescent="0.2"/>
    <row r="57" spans="1:14" ht="15.75" customHeight="1" x14ac:dyDescent="0.2"/>
    <row r="58" spans="1:14" ht="15.75" customHeight="1" x14ac:dyDescent="0.2"/>
    <row r="59" spans="1:14" ht="15.75" customHeight="1" x14ac:dyDescent="0.2"/>
    <row r="60" spans="1:14" ht="15.75" customHeight="1" x14ac:dyDescent="0.2">
      <c r="J60"/>
      <c r="K60"/>
      <c r="L60"/>
    </row>
    <row r="61" spans="1:14" ht="15.75" customHeight="1" x14ac:dyDescent="0.2">
      <c r="J61" s="71"/>
      <c r="K61" s="72"/>
      <c r="L61" s="72"/>
    </row>
    <row r="62" spans="1:14" ht="15.75" customHeight="1" x14ac:dyDescent="0.2">
      <c r="J62" s="70"/>
      <c r="K62"/>
      <c r="L62"/>
    </row>
    <row r="63" spans="1:14" ht="15.75" customHeight="1" x14ac:dyDescent="0.2">
      <c r="J63" s="69"/>
      <c r="K63" s="69"/>
      <c r="L63" s="69"/>
    </row>
    <row r="64" spans="1:14" ht="15.75" customHeight="1" x14ac:dyDescent="0.2">
      <c r="J64" s="69"/>
      <c r="K64" s="69"/>
      <c r="L64" s="69"/>
    </row>
    <row r="65" spans="1:12" ht="15.75" customHeight="1" x14ac:dyDescent="0.2">
      <c r="J65" s="69"/>
      <c r="K65" s="69"/>
      <c r="L65" s="69"/>
    </row>
    <row r="66" spans="1:12" ht="15.75" customHeight="1" x14ac:dyDescent="0.2">
      <c r="J66" s="69"/>
      <c r="K66" s="69"/>
      <c r="L66" s="69"/>
    </row>
    <row r="67" spans="1:12" ht="15.75" customHeight="1" x14ac:dyDescent="0.2">
      <c r="J67" s="69"/>
      <c r="K67" s="69"/>
      <c r="L67" s="69"/>
    </row>
    <row r="68" spans="1:12" ht="15.75" customHeight="1" x14ac:dyDescent="0.2">
      <c r="J68" s="69"/>
      <c r="K68" s="69"/>
      <c r="L68" s="69"/>
    </row>
    <row r="69" spans="1:12" ht="15.75" customHeight="1" x14ac:dyDescent="0.2">
      <c r="J69" s="69"/>
      <c r="K69" s="69"/>
      <c r="L69" s="69"/>
    </row>
    <row r="70" spans="1:12" ht="15.75" customHeight="1" x14ac:dyDescent="0.2">
      <c r="J70"/>
      <c r="K70"/>
      <c r="L70"/>
    </row>
    <row r="71" spans="1:12" x14ac:dyDescent="0.2">
      <c r="J71"/>
      <c r="K71"/>
      <c r="L71"/>
    </row>
    <row r="72" spans="1:12" x14ac:dyDescent="0.2">
      <c r="J72"/>
      <c r="K72"/>
      <c r="L72"/>
    </row>
    <row r="73" spans="1:12" x14ac:dyDescent="0.2">
      <c r="A73"/>
      <c r="B73"/>
      <c r="C73"/>
      <c r="D73"/>
      <c r="E73"/>
      <c r="F73"/>
      <c r="H73"/>
      <c r="I73"/>
      <c r="J73"/>
      <c r="K73"/>
      <c r="L73"/>
    </row>
    <row r="74" spans="1:12" x14ac:dyDescent="0.2">
      <c r="A74"/>
      <c r="B74"/>
      <c r="C74"/>
      <c r="D74"/>
      <c r="E74"/>
      <c r="F74"/>
      <c r="H74"/>
      <c r="I74"/>
      <c r="J74"/>
      <c r="K74"/>
      <c r="L74"/>
    </row>
    <row r="75" spans="1:12" x14ac:dyDescent="0.2">
      <c r="A75"/>
      <c r="B75"/>
      <c r="C75"/>
      <c r="D75"/>
      <c r="E75"/>
      <c r="F75"/>
      <c r="H75"/>
      <c r="I75"/>
      <c r="J75"/>
      <c r="K75"/>
      <c r="L75"/>
    </row>
    <row r="76" spans="1:12" x14ac:dyDescent="0.2">
      <c r="A76"/>
      <c r="B76"/>
      <c r="C76"/>
      <c r="D76"/>
      <c r="E76"/>
      <c r="F76"/>
      <c r="H76"/>
      <c r="I76"/>
      <c r="J76"/>
      <c r="K76"/>
      <c r="L76"/>
    </row>
    <row r="77" spans="1:12" x14ac:dyDescent="0.2">
      <c r="A77"/>
      <c r="B77"/>
      <c r="C77"/>
      <c r="D77"/>
      <c r="E77"/>
      <c r="F77"/>
      <c r="H77"/>
      <c r="I77"/>
      <c r="J77"/>
      <c r="K77"/>
      <c r="L77"/>
    </row>
    <row r="78" spans="1:12" x14ac:dyDescent="0.2">
      <c r="A78"/>
      <c r="B78"/>
      <c r="C78"/>
      <c r="D78"/>
      <c r="E78"/>
      <c r="F78"/>
      <c r="H78"/>
      <c r="I78"/>
      <c r="J78"/>
      <c r="K78"/>
      <c r="L78"/>
    </row>
    <row r="79" spans="1:12" x14ac:dyDescent="0.2">
      <c r="A79"/>
      <c r="B79"/>
      <c r="C79"/>
      <c r="D79"/>
      <c r="E79"/>
      <c r="F79"/>
      <c r="H79"/>
      <c r="I79"/>
      <c r="J79"/>
      <c r="K79"/>
      <c r="L79"/>
    </row>
    <row r="80" spans="1:12" x14ac:dyDescent="0.2">
      <c r="A80"/>
      <c r="B80"/>
      <c r="C80"/>
      <c r="D80"/>
      <c r="E80"/>
      <c r="F80"/>
      <c r="H80"/>
      <c r="I80"/>
      <c r="J80"/>
      <c r="K80"/>
      <c r="L80"/>
    </row>
    <row r="81" spans="1:12" x14ac:dyDescent="0.2">
      <c r="A81"/>
      <c r="B81"/>
      <c r="C81"/>
      <c r="D81"/>
      <c r="E81"/>
      <c r="F81"/>
      <c r="H81"/>
      <c r="I81"/>
      <c r="J81"/>
      <c r="K81"/>
      <c r="L81"/>
    </row>
    <row r="82" spans="1:12" x14ac:dyDescent="0.2">
      <c r="A82"/>
      <c r="B82"/>
      <c r="C82"/>
      <c r="D82"/>
      <c r="E82"/>
      <c r="F82"/>
      <c r="H82"/>
      <c r="I82"/>
      <c r="J82"/>
      <c r="K82"/>
      <c r="L82"/>
    </row>
    <row r="83" spans="1:12" x14ac:dyDescent="0.2">
      <c r="A83"/>
      <c r="B83"/>
      <c r="C83"/>
      <c r="D83"/>
      <c r="E83"/>
      <c r="F83"/>
      <c r="H83"/>
      <c r="I83"/>
      <c r="J83"/>
      <c r="K83"/>
      <c r="L83"/>
    </row>
    <row r="84" spans="1:12" x14ac:dyDescent="0.2">
      <c r="A84"/>
      <c r="B84"/>
      <c r="C84"/>
      <c r="D84"/>
      <c r="E84"/>
      <c r="F84"/>
      <c r="H84"/>
      <c r="I84"/>
      <c r="J84"/>
      <c r="K84"/>
      <c r="L84"/>
    </row>
    <row r="85" spans="1:12" x14ac:dyDescent="0.2">
      <c r="A85"/>
      <c r="B85"/>
      <c r="C85"/>
      <c r="D85"/>
      <c r="E85"/>
      <c r="F85"/>
      <c r="H85"/>
      <c r="I85"/>
      <c r="J85"/>
      <c r="K85"/>
      <c r="L85"/>
    </row>
    <row r="86" spans="1:12" x14ac:dyDescent="0.2">
      <c r="A86"/>
      <c r="B86"/>
      <c r="C86"/>
      <c r="D86"/>
      <c r="E86"/>
      <c r="F86"/>
      <c r="H86"/>
      <c r="I86"/>
      <c r="J86"/>
      <c r="K86"/>
      <c r="L86"/>
    </row>
    <row r="87" spans="1:12" x14ac:dyDescent="0.2">
      <c r="A87"/>
      <c r="B87"/>
      <c r="C87"/>
      <c r="D87"/>
      <c r="E87"/>
      <c r="F87"/>
      <c r="H87"/>
      <c r="I87"/>
      <c r="J87"/>
      <c r="K87"/>
      <c r="L87"/>
    </row>
    <row r="88" spans="1:12" x14ac:dyDescent="0.2">
      <c r="A88"/>
      <c r="B88"/>
      <c r="C88"/>
      <c r="D88"/>
      <c r="E88"/>
      <c r="F88"/>
      <c r="H88"/>
      <c r="I88"/>
      <c r="J88"/>
      <c r="K88"/>
      <c r="L88"/>
    </row>
    <row r="89" spans="1:12" x14ac:dyDescent="0.2">
      <c r="A89"/>
      <c r="B89"/>
      <c r="C89"/>
      <c r="D89"/>
      <c r="E89"/>
      <c r="F89"/>
      <c r="H89"/>
      <c r="I89"/>
      <c r="J89"/>
      <c r="K89"/>
      <c r="L89"/>
    </row>
    <row r="90" spans="1:12" x14ac:dyDescent="0.2">
      <c r="A90"/>
      <c r="B90"/>
      <c r="C90"/>
      <c r="D90"/>
      <c r="E90"/>
      <c r="F90"/>
      <c r="H90"/>
      <c r="I90"/>
      <c r="J90"/>
      <c r="K90"/>
      <c r="L90"/>
    </row>
    <row r="91" spans="1:12" x14ac:dyDescent="0.2">
      <c r="A91"/>
      <c r="B91"/>
      <c r="C91"/>
      <c r="D91"/>
      <c r="E91"/>
      <c r="F91"/>
      <c r="H91"/>
      <c r="I91"/>
      <c r="J91"/>
      <c r="K91"/>
      <c r="L91"/>
    </row>
    <row r="92" spans="1:12" x14ac:dyDescent="0.2">
      <c r="A92"/>
      <c r="B92"/>
      <c r="C92"/>
      <c r="D92"/>
      <c r="E92"/>
      <c r="F92"/>
      <c r="H92"/>
      <c r="I92"/>
      <c r="J92"/>
      <c r="K92"/>
      <c r="L92"/>
    </row>
    <row r="93" spans="1:12" x14ac:dyDescent="0.2">
      <c r="A93"/>
      <c r="B93"/>
      <c r="C93"/>
      <c r="D93"/>
      <c r="E93"/>
      <c r="F93"/>
      <c r="H93"/>
      <c r="I93"/>
      <c r="J93"/>
      <c r="K93"/>
      <c r="L93"/>
    </row>
    <row r="94" spans="1:12" x14ac:dyDescent="0.2">
      <c r="A94"/>
      <c r="B94"/>
      <c r="C94"/>
      <c r="D94"/>
      <c r="E94"/>
      <c r="F94"/>
      <c r="H94"/>
      <c r="I94"/>
      <c r="J94"/>
      <c r="K94"/>
      <c r="L94"/>
    </row>
    <row r="95" spans="1:12" x14ac:dyDescent="0.2">
      <c r="A95"/>
      <c r="B95"/>
      <c r="C95"/>
      <c r="D95"/>
      <c r="E95"/>
      <c r="F95"/>
      <c r="H95"/>
      <c r="I95"/>
      <c r="J95"/>
      <c r="K95"/>
      <c r="L95"/>
    </row>
    <row r="96" spans="1:12" x14ac:dyDescent="0.2">
      <c r="A96"/>
      <c r="B96"/>
      <c r="C96"/>
      <c r="D96"/>
      <c r="E96"/>
      <c r="F96"/>
      <c r="H96"/>
      <c r="I96"/>
      <c r="J96"/>
      <c r="K96"/>
      <c r="L96"/>
    </row>
    <row r="97" spans="1:12" x14ac:dyDescent="0.2">
      <c r="A97"/>
      <c r="B97"/>
      <c r="C97"/>
      <c r="D97"/>
      <c r="E97"/>
      <c r="F97"/>
      <c r="H97"/>
      <c r="I97"/>
      <c r="J97"/>
      <c r="K97"/>
      <c r="L97"/>
    </row>
    <row r="98" spans="1:12" x14ac:dyDescent="0.2">
      <c r="A98"/>
      <c r="B98"/>
      <c r="C98"/>
      <c r="D98"/>
      <c r="E98"/>
      <c r="F98"/>
      <c r="H98"/>
      <c r="I98"/>
      <c r="J98"/>
      <c r="K98"/>
      <c r="L98"/>
    </row>
    <row r="99" spans="1:12" x14ac:dyDescent="0.2">
      <c r="A99"/>
      <c r="B99"/>
      <c r="C99"/>
      <c r="D99"/>
      <c r="E99"/>
      <c r="F99"/>
      <c r="K99"/>
    </row>
    <row r="100" spans="1:12" x14ac:dyDescent="0.2">
      <c r="A100"/>
      <c r="B100"/>
      <c r="C100"/>
      <c r="D100"/>
      <c r="E100"/>
      <c r="F100"/>
      <c r="K100"/>
    </row>
    <row r="101" spans="1:12" x14ac:dyDescent="0.2">
      <c r="A101"/>
      <c r="B101"/>
      <c r="C101"/>
      <c r="D101"/>
      <c r="E101"/>
      <c r="F101"/>
      <c r="H101" s="68"/>
      <c r="I101"/>
      <c r="J101"/>
      <c r="K101"/>
    </row>
    <row r="102" spans="1:12" x14ac:dyDescent="0.2">
      <c r="A102"/>
      <c r="B102"/>
      <c r="C102"/>
      <c r="D102"/>
      <c r="E102"/>
      <c r="F102"/>
      <c r="H102"/>
      <c r="I102"/>
      <c r="J102"/>
      <c r="K102"/>
    </row>
    <row r="103" spans="1:12" x14ac:dyDescent="0.2">
      <c r="A103"/>
      <c r="B103"/>
      <c r="C103"/>
      <c r="D103"/>
      <c r="E103"/>
      <c r="F103"/>
      <c r="H103"/>
      <c r="I103"/>
      <c r="J103"/>
      <c r="K103"/>
    </row>
    <row r="104" spans="1:12" x14ac:dyDescent="0.2">
      <c r="A104"/>
      <c r="B104"/>
      <c r="C104"/>
      <c r="D104"/>
      <c r="E104"/>
      <c r="F104"/>
      <c r="H104"/>
      <c r="I104"/>
      <c r="J104"/>
      <c r="K104"/>
    </row>
    <row r="105" spans="1:12" x14ac:dyDescent="0.2">
      <c r="A105"/>
      <c r="B105"/>
      <c r="C105"/>
      <c r="D105"/>
      <c r="E105"/>
      <c r="F105"/>
      <c r="H105"/>
      <c r="I105" s="69"/>
      <c r="J105" s="69"/>
      <c r="K105" s="69"/>
    </row>
    <row r="106" spans="1:12" x14ac:dyDescent="0.2">
      <c r="A106"/>
      <c r="B106"/>
      <c r="C106"/>
      <c r="D106"/>
      <c r="E106"/>
      <c r="F106"/>
      <c r="H106"/>
      <c r="I106" s="69"/>
      <c r="J106" s="69"/>
      <c r="K106" s="69"/>
    </row>
    <row r="107" spans="1:12" x14ac:dyDescent="0.2">
      <c r="D107"/>
      <c r="E107"/>
      <c r="F107"/>
      <c r="H107"/>
      <c r="I107" s="69"/>
      <c r="J107" s="69"/>
      <c r="K107" s="69"/>
    </row>
    <row r="108" spans="1:12" x14ac:dyDescent="0.2">
      <c r="D108"/>
      <c r="E108"/>
      <c r="F108"/>
      <c r="H108"/>
      <c r="I108"/>
      <c r="J108"/>
      <c r="K108"/>
    </row>
    <row r="109" spans="1:12" x14ac:dyDescent="0.2">
      <c r="A109" s="78"/>
      <c r="B109"/>
      <c r="C109"/>
      <c r="D109"/>
      <c r="E109"/>
      <c r="F109"/>
      <c r="H109"/>
      <c r="I109"/>
      <c r="J109"/>
      <c r="K109"/>
    </row>
    <row r="110" spans="1:12" x14ac:dyDescent="0.2">
      <c r="A110"/>
      <c r="B110"/>
      <c r="C110"/>
      <c r="D110"/>
      <c r="E110"/>
      <c r="F110"/>
      <c r="H110"/>
      <c r="I110"/>
      <c r="J110"/>
      <c r="K110"/>
    </row>
    <row r="111" spans="1:12" x14ac:dyDescent="0.2">
      <c r="A111"/>
      <c r="B111"/>
      <c r="C111"/>
      <c r="D111"/>
      <c r="E111"/>
      <c r="F111"/>
      <c r="H111"/>
      <c r="I111"/>
      <c r="J111"/>
      <c r="K111"/>
    </row>
    <row r="112" spans="1:12" x14ac:dyDescent="0.2">
      <c r="A112"/>
      <c r="B112"/>
      <c r="C112"/>
      <c r="D112"/>
      <c r="E112"/>
      <c r="F112"/>
      <c r="H112"/>
      <c r="I112"/>
      <c r="J112"/>
      <c r="K112"/>
    </row>
    <row r="113" spans="1:11" x14ac:dyDescent="0.2">
      <c r="A113"/>
      <c r="B113"/>
      <c r="C113"/>
      <c r="D113"/>
      <c r="E113"/>
      <c r="F113"/>
    </row>
    <row r="114" spans="1:11" x14ac:dyDescent="0.2">
      <c r="A114"/>
      <c r="B114"/>
      <c r="C114"/>
      <c r="D114"/>
      <c r="E114"/>
      <c r="F114"/>
    </row>
    <row r="115" spans="1:11" x14ac:dyDescent="0.2">
      <c r="A115"/>
      <c r="B115"/>
      <c r="C115"/>
      <c r="D115"/>
      <c r="E115"/>
      <c r="F115"/>
      <c r="H115" s="68"/>
      <c r="I115"/>
      <c r="J115"/>
      <c r="K115"/>
    </row>
    <row r="116" spans="1:11" x14ac:dyDescent="0.2">
      <c r="A116"/>
      <c r="B116"/>
      <c r="C116"/>
      <c r="D116"/>
      <c r="E116"/>
      <c r="F116"/>
      <c r="H116"/>
      <c r="I116"/>
      <c r="J116"/>
      <c r="K116"/>
    </row>
    <row r="117" spans="1:11" x14ac:dyDescent="0.2">
      <c r="A117"/>
      <c r="B117"/>
      <c r="C117"/>
      <c r="D117"/>
      <c r="E117"/>
      <c r="F117"/>
      <c r="H117"/>
      <c r="I117"/>
      <c r="J117"/>
      <c r="K117"/>
    </row>
    <row r="118" spans="1:11" x14ac:dyDescent="0.2">
      <c r="A118"/>
      <c r="B118"/>
      <c r="C118"/>
      <c r="D118"/>
      <c r="E118"/>
      <c r="F118"/>
      <c r="H118"/>
      <c r="I118"/>
      <c r="J118" s="69"/>
      <c r="K118" s="69"/>
    </row>
    <row r="119" spans="1:11" x14ac:dyDescent="0.2">
      <c r="A119"/>
      <c r="B119"/>
      <c r="C119"/>
      <c r="D119"/>
      <c r="E119"/>
      <c r="F119"/>
      <c r="H119"/>
      <c r="I119"/>
      <c r="J119" s="69"/>
      <c r="K119" s="69"/>
    </row>
    <row r="120" spans="1:11" x14ac:dyDescent="0.2">
      <c r="A120"/>
      <c r="B120"/>
      <c r="C120"/>
      <c r="D120"/>
      <c r="E120"/>
      <c r="F120"/>
      <c r="H120"/>
      <c r="I120"/>
      <c r="J120" s="69"/>
      <c r="K120" s="69"/>
    </row>
    <row r="121" spans="1:11" x14ac:dyDescent="0.2">
      <c r="A121"/>
      <c r="B121"/>
      <c r="C121"/>
      <c r="D121"/>
      <c r="E121"/>
      <c r="F121"/>
      <c r="H121"/>
      <c r="I121"/>
      <c r="J121"/>
      <c r="K121"/>
    </row>
    <row r="122" spans="1:11" x14ac:dyDescent="0.2">
      <c r="A122"/>
      <c r="B122"/>
      <c r="C122"/>
      <c r="D122"/>
      <c r="E122"/>
      <c r="F122"/>
      <c r="G122"/>
      <c r="H122"/>
      <c r="I122"/>
      <c r="J122"/>
      <c r="K122"/>
    </row>
    <row r="123" spans="1:11" x14ac:dyDescent="0.2">
      <c r="A123"/>
      <c r="B123"/>
      <c r="C123"/>
      <c r="D123"/>
      <c r="E123"/>
      <c r="F123"/>
      <c r="G123"/>
      <c r="H123"/>
      <c r="I123"/>
      <c r="J123"/>
      <c r="K123"/>
    </row>
    <row r="124" spans="1:11" x14ac:dyDescent="0.2">
      <c r="A124"/>
      <c r="B124"/>
      <c r="C124"/>
      <c r="D124"/>
      <c r="E124"/>
      <c r="F124"/>
      <c r="G124"/>
      <c r="H124"/>
      <c r="I124" s="69"/>
      <c r="J124" s="69"/>
    </row>
    <row r="125" spans="1:11" x14ac:dyDescent="0.2">
      <c r="A125"/>
      <c r="B125" s="69"/>
      <c r="C125" s="69"/>
      <c r="D125"/>
      <c r="E125"/>
      <c r="F125"/>
      <c r="G125"/>
      <c r="H125"/>
      <c r="I125" s="69"/>
      <c r="J125" s="69"/>
    </row>
    <row r="126" spans="1:11" x14ac:dyDescent="0.2">
      <c r="A126"/>
      <c r="B126"/>
      <c r="C126"/>
      <c r="D126"/>
      <c r="F126"/>
      <c r="G126"/>
      <c r="H126"/>
      <c r="I126"/>
      <c r="J126"/>
    </row>
    <row r="127" spans="1:11" x14ac:dyDescent="0.2">
      <c r="A127"/>
      <c r="B127"/>
      <c r="C127"/>
      <c r="D127"/>
      <c r="F127"/>
      <c r="G127"/>
      <c r="H127"/>
      <c r="I127"/>
      <c r="J127"/>
    </row>
    <row r="128" spans="1:11" x14ac:dyDescent="0.2">
      <c r="A128"/>
      <c r="B128"/>
      <c r="C128"/>
      <c r="D128"/>
      <c r="F128"/>
      <c r="G128"/>
      <c r="H128"/>
      <c r="I128"/>
      <c r="J128"/>
    </row>
    <row r="129" spans="1:10" x14ac:dyDescent="0.2">
      <c r="A129"/>
      <c r="B129" s="69"/>
      <c r="C129" s="69"/>
      <c r="D129"/>
      <c r="F129"/>
      <c r="G129"/>
      <c r="H129"/>
      <c r="I129"/>
      <c r="J129"/>
    </row>
    <row r="130" spans="1:10" x14ac:dyDescent="0.2">
      <c r="A130"/>
      <c r="B130" s="69"/>
      <c r="C130" s="69"/>
      <c r="D130"/>
      <c r="F130"/>
      <c r="G130"/>
      <c r="H130"/>
      <c r="I130"/>
      <c r="J130"/>
    </row>
    <row r="131" spans="1:10" x14ac:dyDescent="0.2">
      <c r="A131"/>
      <c r="B131" s="69"/>
      <c r="C131" s="69"/>
      <c r="D131"/>
      <c r="F131"/>
    </row>
    <row r="132" spans="1:10" x14ac:dyDescent="0.2">
      <c r="A132"/>
      <c r="B132"/>
      <c r="C132"/>
      <c r="D132"/>
      <c r="F132"/>
    </row>
    <row r="133" spans="1:10" x14ac:dyDescent="0.2">
      <c r="A133"/>
      <c r="B133" s="69"/>
      <c r="C133" s="69"/>
      <c r="D133"/>
      <c r="F133"/>
    </row>
    <row r="134" spans="1:10" x14ac:dyDescent="0.2">
      <c r="A134"/>
      <c r="B134" s="69"/>
      <c r="C134" s="69"/>
      <c r="D134"/>
      <c r="F134"/>
    </row>
    <row r="135" spans="1:10" x14ac:dyDescent="0.2">
      <c r="A135"/>
      <c r="B135" s="69"/>
      <c r="C135" s="69"/>
      <c r="D135"/>
      <c r="F135"/>
    </row>
    <row r="136" spans="1:10" x14ac:dyDescent="0.2">
      <c r="A136"/>
      <c r="B136"/>
      <c r="C136"/>
      <c r="D136"/>
      <c r="F136"/>
    </row>
    <row r="137" spans="1:10" x14ac:dyDescent="0.2">
      <c r="A137"/>
      <c r="B137" s="69"/>
      <c r="C137" s="69"/>
      <c r="D137"/>
      <c r="F137"/>
    </row>
    <row r="138" spans="1:10" x14ac:dyDescent="0.2">
      <c r="A138"/>
      <c r="B138" s="69"/>
      <c r="C138" s="69"/>
      <c r="D138"/>
      <c r="F138"/>
    </row>
  </sheetData>
  <mergeCells count="2">
    <mergeCell ref="N52:N53"/>
    <mergeCell ref="G52:G53"/>
  </mergeCells>
  <phoneticPr fontId="0" type="noConversion"/>
  <hyperlinks>
    <hyperlink ref="A2" location="Innhold!A80" display="Tilbake til innholdsfortegnelsen" xr:uid="{00000000-0004-0000-1600-000000000000}"/>
  </hyperlinks>
  <pageMargins left="0.78740157480314965" right="0.70866141732283472" top="0.78740157480314965" bottom="0.19685039370078741" header="3.937007874015748E-2" footer="3.937007874015748E-2"/>
  <pageSetup paperSize="9" scale="98"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37"/>
  <sheetViews>
    <sheetView showGridLines="0" showRowColHeaders="0" topLeftCell="A13" zoomScaleNormal="100" zoomScaleSheetLayoutView="70" workbookViewId="0"/>
  </sheetViews>
  <sheetFormatPr defaultColWidth="11.42578125" defaultRowHeight="15.6" customHeight="1" x14ac:dyDescent="0.2"/>
  <cols>
    <col min="1" max="1" width="27.140625" style="1" customWidth="1"/>
    <col min="2" max="4" width="10.5703125" style="1" customWidth="1"/>
    <col min="5" max="7" width="7.5703125" style="1" customWidth="1"/>
    <col min="8" max="16384" width="11.42578125" style="1"/>
  </cols>
  <sheetData>
    <row r="1" spans="1:7" ht="6" customHeight="1" x14ac:dyDescent="0.2"/>
    <row r="2" spans="1:7" ht="15.6" customHeight="1" x14ac:dyDescent="0.2">
      <c r="A2" s="92" t="s">
        <v>0</v>
      </c>
      <c r="B2" s="2"/>
      <c r="C2" s="2"/>
      <c r="D2" s="2"/>
      <c r="E2" s="2"/>
      <c r="F2" s="2"/>
    </row>
    <row r="3" spans="1:7" ht="6" customHeight="1" x14ac:dyDescent="0.2"/>
    <row r="4" spans="1:7" ht="15.6" customHeight="1" x14ac:dyDescent="0.2">
      <c r="A4" s="2"/>
      <c r="B4" s="2"/>
      <c r="C4" s="2"/>
      <c r="D4" s="2"/>
      <c r="E4" s="2"/>
      <c r="F4" s="2"/>
    </row>
    <row r="5" spans="1:7" ht="15.6" customHeight="1" x14ac:dyDescent="0.25">
      <c r="A5" s="88"/>
      <c r="B5" s="74"/>
      <c r="C5" s="74"/>
      <c r="D5" s="74"/>
      <c r="E5" s="74"/>
      <c r="F5" s="74"/>
      <c r="G5" s="74"/>
    </row>
    <row r="6" spans="1:7" ht="15.6" customHeight="1" x14ac:dyDescent="0.25">
      <c r="A6" s="88"/>
      <c r="B6" s="74"/>
      <c r="C6" s="74"/>
      <c r="D6" s="74"/>
      <c r="E6" s="74"/>
      <c r="F6" s="74"/>
      <c r="G6" s="74"/>
    </row>
    <row r="7" spans="1:7" ht="15.6" customHeight="1" x14ac:dyDescent="0.25">
      <c r="A7" s="73"/>
      <c r="B7" s="73"/>
      <c r="C7" s="73"/>
      <c r="D7" s="73"/>
      <c r="E7" s="73"/>
      <c r="F7" s="73"/>
      <c r="G7" s="73"/>
    </row>
    <row r="8" spans="1:7" ht="15.6" customHeight="1" x14ac:dyDescent="0.25">
      <c r="A8" s="73"/>
      <c r="B8" s="73"/>
      <c r="C8" s="73"/>
      <c r="D8" s="73"/>
      <c r="E8" s="73"/>
      <c r="F8" s="73"/>
      <c r="G8" s="73"/>
    </row>
    <row r="9" spans="1:7" ht="15.6" customHeight="1" x14ac:dyDescent="0.25">
      <c r="A9" s="73"/>
      <c r="B9" s="73"/>
      <c r="C9" s="73"/>
      <c r="D9" s="73"/>
      <c r="E9" s="73"/>
      <c r="F9" s="73"/>
      <c r="G9" s="73"/>
    </row>
    <row r="10" spans="1:7" ht="15.6" customHeight="1" x14ac:dyDescent="0.25">
      <c r="A10" s="73"/>
      <c r="B10" s="73"/>
      <c r="C10" s="73"/>
      <c r="D10" s="73"/>
      <c r="E10" s="73"/>
      <c r="F10" s="73"/>
      <c r="G10" s="73"/>
    </row>
    <row r="11" spans="1:7" ht="15.6" customHeight="1" x14ac:dyDescent="0.25">
      <c r="A11" s="73"/>
      <c r="B11" s="73"/>
      <c r="C11" s="73"/>
      <c r="D11" s="73"/>
      <c r="E11" s="73"/>
      <c r="F11" s="73"/>
      <c r="G11" s="73"/>
    </row>
    <row r="12" spans="1:7" ht="15.6" customHeight="1" x14ac:dyDescent="0.25">
      <c r="A12" s="73"/>
      <c r="B12" s="73"/>
      <c r="C12" s="73"/>
      <c r="D12" s="73"/>
      <c r="E12" s="73"/>
      <c r="F12" s="73"/>
      <c r="G12" s="73"/>
    </row>
    <row r="13" spans="1:7" ht="15.6" customHeight="1" x14ac:dyDescent="0.25">
      <c r="A13" s="73"/>
      <c r="B13" s="73"/>
      <c r="C13" s="73"/>
      <c r="D13" s="73"/>
      <c r="E13" s="73"/>
      <c r="F13" s="73"/>
      <c r="G13" s="73"/>
    </row>
    <row r="14" spans="1:7" ht="15.6" customHeight="1" x14ac:dyDescent="0.25">
      <c r="A14" s="73"/>
      <c r="B14" s="73"/>
      <c r="C14" s="73"/>
      <c r="D14" s="73"/>
      <c r="E14" s="73"/>
      <c r="F14" s="73"/>
      <c r="G14" s="73"/>
    </row>
    <row r="15" spans="1:7" ht="15.6" customHeight="1" x14ac:dyDescent="0.25">
      <c r="A15" s="73"/>
      <c r="B15" s="73"/>
      <c r="C15" s="73"/>
      <c r="D15" s="73"/>
      <c r="E15" s="73"/>
      <c r="F15" s="73"/>
      <c r="G15" s="73"/>
    </row>
    <row r="16" spans="1:7" ht="15.6" customHeight="1" x14ac:dyDescent="0.25">
      <c r="A16" s="73"/>
      <c r="B16" s="73"/>
      <c r="C16" s="73"/>
      <c r="D16" s="73"/>
      <c r="E16" s="73"/>
      <c r="F16" s="73"/>
      <c r="G16" s="73"/>
    </row>
    <row r="17" spans="1:13" ht="15.6" customHeight="1" x14ac:dyDescent="0.25">
      <c r="A17" s="73"/>
      <c r="B17" s="73"/>
      <c r="C17" s="73"/>
      <c r="D17" s="73"/>
      <c r="E17" s="73"/>
      <c r="F17" s="73"/>
      <c r="G17" s="73"/>
    </row>
    <row r="18" spans="1:13" ht="15.6" customHeight="1" x14ac:dyDescent="0.25">
      <c r="A18" s="73"/>
      <c r="B18" s="73"/>
      <c r="C18" s="73"/>
      <c r="D18" s="73"/>
      <c r="E18" s="73"/>
      <c r="F18" s="73"/>
      <c r="G18" s="73"/>
    </row>
    <row r="19" spans="1:13" ht="15.6" customHeight="1" x14ac:dyDescent="0.25">
      <c r="A19" s="73"/>
      <c r="B19" s="73"/>
      <c r="C19" s="73"/>
      <c r="D19" s="73"/>
      <c r="E19" s="73"/>
      <c r="F19" s="73"/>
      <c r="G19" s="73"/>
    </row>
    <row r="20" spans="1:13" ht="15.6" customHeight="1" x14ac:dyDescent="0.25">
      <c r="A20" s="73"/>
      <c r="B20" s="73"/>
      <c r="C20" s="73"/>
      <c r="D20" s="73"/>
      <c r="E20" s="73"/>
      <c r="F20" s="73"/>
      <c r="G20" s="73"/>
    </row>
    <row r="21" spans="1:13" ht="15.6" customHeight="1" x14ac:dyDescent="0.25">
      <c r="A21" s="73"/>
      <c r="B21" s="73"/>
      <c r="C21" s="73"/>
      <c r="D21" s="73"/>
      <c r="E21" s="73"/>
      <c r="F21" s="73"/>
      <c r="G21" s="73"/>
    </row>
    <row r="22" spans="1:13" ht="15.6" customHeight="1" x14ac:dyDescent="0.25">
      <c r="A22" s="73"/>
      <c r="B22" s="73"/>
      <c r="C22" s="73"/>
      <c r="D22" s="73"/>
      <c r="E22" s="73"/>
      <c r="F22" s="73"/>
      <c r="G22" s="73"/>
    </row>
    <row r="23" spans="1:13" ht="15.6" customHeight="1" x14ac:dyDescent="0.25">
      <c r="A23" s="73"/>
      <c r="B23" s="73"/>
      <c r="C23" s="73"/>
      <c r="D23" s="73"/>
      <c r="E23" s="73"/>
      <c r="F23" s="73"/>
      <c r="G23" s="73"/>
    </row>
    <row r="24" spans="1:13" ht="15.6" customHeight="1" x14ac:dyDescent="0.25">
      <c r="A24" s="73"/>
      <c r="B24" s="73"/>
      <c r="C24" s="73"/>
      <c r="D24" s="73"/>
      <c r="E24" s="73"/>
      <c r="F24" s="73"/>
      <c r="G24" s="73"/>
    </row>
    <row r="25" spans="1:13" ht="15.6" customHeight="1" x14ac:dyDescent="0.25">
      <c r="A25" s="73"/>
      <c r="B25" s="73"/>
      <c r="C25" s="73"/>
      <c r="D25" s="73"/>
      <c r="E25" s="73"/>
      <c r="F25" s="73"/>
      <c r="G25" s="73"/>
    </row>
    <row r="26" spans="1:13" ht="15.6" customHeight="1" x14ac:dyDescent="0.25">
      <c r="A26" s="73"/>
      <c r="B26" s="73"/>
      <c r="C26" s="73"/>
      <c r="D26" s="73"/>
      <c r="E26" s="73"/>
      <c r="F26" s="73"/>
      <c r="G26" s="73"/>
    </row>
    <row r="27" spans="1:13" ht="15.6" customHeight="1" x14ac:dyDescent="0.25">
      <c r="A27" s="73"/>
      <c r="B27" s="73"/>
      <c r="C27" s="73"/>
      <c r="D27" s="73"/>
      <c r="E27" s="73"/>
      <c r="F27" s="73"/>
      <c r="G27" s="73"/>
    </row>
    <row r="28" spans="1:13" ht="15.6" customHeight="1" x14ac:dyDescent="0.25">
      <c r="A28" s="73"/>
      <c r="B28" s="73"/>
      <c r="C28" s="73"/>
      <c r="D28" s="73"/>
      <c r="E28" s="73"/>
      <c r="F28" s="73"/>
      <c r="G28" s="73"/>
      <c r="M28" s="77"/>
    </row>
    <row r="29" spans="1:13" ht="15.6" customHeight="1" x14ac:dyDescent="0.25">
      <c r="A29" s="73"/>
      <c r="B29" s="73"/>
      <c r="C29" s="73"/>
      <c r="D29" s="73"/>
      <c r="E29" s="73"/>
      <c r="F29" s="73"/>
      <c r="G29" s="73"/>
      <c r="M29" s="77"/>
    </row>
    <row r="30" spans="1:13" ht="15.6" customHeight="1" x14ac:dyDescent="0.25">
      <c r="A30" s="73"/>
      <c r="B30" s="73"/>
      <c r="C30" s="73"/>
      <c r="D30" s="73"/>
      <c r="E30" s="73"/>
      <c r="F30" s="73"/>
      <c r="G30" s="73"/>
      <c r="M30" s="77"/>
    </row>
    <row r="31" spans="1:13" ht="15.6" customHeight="1" x14ac:dyDescent="0.25">
      <c r="A31" s="73"/>
      <c r="B31" s="73"/>
      <c r="C31" s="73"/>
      <c r="D31" s="73"/>
      <c r="E31" s="73"/>
      <c r="F31" s="73"/>
      <c r="G31" s="73"/>
      <c r="M31" s="77"/>
    </row>
    <row r="32" spans="1:13" ht="15.6" customHeight="1" x14ac:dyDescent="0.25">
      <c r="A32" s="73"/>
      <c r="B32" s="73"/>
      <c r="C32" s="73"/>
      <c r="D32" s="73"/>
      <c r="E32" s="73"/>
      <c r="F32" s="73"/>
      <c r="G32" s="73"/>
      <c r="M32" s="77"/>
    </row>
    <row r="33" spans="1:13" ht="15.6" customHeight="1" x14ac:dyDescent="0.25">
      <c r="A33" s="73"/>
      <c r="B33" s="73"/>
      <c r="C33" s="73"/>
      <c r="D33" s="73"/>
      <c r="E33" s="73"/>
      <c r="F33" s="73"/>
      <c r="G33" s="73"/>
      <c r="M33" s="77"/>
    </row>
    <row r="34" spans="1:13" ht="15.6" customHeight="1" x14ac:dyDescent="0.25">
      <c r="A34" s="73"/>
      <c r="B34" s="73"/>
      <c r="C34" s="73"/>
      <c r="D34" s="73"/>
      <c r="E34" s="73"/>
      <c r="F34" s="73"/>
      <c r="G34" s="73"/>
      <c r="M34" s="77"/>
    </row>
    <row r="35" spans="1:13" ht="15.6" customHeight="1" x14ac:dyDescent="0.25">
      <c r="A35" s="73"/>
      <c r="B35" s="73"/>
      <c r="C35" s="73"/>
      <c r="D35" s="73"/>
      <c r="E35" s="73"/>
      <c r="F35" s="73"/>
      <c r="G35" s="73"/>
      <c r="M35" s="77"/>
    </row>
    <row r="36" spans="1:13" ht="15.6" customHeight="1" x14ac:dyDescent="0.25">
      <c r="A36" s="73"/>
      <c r="B36" s="73"/>
      <c r="C36" s="73"/>
      <c r="D36" s="73"/>
      <c r="E36" s="73"/>
      <c r="F36" s="73"/>
      <c r="G36" s="73"/>
      <c r="M36" s="77"/>
    </row>
    <row r="37" spans="1:13" ht="15.6" customHeight="1" x14ac:dyDescent="0.25">
      <c r="A37" s="73"/>
      <c r="B37" s="73"/>
      <c r="C37" s="73"/>
      <c r="D37" s="73"/>
      <c r="E37" s="73"/>
      <c r="F37" s="73"/>
      <c r="G37" s="73"/>
      <c r="M37" s="77"/>
    </row>
    <row r="38" spans="1:13" ht="15.6" customHeight="1" x14ac:dyDescent="0.25">
      <c r="A38" s="73"/>
      <c r="B38" s="73"/>
      <c r="C38" s="73"/>
      <c r="D38" s="73"/>
      <c r="E38" s="73"/>
      <c r="F38" s="73"/>
      <c r="G38" s="73"/>
      <c r="M38" s="77"/>
    </row>
    <row r="39" spans="1:13" ht="15.6" customHeight="1" x14ac:dyDescent="0.25">
      <c r="A39" s="73"/>
      <c r="B39" s="73"/>
      <c r="C39" s="73"/>
      <c r="D39" s="73"/>
      <c r="E39" s="73"/>
      <c r="F39" s="73"/>
      <c r="G39" s="73"/>
      <c r="M39" s="77"/>
    </row>
    <row r="40" spans="1:13" ht="15.6" customHeight="1" x14ac:dyDescent="0.25">
      <c r="A40" s="73"/>
      <c r="B40" s="73"/>
      <c r="C40" s="73"/>
      <c r="D40" s="73"/>
      <c r="E40" s="73"/>
      <c r="F40" s="73"/>
      <c r="G40" s="73"/>
      <c r="M40" s="77"/>
    </row>
    <row r="41" spans="1:13" ht="15.6" customHeight="1" x14ac:dyDescent="0.25">
      <c r="A41" s="73"/>
      <c r="B41" s="73"/>
      <c r="C41" s="73"/>
      <c r="D41" s="73"/>
      <c r="E41" s="73"/>
      <c r="F41" s="73"/>
      <c r="G41" s="73"/>
      <c r="M41" s="77"/>
    </row>
    <row r="42" spans="1:13" ht="15.6" customHeight="1" x14ac:dyDescent="0.25">
      <c r="A42" s="73"/>
      <c r="B42" s="73"/>
      <c r="C42" s="73"/>
      <c r="D42" s="73"/>
      <c r="E42" s="73"/>
      <c r="F42" s="73"/>
      <c r="G42" s="73"/>
      <c r="M42" s="77"/>
    </row>
    <row r="43" spans="1:13" ht="15.6" customHeight="1" x14ac:dyDescent="0.25">
      <c r="A43" s="73"/>
      <c r="B43" s="73"/>
      <c r="C43" s="73"/>
      <c r="D43" s="73"/>
      <c r="E43" s="73"/>
      <c r="F43" s="73"/>
      <c r="G43" s="73"/>
      <c r="M43" s="77"/>
    </row>
    <row r="44" spans="1:13" ht="15.6" customHeight="1" x14ac:dyDescent="0.25">
      <c r="A44" s="73"/>
      <c r="B44" s="73"/>
      <c r="C44" s="73"/>
      <c r="D44" s="73"/>
      <c r="E44" s="73"/>
      <c r="F44" s="73"/>
      <c r="G44" s="73"/>
      <c r="M44" s="77"/>
    </row>
    <row r="45" spans="1:13" ht="15.6" customHeight="1" x14ac:dyDescent="0.25">
      <c r="A45" s="73"/>
      <c r="B45" s="73"/>
      <c r="C45" s="73"/>
      <c r="D45" s="73"/>
      <c r="E45" s="73"/>
      <c r="F45" s="73"/>
      <c r="G45" s="73"/>
      <c r="M45" s="77"/>
    </row>
    <row r="46" spans="1:13" ht="15.6" customHeight="1" x14ac:dyDescent="0.25">
      <c r="A46" s="93" t="s">
        <v>190</v>
      </c>
      <c r="B46" s="73"/>
      <c r="C46" s="73"/>
      <c r="D46" s="73"/>
      <c r="E46" s="73"/>
      <c r="F46" s="73"/>
      <c r="G46" s="73"/>
      <c r="M46" s="77"/>
    </row>
    <row r="47" spans="1:13" ht="15.6" customHeight="1" x14ac:dyDescent="0.25">
      <c r="A47" s="93" t="s">
        <v>191</v>
      </c>
      <c r="B47" s="73"/>
      <c r="C47" s="73"/>
      <c r="D47" s="73"/>
      <c r="E47" s="73"/>
      <c r="F47" s="73"/>
      <c r="G47" s="73"/>
      <c r="M47" s="77"/>
    </row>
    <row r="48" spans="1:13" ht="15.6" customHeight="1" x14ac:dyDescent="0.25">
      <c r="A48" s="93" t="s">
        <v>130</v>
      </c>
      <c r="B48" s="73"/>
      <c r="C48" s="73"/>
      <c r="D48" s="73"/>
      <c r="E48" s="73"/>
      <c r="F48" s="73"/>
      <c r="G48" s="73"/>
      <c r="M48" s="77"/>
    </row>
    <row r="49" spans="1:13" ht="15.6" customHeight="1" x14ac:dyDescent="0.25">
      <c r="A49" s="93" t="s">
        <v>232</v>
      </c>
      <c r="B49" s="73"/>
      <c r="C49" s="73"/>
      <c r="D49" s="73"/>
      <c r="E49" s="73"/>
      <c r="F49" s="73"/>
      <c r="G49" s="73"/>
      <c r="M49" s="77"/>
    </row>
    <row r="50" spans="1:13" ht="15.6" customHeight="1" x14ac:dyDescent="0.2">
      <c r="A50" s="52"/>
      <c r="B50" s="52"/>
      <c r="C50" s="52"/>
      <c r="D50" s="52"/>
      <c r="E50" s="52"/>
      <c r="F50" s="52"/>
      <c r="G50" s="52"/>
      <c r="H50" s="77"/>
    </row>
    <row r="51" spans="1:13" ht="15.6" customHeight="1" x14ac:dyDescent="0.2">
      <c r="A51" s="54" t="str">
        <f>+Innhold!B123</f>
        <v>Finans Norge / Skadestatistikk</v>
      </c>
      <c r="G51" s="207">
        <v>3</v>
      </c>
      <c r="H51" s="77"/>
    </row>
    <row r="52" spans="1:13" ht="15.6" customHeight="1" x14ac:dyDescent="0.2">
      <c r="A52" s="54" t="str">
        <f>+Innhold!B124</f>
        <v>Skadestatistikk for landbasert forsikring 1. kvartal 2019</v>
      </c>
      <c r="G52" s="208"/>
      <c r="H52" s="77"/>
    </row>
    <row r="53" spans="1:13" ht="15.6" customHeight="1" x14ac:dyDescent="0.2">
      <c r="H53" s="77"/>
    </row>
    <row r="59" spans="1:13" ht="15.6" customHeight="1" x14ac:dyDescent="0.2">
      <c r="J59"/>
      <c r="K59"/>
      <c r="L59"/>
    </row>
    <row r="60" spans="1:13" ht="15.6" customHeight="1" x14ac:dyDescent="0.2">
      <c r="J60" s="71"/>
      <c r="K60" s="72"/>
      <c r="L60" s="72"/>
    </row>
    <row r="61" spans="1:13" ht="15.6" customHeight="1" x14ac:dyDescent="0.2">
      <c r="J61" s="70"/>
      <c r="K61"/>
      <c r="L61"/>
    </row>
    <row r="62" spans="1:13" ht="15.6" customHeight="1" x14ac:dyDescent="0.2">
      <c r="J62" s="69"/>
      <c r="K62" s="69"/>
      <c r="L62" s="69"/>
    </row>
    <row r="63" spans="1:13" ht="15.6" customHeight="1" x14ac:dyDescent="0.2">
      <c r="J63" s="69"/>
      <c r="K63" s="69"/>
      <c r="L63" s="69"/>
    </row>
    <row r="64" spans="1:13" ht="15.6" customHeight="1" x14ac:dyDescent="0.2">
      <c r="J64" s="69"/>
      <c r="K64" s="69"/>
      <c r="L64" s="69"/>
    </row>
    <row r="65" spans="1:12" ht="15.6" customHeight="1" x14ac:dyDescent="0.2">
      <c r="J65" s="69"/>
      <c r="K65" s="69"/>
      <c r="L65" s="69"/>
    </row>
    <row r="66" spans="1:12" ht="15.6" customHeight="1" x14ac:dyDescent="0.2">
      <c r="J66" s="69"/>
      <c r="K66" s="69"/>
      <c r="L66" s="69"/>
    </row>
    <row r="67" spans="1:12" ht="15.6" customHeight="1" x14ac:dyDescent="0.2">
      <c r="J67" s="69"/>
      <c r="K67" s="69"/>
      <c r="L67" s="69"/>
    </row>
    <row r="68" spans="1:12" ht="15.6" customHeight="1" x14ac:dyDescent="0.2">
      <c r="J68" s="69"/>
      <c r="K68" s="69"/>
      <c r="L68" s="69"/>
    </row>
    <row r="69" spans="1:12" ht="15.6" customHeight="1" x14ac:dyDescent="0.2">
      <c r="J69"/>
      <c r="K69"/>
      <c r="L69"/>
    </row>
    <row r="70" spans="1:12" ht="15.6" customHeight="1" x14ac:dyDescent="0.2">
      <c r="J70"/>
      <c r="K70"/>
      <c r="L70"/>
    </row>
    <row r="71" spans="1:12" ht="15.6" customHeight="1" x14ac:dyDescent="0.2">
      <c r="J71"/>
      <c r="K71"/>
      <c r="L71"/>
    </row>
    <row r="72" spans="1:12" ht="15.6" customHeight="1" x14ac:dyDescent="0.2">
      <c r="A72"/>
      <c r="B72"/>
      <c r="C72"/>
      <c r="D72"/>
      <c r="E72"/>
      <c r="F72"/>
      <c r="H72"/>
      <c r="I72"/>
      <c r="J72"/>
      <c r="K72"/>
      <c r="L72"/>
    </row>
    <row r="73" spans="1:12" ht="15.6" customHeight="1" x14ac:dyDescent="0.2">
      <c r="A73"/>
      <c r="B73"/>
      <c r="C73"/>
      <c r="D73"/>
      <c r="E73"/>
      <c r="F73"/>
      <c r="H73"/>
      <c r="I73"/>
      <c r="J73"/>
      <c r="K73"/>
      <c r="L73"/>
    </row>
    <row r="74" spans="1:12" ht="15.6" customHeight="1" x14ac:dyDescent="0.2">
      <c r="A74"/>
      <c r="B74"/>
      <c r="C74"/>
      <c r="D74"/>
      <c r="E74"/>
      <c r="F74"/>
      <c r="H74"/>
      <c r="I74"/>
      <c r="J74"/>
      <c r="K74"/>
      <c r="L74"/>
    </row>
    <row r="75" spans="1:12" ht="15.6" customHeight="1" x14ac:dyDescent="0.2">
      <c r="A75"/>
      <c r="B75"/>
      <c r="C75"/>
      <c r="D75"/>
      <c r="E75"/>
      <c r="F75"/>
      <c r="H75"/>
      <c r="I75"/>
      <c r="J75"/>
      <c r="K75"/>
      <c r="L75"/>
    </row>
    <row r="76" spans="1:12" ht="15.6" customHeight="1" x14ac:dyDescent="0.2">
      <c r="A76"/>
      <c r="B76"/>
      <c r="C76"/>
      <c r="D76"/>
      <c r="E76"/>
      <c r="F76"/>
      <c r="H76"/>
      <c r="I76"/>
      <c r="J76"/>
      <c r="K76"/>
      <c r="L76"/>
    </row>
    <row r="77" spans="1:12" ht="15.6" customHeight="1" x14ac:dyDescent="0.2">
      <c r="A77"/>
      <c r="B77"/>
      <c r="C77"/>
      <c r="D77"/>
      <c r="E77"/>
      <c r="F77"/>
      <c r="H77"/>
      <c r="I77"/>
      <c r="J77"/>
      <c r="K77"/>
      <c r="L77"/>
    </row>
    <row r="78" spans="1:12" ht="15.6" customHeight="1" x14ac:dyDescent="0.2">
      <c r="A78"/>
      <c r="B78"/>
      <c r="C78"/>
      <c r="D78"/>
      <c r="E78"/>
      <c r="F78"/>
      <c r="H78"/>
      <c r="I78"/>
      <c r="J78"/>
      <c r="K78"/>
      <c r="L78"/>
    </row>
    <row r="79" spans="1:12" ht="15.6" customHeight="1" x14ac:dyDescent="0.2">
      <c r="A79"/>
      <c r="B79"/>
      <c r="C79"/>
      <c r="D79"/>
      <c r="E79"/>
      <c r="F79"/>
      <c r="H79"/>
      <c r="I79"/>
      <c r="J79"/>
      <c r="K79"/>
      <c r="L79"/>
    </row>
    <row r="80" spans="1:12" ht="15.6" customHeight="1" x14ac:dyDescent="0.2">
      <c r="A80"/>
      <c r="B80"/>
      <c r="C80"/>
      <c r="D80"/>
      <c r="E80"/>
      <c r="F80"/>
      <c r="H80"/>
      <c r="I80"/>
      <c r="J80"/>
      <c r="K80"/>
      <c r="L80"/>
    </row>
    <row r="81" spans="1:12" ht="15.6" customHeight="1" x14ac:dyDescent="0.2">
      <c r="A81"/>
      <c r="B81"/>
      <c r="C81"/>
      <c r="D81"/>
      <c r="E81"/>
      <c r="F81"/>
      <c r="H81"/>
      <c r="I81"/>
      <c r="J81"/>
      <c r="K81"/>
      <c r="L81"/>
    </row>
    <row r="82" spans="1:12" ht="15.6" customHeight="1" x14ac:dyDescent="0.2">
      <c r="A82"/>
      <c r="B82"/>
      <c r="C82"/>
      <c r="D82"/>
      <c r="E82"/>
      <c r="F82"/>
      <c r="H82"/>
      <c r="I82"/>
      <c r="J82"/>
      <c r="K82"/>
      <c r="L82"/>
    </row>
    <row r="83" spans="1:12" ht="15.6" customHeight="1" x14ac:dyDescent="0.2">
      <c r="A83"/>
      <c r="B83"/>
      <c r="C83"/>
      <c r="D83"/>
      <c r="E83"/>
      <c r="F83"/>
      <c r="H83"/>
      <c r="I83"/>
      <c r="J83"/>
      <c r="K83"/>
      <c r="L83"/>
    </row>
    <row r="84" spans="1:12" ht="15.6" customHeight="1" x14ac:dyDescent="0.2">
      <c r="A84"/>
      <c r="B84"/>
      <c r="C84"/>
      <c r="D84"/>
      <c r="E84"/>
      <c r="F84"/>
      <c r="H84"/>
      <c r="I84"/>
      <c r="J84"/>
      <c r="K84"/>
      <c r="L84"/>
    </row>
    <row r="85" spans="1:12" ht="15.6" customHeight="1" x14ac:dyDescent="0.2">
      <c r="A85"/>
      <c r="B85"/>
      <c r="C85"/>
      <c r="D85"/>
      <c r="E85"/>
      <c r="F85"/>
      <c r="H85"/>
      <c r="I85"/>
      <c r="J85"/>
      <c r="K85"/>
      <c r="L85"/>
    </row>
    <row r="86" spans="1:12" ht="15.6" customHeight="1" x14ac:dyDescent="0.2">
      <c r="A86"/>
      <c r="B86"/>
      <c r="C86"/>
      <c r="D86"/>
      <c r="E86"/>
      <c r="F86"/>
      <c r="H86"/>
      <c r="I86"/>
      <c r="J86"/>
      <c r="K86"/>
      <c r="L86"/>
    </row>
    <row r="87" spans="1:12" ht="15.6" customHeight="1" x14ac:dyDescent="0.2">
      <c r="A87"/>
      <c r="B87"/>
      <c r="C87"/>
      <c r="D87"/>
      <c r="E87"/>
      <c r="F87"/>
      <c r="H87"/>
      <c r="I87"/>
      <c r="J87"/>
      <c r="K87"/>
      <c r="L87"/>
    </row>
    <row r="88" spans="1:12" ht="15.6" customHeight="1" x14ac:dyDescent="0.2">
      <c r="A88"/>
      <c r="B88"/>
      <c r="C88"/>
      <c r="D88"/>
      <c r="E88"/>
      <c r="F88"/>
      <c r="H88"/>
      <c r="I88"/>
      <c r="J88"/>
      <c r="K88"/>
      <c r="L88"/>
    </row>
    <row r="89" spans="1:12" ht="15.6" customHeight="1" x14ac:dyDescent="0.2">
      <c r="A89"/>
      <c r="B89"/>
      <c r="C89"/>
      <c r="D89"/>
      <c r="E89"/>
      <c r="F89"/>
      <c r="H89"/>
      <c r="I89"/>
      <c r="J89"/>
      <c r="K89"/>
      <c r="L89"/>
    </row>
    <row r="90" spans="1:12" ht="15.6" customHeight="1" x14ac:dyDescent="0.2">
      <c r="A90"/>
      <c r="B90"/>
      <c r="C90"/>
      <c r="D90"/>
      <c r="E90"/>
      <c r="F90"/>
      <c r="H90"/>
      <c r="I90"/>
      <c r="J90"/>
      <c r="K90"/>
      <c r="L90"/>
    </row>
    <row r="91" spans="1:12" ht="15.6" customHeight="1" x14ac:dyDescent="0.2">
      <c r="A91"/>
      <c r="B91"/>
      <c r="C91"/>
      <c r="D91"/>
      <c r="E91"/>
      <c r="F91"/>
      <c r="H91"/>
      <c r="I91"/>
      <c r="J91"/>
      <c r="K91"/>
      <c r="L91"/>
    </row>
    <row r="92" spans="1:12" ht="15.6" customHeight="1" x14ac:dyDescent="0.2">
      <c r="A92"/>
      <c r="B92"/>
      <c r="C92"/>
      <c r="D92"/>
      <c r="E92"/>
      <c r="F92"/>
      <c r="H92"/>
      <c r="I92"/>
      <c r="J92"/>
      <c r="K92"/>
      <c r="L92"/>
    </row>
    <row r="93" spans="1:12" ht="15.6" customHeight="1" x14ac:dyDescent="0.2">
      <c r="A93"/>
      <c r="B93"/>
      <c r="C93"/>
      <c r="D93"/>
      <c r="E93"/>
      <c r="F93"/>
      <c r="H93"/>
      <c r="I93"/>
      <c r="J93"/>
      <c r="K93"/>
      <c r="L93"/>
    </row>
    <row r="94" spans="1:12" ht="15.6" customHeight="1" x14ac:dyDescent="0.2">
      <c r="A94"/>
      <c r="B94"/>
      <c r="C94"/>
      <c r="D94"/>
      <c r="E94"/>
      <c r="F94"/>
      <c r="H94"/>
      <c r="I94"/>
      <c r="J94"/>
      <c r="K94"/>
      <c r="L94"/>
    </row>
    <row r="95" spans="1:12" ht="15.6" customHeight="1" x14ac:dyDescent="0.2">
      <c r="A95"/>
      <c r="B95"/>
      <c r="C95"/>
      <c r="D95"/>
      <c r="E95"/>
      <c r="F95"/>
      <c r="H95"/>
      <c r="I95"/>
      <c r="J95"/>
      <c r="K95"/>
      <c r="L95"/>
    </row>
    <row r="96" spans="1:12" ht="15.6" customHeight="1" x14ac:dyDescent="0.2">
      <c r="A96"/>
      <c r="B96"/>
      <c r="C96"/>
      <c r="D96"/>
      <c r="E96"/>
      <c r="F96"/>
      <c r="H96"/>
      <c r="I96"/>
      <c r="J96"/>
      <c r="K96"/>
      <c r="L96"/>
    </row>
    <row r="97" spans="1:12" ht="15.6" customHeight="1" x14ac:dyDescent="0.2">
      <c r="A97"/>
      <c r="B97"/>
      <c r="C97"/>
      <c r="D97"/>
      <c r="E97"/>
      <c r="F97"/>
      <c r="H97"/>
      <c r="I97"/>
      <c r="J97"/>
      <c r="K97"/>
      <c r="L97"/>
    </row>
    <row r="98" spans="1:12" ht="15.6" customHeight="1" x14ac:dyDescent="0.2">
      <c r="A98"/>
      <c r="B98"/>
      <c r="C98"/>
      <c r="D98"/>
      <c r="E98"/>
      <c r="F98"/>
      <c r="K98"/>
    </row>
    <row r="99" spans="1:12" ht="15.6" customHeight="1" x14ac:dyDescent="0.2">
      <c r="A99"/>
      <c r="B99"/>
      <c r="C99"/>
      <c r="D99"/>
      <c r="E99"/>
      <c r="F99"/>
      <c r="K99"/>
    </row>
    <row r="100" spans="1:12" ht="15.6" customHeight="1" x14ac:dyDescent="0.2">
      <c r="A100"/>
      <c r="B100"/>
      <c r="C100"/>
      <c r="D100"/>
      <c r="E100"/>
      <c r="F100"/>
      <c r="H100" s="68"/>
      <c r="I100"/>
      <c r="J100"/>
      <c r="K100"/>
    </row>
    <row r="101" spans="1:12" ht="15.6" customHeight="1" x14ac:dyDescent="0.2">
      <c r="A101"/>
      <c r="B101"/>
      <c r="C101"/>
      <c r="D101"/>
      <c r="E101"/>
      <c r="F101"/>
      <c r="H101"/>
      <c r="I101"/>
      <c r="J101"/>
      <c r="K101"/>
    </row>
    <row r="102" spans="1:12" ht="15.6" customHeight="1" x14ac:dyDescent="0.2">
      <c r="A102"/>
      <c r="B102"/>
      <c r="C102"/>
      <c r="D102"/>
      <c r="E102"/>
      <c r="F102"/>
      <c r="H102"/>
      <c r="I102"/>
      <c r="J102"/>
      <c r="K102"/>
    </row>
    <row r="103" spans="1:12" ht="15.6" customHeight="1" x14ac:dyDescent="0.2">
      <c r="A103"/>
      <c r="B103"/>
      <c r="C103"/>
      <c r="D103"/>
      <c r="E103"/>
      <c r="F103"/>
      <c r="H103"/>
      <c r="I103"/>
      <c r="J103"/>
      <c r="K103"/>
    </row>
    <row r="104" spans="1:12" ht="15.6" customHeight="1" x14ac:dyDescent="0.2">
      <c r="A104"/>
      <c r="B104"/>
      <c r="C104"/>
      <c r="D104"/>
      <c r="E104"/>
      <c r="F104"/>
      <c r="H104"/>
      <c r="I104" s="69"/>
      <c r="J104" s="69"/>
      <c r="K104" s="69"/>
    </row>
    <row r="105" spans="1:12" ht="15.6" customHeight="1" x14ac:dyDescent="0.2">
      <c r="A105"/>
      <c r="B105"/>
      <c r="C105"/>
      <c r="D105"/>
      <c r="E105"/>
      <c r="F105"/>
      <c r="H105"/>
      <c r="I105" s="69"/>
      <c r="J105" s="69"/>
      <c r="K105" s="69"/>
    </row>
    <row r="106" spans="1:12" ht="15.6" customHeight="1" x14ac:dyDescent="0.2">
      <c r="D106"/>
      <c r="E106"/>
      <c r="F106"/>
      <c r="H106"/>
      <c r="I106" s="69"/>
      <c r="J106" s="69"/>
      <c r="K106" s="69"/>
    </row>
    <row r="107" spans="1:12" ht="15.6" customHeight="1" x14ac:dyDescent="0.2">
      <c r="D107"/>
      <c r="E107"/>
      <c r="F107"/>
      <c r="H107"/>
      <c r="I107"/>
      <c r="J107"/>
      <c r="K107"/>
    </row>
    <row r="108" spans="1:12" ht="15.6" customHeight="1" x14ac:dyDescent="0.2">
      <c r="A108" s="78"/>
      <c r="B108"/>
      <c r="C108"/>
      <c r="D108"/>
      <c r="E108"/>
      <c r="F108"/>
      <c r="H108"/>
      <c r="I108"/>
      <c r="J108"/>
      <c r="K108"/>
    </row>
    <row r="109" spans="1:12" ht="15.6" customHeight="1" x14ac:dyDescent="0.2">
      <c r="A109"/>
      <c r="B109"/>
      <c r="C109"/>
      <c r="D109"/>
      <c r="E109"/>
      <c r="F109"/>
      <c r="H109"/>
      <c r="I109"/>
      <c r="J109"/>
      <c r="K109"/>
    </row>
    <row r="110" spans="1:12" ht="15.6" customHeight="1" x14ac:dyDescent="0.2">
      <c r="A110"/>
      <c r="B110"/>
      <c r="C110"/>
      <c r="D110"/>
      <c r="E110"/>
      <c r="F110"/>
      <c r="H110"/>
      <c r="I110"/>
      <c r="J110"/>
      <c r="K110"/>
    </row>
    <row r="111" spans="1:12" ht="15.6" customHeight="1" x14ac:dyDescent="0.2">
      <c r="A111"/>
      <c r="B111"/>
      <c r="C111"/>
      <c r="D111"/>
      <c r="E111"/>
      <c r="F111"/>
      <c r="H111"/>
      <c r="I111"/>
      <c r="J111"/>
      <c r="K111"/>
    </row>
    <row r="112" spans="1:12" ht="15.6" customHeight="1" x14ac:dyDescent="0.2">
      <c r="A112"/>
      <c r="B112"/>
      <c r="C112"/>
      <c r="D112"/>
      <c r="E112"/>
      <c r="F112"/>
    </row>
    <row r="113" spans="1:11" ht="15.6" customHeight="1" x14ac:dyDescent="0.2">
      <c r="A113"/>
      <c r="B113"/>
      <c r="C113"/>
      <c r="D113"/>
      <c r="E113"/>
      <c r="F113"/>
    </row>
    <row r="114" spans="1:11" ht="15.6" customHeight="1" x14ac:dyDescent="0.2">
      <c r="A114"/>
      <c r="B114"/>
      <c r="C114"/>
      <c r="D114"/>
      <c r="E114"/>
      <c r="F114"/>
      <c r="H114" s="68"/>
      <c r="I114"/>
      <c r="J114"/>
      <c r="K114"/>
    </row>
    <row r="115" spans="1:11" ht="15.6" customHeight="1" x14ac:dyDescent="0.2">
      <c r="A115"/>
      <c r="B115"/>
      <c r="C115"/>
      <c r="D115"/>
      <c r="E115"/>
      <c r="F115"/>
      <c r="H115"/>
      <c r="I115"/>
      <c r="J115"/>
      <c r="K115"/>
    </row>
    <row r="116" spans="1:11" ht="15.6" customHeight="1" x14ac:dyDescent="0.2">
      <c r="A116"/>
      <c r="B116"/>
      <c r="C116"/>
      <c r="D116"/>
      <c r="E116"/>
      <c r="F116"/>
      <c r="H116"/>
      <c r="I116"/>
      <c r="J116"/>
      <c r="K116"/>
    </row>
    <row r="117" spans="1:11" ht="15.6" customHeight="1" x14ac:dyDescent="0.2">
      <c r="A117"/>
      <c r="B117"/>
      <c r="C117"/>
      <c r="D117"/>
      <c r="E117"/>
      <c r="F117"/>
      <c r="H117"/>
      <c r="I117"/>
      <c r="J117" s="69"/>
      <c r="K117" s="69"/>
    </row>
    <row r="118" spans="1:11" ht="15.6" customHeight="1" x14ac:dyDescent="0.2">
      <c r="A118"/>
      <c r="B118"/>
      <c r="C118"/>
      <c r="D118"/>
      <c r="E118"/>
      <c r="F118"/>
      <c r="H118"/>
      <c r="I118"/>
      <c r="J118" s="69"/>
      <c r="K118" s="69"/>
    </row>
    <row r="119" spans="1:11" ht="15.6" customHeight="1" x14ac:dyDescent="0.2">
      <c r="A119"/>
      <c r="B119"/>
      <c r="C119"/>
      <c r="D119"/>
      <c r="E119"/>
      <c r="F119"/>
      <c r="H119"/>
      <c r="I119"/>
      <c r="J119" s="69"/>
      <c r="K119" s="69"/>
    </row>
    <row r="120" spans="1:11" ht="15.6" customHeight="1" x14ac:dyDescent="0.2">
      <c r="A120"/>
      <c r="B120"/>
      <c r="C120"/>
      <c r="D120"/>
      <c r="E120"/>
      <c r="F120"/>
      <c r="H120"/>
      <c r="I120"/>
      <c r="J120"/>
      <c r="K120"/>
    </row>
    <row r="121" spans="1:11" ht="15.6" customHeight="1" x14ac:dyDescent="0.2">
      <c r="A121"/>
      <c r="B121"/>
      <c r="C121"/>
      <c r="D121"/>
      <c r="E121"/>
      <c r="F121"/>
      <c r="G121"/>
      <c r="H121"/>
      <c r="I121"/>
      <c r="J121"/>
      <c r="K121"/>
    </row>
    <row r="122" spans="1:11" ht="15.6" customHeight="1" x14ac:dyDescent="0.2">
      <c r="A122"/>
      <c r="B122"/>
      <c r="C122"/>
      <c r="D122"/>
      <c r="E122"/>
      <c r="F122"/>
      <c r="G122"/>
      <c r="H122"/>
      <c r="I122"/>
      <c r="J122"/>
      <c r="K122"/>
    </row>
    <row r="123" spans="1:11" ht="15.6" customHeight="1" x14ac:dyDescent="0.2">
      <c r="A123"/>
      <c r="B123"/>
      <c r="C123"/>
      <c r="D123"/>
      <c r="E123"/>
      <c r="F123"/>
      <c r="G123"/>
      <c r="H123"/>
      <c r="I123" s="69"/>
      <c r="J123" s="69"/>
    </row>
    <row r="124" spans="1:11" ht="15.6" customHeight="1" x14ac:dyDescent="0.2">
      <c r="A124"/>
      <c r="B124" s="69"/>
      <c r="C124" s="69"/>
      <c r="D124"/>
      <c r="E124"/>
      <c r="F124"/>
      <c r="G124"/>
      <c r="H124"/>
      <c r="I124" s="69"/>
      <c r="J124" s="69"/>
    </row>
    <row r="125" spans="1:11" ht="15.6" customHeight="1" x14ac:dyDescent="0.2">
      <c r="A125"/>
      <c r="B125"/>
      <c r="C125"/>
      <c r="D125"/>
      <c r="F125"/>
      <c r="G125"/>
      <c r="H125"/>
      <c r="I125"/>
      <c r="J125"/>
    </row>
    <row r="126" spans="1:11" ht="15.6" customHeight="1" x14ac:dyDescent="0.2">
      <c r="A126"/>
      <c r="B126"/>
      <c r="C126"/>
      <c r="D126"/>
      <c r="F126"/>
      <c r="G126"/>
      <c r="H126"/>
      <c r="I126"/>
      <c r="J126"/>
    </row>
    <row r="127" spans="1:11" ht="15.6" customHeight="1" x14ac:dyDescent="0.2">
      <c r="A127"/>
      <c r="B127"/>
      <c r="C127"/>
      <c r="D127"/>
      <c r="F127"/>
      <c r="G127"/>
      <c r="H127"/>
      <c r="I127"/>
      <c r="J127"/>
    </row>
    <row r="128" spans="1:11" ht="15.6" customHeight="1" x14ac:dyDescent="0.2">
      <c r="A128"/>
      <c r="B128" s="69"/>
      <c r="C128" s="69"/>
      <c r="D128"/>
      <c r="F128"/>
      <c r="G128"/>
      <c r="H128"/>
      <c r="I128"/>
      <c r="J128"/>
    </row>
    <row r="129" spans="1:10" ht="15.6" customHeight="1" x14ac:dyDescent="0.2">
      <c r="A129"/>
      <c r="B129" s="69"/>
      <c r="C129" s="69"/>
      <c r="D129"/>
      <c r="F129"/>
      <c r="G129"/>
      <c r="H129"/>
      <c r="I129"/>
      <c r="J129"/>
    </row>
    <row r="130" spans="1:10" ht="15.6" customHeight="1" x14ac:dyDescent="0.2">
      <c r="A130"/>
      <c r="B130" s="69"/>
      <c r="C130" s="69"/>
      <c r="D130"/>
      <c r="F130"/>
    </row>
    <row r="131" spans="1:10" ht="15.6" customHeight="1" x14ac:dyDescent="0.2">
      <c r="A131"/>
      <c r="B131"/>
      <c r="C131"/>
      <c r="D131"/>
      <c r="F131"/>
    </row>
    <row r="132" spans="1:10" ht="15.6" customHeight="1" x14ac:dyDescent="0.2">
      <c r="A132"/>
      <c r="B132" s="69"/>
      <c r="C132" s="69"/>
      <c r="D132"/>
      <c r="F132"/>
    </row>
    <row r="133" spans="1:10" ht="15.6" customHeight="1" x14ac:dyDescent="0.2">
      <c r="A133"/>
      <c r="B133" s="69"/>
      <c r="C133" s="69"/>
      <c r="D133"/>
      <c r="F133"/>
    </row>
    <row r="134" spans="1:10" ht="15.6" customHeight="1" x14ac:dyDescent="0.2">
      <c r="A134"/>
      <c r="B134" s="69"/>
      <c r="C134" s="69"/>
      <c r="D134"/>
      <c r="F134"/>
    </row>
    <row r="135" spans="1:10" ht="15.6" customHeight="1" x14ac:dyDescent="0.2">
      <c r="A135"/>
      <c r="B135"/>
      <c r="C135"/>
      <c r="D135"/>
      <c r="F135"/>
    </row>
    <row r="136" spans="1:10" ht="15.6" customHeight="1" x14ac:dyDescent="0.2">
      <c r="A136"/>
      <c r="B136" s="69"/>
      <c r="C136" s="69"/>
      <c r="D136"/>
      <c r="F136"/>
    </row>
    <row r="137" spans="1:10" ht="15.6" customHeight="1" x14ac:dyDescent="0.2">
      <c r="A137"/>
      <c r="B137" s="69"/>
      <c r="C137" s="69"/>
      <c r="D137"/>
      <c r="F137"/>
    </row>
  </sheetData>
  <mergeCells count="1">
    <mergeCell ref="G51:G52"/>
  </mergeCells>
  <phoneticPr fontId="0" type="noConversion"/>
  <hyperlinks>
    <hyperlink ref="A2" location="Innhold!A8" display="Tilbake til innholdsfortegnelsen" xr:uid="{00000000-0004-0000-0200-000000000000}"/>
  </hyperlinks>
  <pageMargins left="0.78740157480314965" right="0.59055118110236227" top="0.98425196850393704" bottom="0.19685039370078741" header="3.937007874015748E-2" footer="3.937007874015748E-2"/>
  <pageSetup paperSize="9" scale="99"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333"/>
  <sheetViews>
    <sheetView showGridLines="0" topLeftCell="P46" zoomScaleNormal="100" zoomScaleSheetLayoutView="70" workbookViewId="0">
      <selection activeCell="T66" sqref="T66"/>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21" width="11.42578125" style="1" customWidth="1"/>
    <col min="22" max="22" width="15.42578125" style="1" customWidth="1"/>
    <col min="23" max="16384" width="11.42578125" style="1"/>
  </cols>
  <sheetData>
    <row r="1" spans="1:36" ht="5.25" customHeight="1" x14ac:dyDescent="0.2"/>
    <row r="2" spans="1:36" x14ac:dyDescent="0.2">
      <c r="A2" s="169" t="s">
        <v>0</v>
      </c>
      <c r="B2" s="2"/>
      <c r="C2" s="2"/>
      <c r="D2" s="2"/>
      <c r="E2" s="2"/>
      <c r="F2" s="2"/>
      <c r="G2" s="2"/>
    </row>
    <row r="3" spans="1:36" ht="6" customHeight="1" x14ac:dyDescent="0.2">
      <c r="A3" s="170"/>
      <c r="B3" s="2"/>
      <c r="C3" s="2"/>
      <c r="D3" s="2"/>
      <c r="E3" s="2"/>
      <c r="F3" s="2"/>
      <c r="G3" s="2"/>
    </row>
    <row r="4" spans="1:36" ht="12.75" customHeight="1" x14ac:dyDescent="0.2">
      <c r="A4" s="209" t="s">
        <v>90</v>
      </c>
      <c r="B4" s="2"/>
      <c r="C4" s="2"/>
      <c r="D4" s="2"/>
      <c r="E4" s="2"/>
      <c r="F4" s="2"/>
      <c r="G4" s="2"/>
      <c r="H4" s="67"/>
    </row>
    <row r="5" spans="1:36" ht="12.75" customHeight="1" x14ac:dyDescent="0.2">
      <c r="A5" s="209"/>
      <c r="B5" s="2"/>
      <c r="C5" s="2"/>
      <c r="D5" s="2"/>
      <c r="E5" s="2"/>
      <c r="F5" s="2"/>
      <c r="G5" s="2"/>
      <c r="H5" s="67"/>
    </row>
    <row r="6" spans="1:36" ht="15.75" x14ac:dyDescent="0.25">
      <c r="A6" s="4" t="str">
        <f>"Figur 1. Antall meldte skader etter bransjer "&amp;'Tab3'!H63</f>
        <v xml:space="preserve">Figur 1. Antall meldte skader etter bransjer </v>
      </c>
      <c r="B6" s="2"/>
      <c r="C6" s="2"/>
      <c r="D6" s="2"/>
      <c r="E6" s="2"/>
      <c r="F6" s="2"/>
      <c r="G6" s="2"/>
      <c r="H6" s="67"/>
      <c r="I6" s="4" t="str">
        <f>"Figur 3. Anslått erstatning etter bransje, pr. "&amp;'Tab3'!H63</f>
        <v xml:space="preserve">Figur 3. Anslått erstatning etter bransje, pr. </v>
      </c>
      <c r="P6" s="4" t="s">
        <v>182</v>
      </c>
      <c r="W6" s="4" t="str">
        <f>"Figur 7. Antall meldte skader i de Brann-kombinerte bransjer etter skadetype "&amp;'Tab3'!H63</f>
        <v xml:space="preserve">Figur 7. Antall meldte skader i de Brann-kombinerte bransjer etter skadetype </v>
      </c>
      <c r="X6" s="4"/>
      <c r="AD6" s="4" t="str">
        <f>"Figur 9. Brannskader pr. kvartal"</f>
        <v>Figur 9. Brannskader pr. kvartal</v>
      </c>
    </row>
    <row r="7" spans="1:36" ht="15.75" x14ac:dyDescent="0.25">
      <c r="A7" s="170"/>
      <c r="B7" s="2"/>
      <c r="C7" s="2"/>
      <c r="D7" s="2"/>
      <c r="E7" s="2"/>
      <c r="F7" s="2"/>
      <c r="G7" s="2"/>
      <c r="H7" s="67"/>
      <c r="V7" s="88"/>
      <c r="AJ7" s="88"/>
    </row>
    <row r="8" spans="1:36" x14ac:dyDescent="0.2">
      <c r="A8" s="170"/>
      <c r="B8" s="2"/>
      <c r="C8" s="2"/>
      <c r="D8" s="2"/>
      <c r="E8" s="2"/>
      <c r="F8" s="2"/>
      <c r="G8" s="2"/>
      <c r="H8" s="67"/>
    </row>
    <row r="9" spans="1:36" x14ac:dyDescent="0.2">
      <c r="A9" s="170"/>
      <c r="B9" s="2"/>
      <c r="C9" s="2"/>
      <c r="D9" s="2"/>
      <c r="E9" s="2"/>
      <c r="F9" s="2"/>
      <c r="G9" s="2"/>
      <c r="H9" s="67"/>
    </row>
    <row r="10" spans="1:36" x14ac:dyDescent="0.2">
      <c r="A10" s="170"/>
      <c r="B10" s="2"/>
      <c r="C10" s="2"/>
      <c r="D10" s="2"/>
      <c r="E10" s="2"/>
      <c r="F10" s="2"/>
      <c r="G10" s="2"/>
      <c r="H10" s="67"/>
    </row>
    <row r="11" spans="1:36" x14ac:dyDescent="0.2">
      <c r="A11" s="170"/>
      <c r="B11" s="2"/>
      <c r="C11" s="2"/>
      <c r="D11" s="2"/>
      <c r="E11" s="2"/>
      <c r="F11" s="2"/>
      <c r="G11" s="2"/>
      <c r="H11" s="67"/>
    </row>
    <row r="12" spans="1:36" x14ac:dyDescent="0.2">
      <c r="A12" s="170"/>
      <c r="B12" s="2"/>
      <c r="C12" s="2"/>
      <c r="D12" s="2"/>
      <c r="E12" s="2"/>
      <c r="F12" s="2"/>
      <c r="G12" s="2"/>
      <c r="H12" s="67"/>
    </row>
    <row r="13" spans="1:36" x14ac:dyDescent="0.2">
      <c r="A13" s="170"/>
      <c r="B13" s="2"/>
      <c r="C13" s="2"/>
      <c r="D13" s="2"/>
      <c r="E13" s="2"/>
      <c r="F13" s="2"/>
      <c r="G13" s="2"/>
      <c r="H13" s="67"/>
    </row>
    <row r="14" spans="1:36" x14ac:dyDescent="0.2">
      <c r="A14" s="170"/>
      <c r="B14" s="2"/>
      <c r="C14" s="2"/>
      <c r="D14" s="2"/>
      <c r="E14" s="2"/>
      <c r="F14" s="2"/>
      <c r="G14" s="2"/>
      <c r="H14" s="67"/>
    </row>
    <row r="15" spans="1:36" x14ac:dyDescent="0.2">
      <c r="A15" s="170"/>
      <c r="B15" s="2"/>
      <c r="C15" s="2"/>
      <c r="D15" s="2"/>
      <c r="E15" s="2"/>
      <c r="F15" s="2"/>
      <c r="G15" s="2"/>
      <c r="H15" s="67"/>
    </row>
    <row r="16" spans="1:36" x14ac:dyDescent="0.2">
      <c r="A16" s="170"/>
      <c r="B16" s="2"/>
      <c r="C16" s="2"/>
      <c r="D16" s="2"/>
      <c r="E16" s="2"/>
      <c r="F16" s="2"/>
      <c r="G16" s="2"/>
      <c r="H16" s="67"/>
    </row>
    <row r="17" spans="1:30" x14ac:dyDescent="0.2">
      <c r="A17" s="170"/>
      <c r="B17" s="2"/>
      <c r="C17" s="2"/>
      <c r="D17" s="2"/>
      <c r="E17" s="2"/>
      <c r="F17" s="2"/>
      <c r="G17" s="2"/>
      <c r="H17" s="67"/>
    </row>
    <row r="18" spans="1:30" x14ac:dyDescent="0.2">
      <c r="A18" s="170"/>
      <c r="B18" s="2"/>
      <c r="C18" s="2"/>
      <c r="D18" s="2"/>
      <c r="E18" s="2"/>
      <c r="F18" s="2"/>
      <c r="G18" s="2"/>
      <c r="H18" s="67"/>
    </row>
    <row r="19" spans="1:30" x14ac:dyDescent="0.2">
      <c r="A19" s="170"/>
      <c r="B19" s="2"/>
      <c r="C19" s="2"/>
      <c r="D19" s="2"/>
      <c r="E19" s="2"/>
      <c r="F19" s="2"/>
      <c r="G19" s="2"/>
      <c r="H19" s="67"/>
    </row>
    <row r="20" spans="1:30" x14ac:dyDescent="0.2">
      <c r="A20" s="170"/>
      <c r="B20" s="2"/>
      <c r="C20" s="2"/>
      <c r="D20" s="2"/>
      <c r="E20" s="2"/>
      <c r="F20" s="2"/>
      <c r="G20" s="2"/>
      <c r="H20" s="67"/>
    </row>
    <row r="21" spans="1:30" x14ac:dyDescent="0.2">
      <c r="A21" s="170"/>
      <c r="B21" s="2"/>
      <c r="C21" s="2"/>
      <c r="D21" s="2"/>
      <c r="E21" s="2"/>
      <c r="F21" s="2"/>
      <c r="G21" s="2"/>
      <c r="H21" s="67"/>
    </row>
    <row r="22" spans="1:30" x14ac:dyDescent="0.2">
      <c r="A22" s="170"/>
      <c r="B22" s="2"/>
      <c r="C22" s="2"/>
      <c r="D22" s="2"/>
      <c r="E22" s="2"/>
      <c r="F22" s="2"/>
      <c r="G22" s="2"/>
      <c r="H22" s="67"/>
    </row>
    <row r="23" spans="1:30" x14ac:dyDescent="0.2">
      <c r="A23" s="170"/>
      <c r="B23" s="2"/>
      <c r="C23" s="2"/>
      <c r="D23" s="2"/>
      <c r="E23" s="2"/>
      <c r="F23" s="2"/>
      <c r="G23" s="2"/>
      <c r="H23" s="67"/>
    </row>
    <row r="24" spans="1:30" x14ac:dyDescent="0.2">
      <c r="A24" s="170"/>
      <c r="B24" s="2"/>
      <c r="C24" s="2"/>
      <c r="D24" s="2"/>
      <c r="E24" s="2"/>
      <c r="F24" s="2"/>
      <c r="G24" s="2"/>
      <c r="H24" s="67"/>
    </row>
    <row r="25" spans="1:30" x14ac:dyDescent="0.2">
      <c r="A25" s="170"/>
      <c r="B25" s="2"/>
      <c r="C25" s="2"/>
      <c r="D25" s="2"/>
      <c r="E25" s="2"/>
      <c r="F25" s="2"/>
      <c r="G25" s="2"/>
      <c r="H25" s="67"/>
    </row>
    <row r="26" spans="1:30" x14ac:dyDescent="0.2">
      <c r="A26" s="170"/>
      <c r="B26" s="2"/>
      <c r="C26" s="2"/>
      <c r="D26" s="2"/>
      <c r="E26" s="2"/>
      <c r="F26" s="2"/>
      <c r="G26" s="2"/>
      <c r="H26" s="67"/>
    </row>
    <row r="27" spans="1:30" x14ac:dyDescent="0.2">
      <c r="A27" s="170"/>
      <c r="B27" s="2"/>
      <c r="C27" s="2"/>
      <c r="D27" s="2"/>
      <c r="E27" s="2"/>
      <c r="F27" s="2"/>
      <c r="G27" s="2"/>
      <c r="H27" s="67"/>
    </row>
    <row r="28" spans="1:30" x14ac:dyDescent="0.2">
      <c r="A28" s="170"/>
      <c r="B28" s="2"/>
      <c r="C28" s="2"/>
      <c r="D28" s="2"/>
      <c r="E28" s="2"/>
      <c r="F28" s="2"/>
      <c r="G28" s="2"/>
      <c r="H28" s="67"/>
    </row>
    <row r="29" spans="1:30" x14ac:dyDescent="0.2">
      <c r="A29" s="170"/>
      <c r="B29" s="2"/>
      <c r="C29" s="2"/>
      <c r="D29" s="2"/>
      <c r="E29" s="2"/>
      <c r="F29" s="2"/>
      <c r="G29" s="2"/>
      <c r="H29" s="67"/>
    </row>
    <row r="30" spans="1:30" x14ac:dyDescent="0.2">
      <c r="A30" s="170"/>
      <c r="B30" s="2"/>
      <c r="C30" s="2"/>
      <c r="D30" s="2"/>
      <c r="E30" s="2"/>
      <c r="F30" s="2"/>
      <c r="G30" s="2"/>
      <c r="H30" s="67"/>
    </row>
    <row r="31" spans="1:30" x14ac:dyDescent="0.2">
      <c r="A31" s="170"/>
      <c r="B31" s="2"/>
      <c r="C31" s="2"/>
      <c r="D31" s="2"/>
      <c r="E31" s="2"/>
      <c r="F31" s="2"/>
      <c r="G31" s="2"/>
      <c r="H31" s="67"/>
    </row>
    <row r="32" spans="1:30" ht="15.75" x14ac:dyDescent="0.25">
      <c r="A32" s="4" t="str">
        <f>"Figur 2. Antall meldte skader etter bransjer "&amp;'Tab3'!H63</f>
        <v xml:space="preserve">Figur 2. Antall meldte skader etter bransjer </v>
      </c>
      <c r="B32" s="2"/>
      <c r="C32" s="2"/>
      <c r="D32" s="2"/>
      <c r="E32" s="2"/>
      <c r="F32" s="2"/>
      <c r="G32" s="2"/>
      <c r="H32" s="67"/>
      <c r="I32" s="4" t="str">
        <f>"Figur 4. Vannskader pr. kvartal"</f>
        <v>Figur 4. Vannskader pr. kvartal</v>
      </c>
      <c r="P32" s="4" t="str">
        <f>"Figur 6. Anslått erstatning etter skadetype, motorvogn "&amp;'Tab3'!H63&amp;" "&amp;'Tab3'!E6</f>
        <v>Figur 6. Anslått erstatning etter skadetype, motorvogn  2019</v>
      </c>
      <c r="W32" s="4" t="str">
        <f>"Figur 8. Anslått erstatning i de Brann-kombinerte bransjer etter skadetype "&amp;'Tab3'!H63</f>
        <v xml:space="preserve">Figur 8. Anslått erstatning i de Brann-kombinerte bransjer etter skadetype </v>
      </c>
      <c r="AD32" s="4" t="str">
        <f>"Figur 10. Innbrudd, tyverier og ran pr. kvartal"</f>
        <v>Figur 10. Innbrudd, tyverier og ran pr. kvartal</v>
      </c>
    </row>
    <row r="33" spans="1:8" x14ac:dyDescent="0.2">
      <c r="A33" s="170"/>
      <c r="B33" s="2"/>
      <c r="C33" s="2"/>
      <c r="D33" s="2"/>
      <c r="E33" s="2"/>
      <c r="F33" s="2"/>
      <c r="G33" s="2"/>
      <c r="H33" s="67"/>
    </row>
    <row r="34" spans="1:8" x14ac:dyDescent="0.2">
      <c r="A34" s="170"/>
      <c r="B34" s="2"/>
      <c r="C34" s="2"/>
      <c r="D34" s="2"/>
      <c r="E34" s="2"/>
      <c r="F34" s="2"/>
      <c r="G34" s="2"/>
      <c r="H34" s="67"/>
    </row>
    <row r="35" spans="1:8" x14ac:dyDescent="0.2">
      <c r="A35" s="170"/>
      <c r="B35" s="2"/>
      <c r="C35" s="2"/>
      <c r="D35" s="2"/>
      <c r="E35" s="2"/>
      <c r="F35" s="2"/>
      <c r="G35" s="2"/>
      <c r="H35" s="67"/>
    </row>
    <row r="36" spans="1:8" x14ac:dyDescent="0.2">
      <c r="A36" s="170"/>
      <c r="B36" s="2"/>
      <c r="C36" s="2"/>
      <c r="D36" s="2"/>
      <c r="E36" s="2"/>
      <c r="F36" s="2"/>
      <c r="G36" s="2"/>
      <c r="H36" s="67"/>
    </row>
    <row r="37" spans="1:8" x14ac:dyDescent="0.2">
      <c r="A37" s="47"/>
      <c r="B37" s="48"/>
      <c r="C37" s="49"/>
      <c r="D37" s="49"/>
      <c r="E37" s="49"/>
      <c r="F37" s="49"/>
      <c r="G37" s="50"/>
      <c r="H37" s="51"/>
    </row>
    <row r="38" spans="1:8" x14ac:dyDescent="0.2">
      <c r="A38" s="47"/>
      <c r="B38" s="48"/>
      <c r="C38" s="49"/>
      <c r="D38" s="49"/>
      <c r="E38" s="49"/>
      <c r="F38" s="49"/>
      <c r="G38" s="50"/>
      <c r="H38" s="51"/>
    </row>
    <row r="39" spans="1:8" x14ac:dyDescent="0.2">
      <c r="A39" s="47"/>
      <c r="B39" s="48"/>
      <c r="C39" s="49"/>
      <c r="D39" s="49"/>
      <c r="E39" s="49"/>
      <c r="F39" s="49"/>
      <c r="G39" s="50"/>
      <c r="H39" s="51"/>
    </row>
    <row r="40" spans="1:8" x14ac:dyDescent="0.2">
      <c r="A40" s="47"/>
      <c r="B40" s="48"/>
      <c r="C40" s="49"/>
      <c r="D40" s="49"/>
      <c r="E40" s="49"/>
      <c r="F40" s="49"/>
      <c r="G40" s="50"/>
      <c r="H40" s="51"/>
    </row>
    <row r="41" spans="1:8" x14ac:dyDescent="0.2">
      <c r="A41" s="47"/>
      <c r="B41" s="48"/>
      <c r="C41" s="49"/>
      <c r="D41" s="49"/>
      <c r="E41" s="49"/>
      <c r="F41" s="49"/>
      <c r="G41" s="50"/>
      <c r="H41" s="51"/>
    </row>
    <row r="42" spans="1:8" x14ac:dyDescent="0.2">
      <c r="A42" s="47"/>
      <c r="B42" s="48"/>
      <c r="C42" s="49"/>
      <c r="D42" s="49"/>
      <c r="E42" s="49"/>
      <c r="F42" s="49"/>
      <c r="G42" s="50"/>
      <c r="H42" s="51"/>
    </row>
    <row r="43" spans="1:8" x14ac:dyDescent="0.2">
      <c r="A43" s="47"/>
      <c r="B43" s="48"/>
      <c r="C43" s="49"/>
      <c r="D43" s="49"/>
      <c r="E43" s="49"/>
      <c r="F43" s="49"/>
      <c r="G43" s="50"/>
      <c r="H43" s="51"/>
    </row>
    <row r="44" spans="1:8" x14ac:dyDescent="0.2">
      <c r="A44" s="47"/>
      <c r="B44" s="48"/>
      <c r="C44" s="49"/>
      <c r="D44" s="49"/>
      <c r="E44" s="49"/>
      <c r="F44" s="49"/>
      <c r="G44" s="50"/>
      <c r="H44" s="51"/>
    </row>
    <row r="45" spans="1:8" x14ac:dyDescent="0.2">
      <c r="A45" s="47"/>
      <c r="B45" s="48"/>
      <c r="C45" s="49"/>
      <c r="D45" s="49"/>
      <c r="E45" s="49"/>
      <c r="F45" s="49"/>
      <c r="G45" s="50"/>
      <c r="H45" s="51"/>
    </row>
    <row r="46" spans="1:8" x14ac:dyDescent="0.2">
      <c r="A46" s="47"/>
      <c r="B46" s="48"/>
      <c r="C46" s="49"/>
      <c r="D46" s="49"/>
      <c r="E46" s="49"/>
      <c r="F46" s="49"/>
      <c r="G46" s="50"/>
      <c r="H46" s="51"/>
    </row>
    <row r="47" spans="1:8" x14ac:dyDescent="0.2">
      <c r="A47" s="47"/>
      <c r="B47" s="48"/>
      <c r="C47" s="49"/>
      <c r="D47" s="49"/>
      <c r="E47" s="49"/>
      <c r="F47" s="49"/>
      <c r="G47" s="50"/>
      <c r="H47" s="51"/>
    </row>
    <row r="48" spans="1:8" x14ac:dyDescent="0.2">
      <c r="A48" s="47"/>
      <c r="B48" s="48"/>
      <c r="C48" s="49"/>
      <c r="D48" s="49"/>
      <c r="E48" s="49"/>
      <c r="F48" s="49"/>
      <c r="G48" s="50"/>
      <c r="H48" s="51"/>
    </row>
    <row r="49" spans="1:36" x14ac:dyDescent="0.2">
      <c r="A49" s="47"/>
      <c r="B49" s="48"/>
      <c r="C49" s="49"/>
      <c r="D49" s="49"/>
      <c r="E49" s="98"/>
      <c r="F49" s="49"/>
      <c r="G49" s="50"/>
      <c r="H49" s="51"/>
    </row>
    <row r="50" spans="1:36" x14ac:dyDescent="0.2">
      <c r="A50" s="47"/>
      <c r="B50" s="48"/>
      <c r="C50" s="49"/>
      <c r="D50" s="49"/>
      <c r="E50" s="49"/>
      <c r="F50" s="49"/>
      <c r="G50" s="50"/>
      <c r="H50" s="51"/>
    </row>
    <row r="51" spans="1:36" x14ac:dyDescent="0.2">
      <c r="A51" s="47"/>
      <c r="B51" s="48"/>
      <c r="C51" s="49"/>
      <c r="D51" s="49"/>
      <c r="E51" s="49"/>
      <c r="F51" s="49"/>
      <c r="G51" s="50"/>
      <c r="H51" s="51"/>
    </row>
    <row r="52" spans="1:36" x14ac:dyDescent="0.2">
      <c r="A52" s="47"/>
      <c r="B52" s="48"/>
      <c r="C52" s="49"/>
      <c r="D52" s="49"/>
      <c r="E52" s="49"/>
      <c r="F52" s="49"/>
      <c r="G52" s="50"/>
      <c r="H52" s="51"/>
    </row>
    <row r="53" spans="1:36" x14ac:dyDescent="0.2">
      <c r="A53" s="47"/>
      <c r="B53" s="48"/>
      <c r="C53" s="49"/>
      <c r="D53" s="49"/>
      <c r="E53" s="49"/>
      <c r="F53" s="49"/>
      <c r="G53" s="50"/>
      <c r="H53" s="51"/>
    </row>
    <row r="54" spans="1:36" x14ac:dyDescent="0.2">
      <c r="A54" s="47"/>
      <c r="B54" s="48"/>
      <c r="C54" s="49"/>
      <c r="D54" s="49"/>
      <c r="E54" s="49"/>
      <c r="F54" s="49"/>
      <c r="G54" s="50"/>
      <c r="H54" s="51"/>
    </row>
    <row r="55" spans="1:36" x14ac:dyDescent="0.2">
      <c r="A55" s="47"/>
      <c r="B55" s="48"/>
      <c r="C55" s="49"/>
      <c r="D55" s="49"/>
      <c r="E55" s="49"/>
      <c r="F55" s="49"/>
      <c r="G55" s="50"/>
      <c r="H55" s="51"/>
    </row>
    <row r="56" spans="1:36" x14ac:dyDescent="0.2">
      <c r="A56" s="47"/>
      <c r="B56" s="48"/>
      <c r="C56" s="49"/>
      <c r="D56" s="49"/>
      <c r="E56" s="49"/>
      <c r="F56" s="49"/>
      <c r="G56" s="50"/>
      <c r="H56" s="51"/>
    </row>
    <row r="57" spans="1:36" x14ac:dyDescent="0.2">
      <c r="A57" s="47"/>
      <c r="B57" s="48"/>
      <c r="C57" s="49"/>
      <c r="D57" s="49"/>
      <c r="E57" s="49"/>
      <c r="F57" s="49"/>
      <c r="G57" s="50"/>
      <c r="H57" s="51"/>
    </row>
    <row r="58" spans="1:36" x14ac:dyDescent="0.2">
      <c r="A58" s="47"/>
      <c r="B58" s="48"/>
      <c r="C58" s="49"/>
      <c r="D58" s="49"/>
      <c r="E58" s="49"/>
      <c r="F58" s="49"/>
      <c r="G58" s="50"/>
      <c r="H58" s="51"/>
    </row>
    <row r="59" spans="1:36" x14ac:dyDescent="0.2">
      <c r="A59" s="47"/>
      <c r="B59" s="48"/>
      <c r="C59" s="49"/>
      <c r="D59" s="49"/>
      <c r="E59" s="49"/>
      <c r="F59" s="49"/>
      <c r="G59" s="50"/>
      <c r="H59" s="51"/>
    </row>
    <row r="60" spans="1:36" x14ac:dyDescent="0.2">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row>
    <row r="61" spans="1:36" x14ac:dyDescent="0.2">
      <c r="A61" s="54" t="str">
        <f>+Innhold!B123</f>
        <v>Finans Norge / Skadestatistikk</v>
      </c>
      <c r="H61" s="207">
        <v>4</v>
      </c>
      <c r="I61" s="54" t="str">
        <f>+Innhold!B123</f>
        <v>Finans Norge / Skadestatistikk</v>
      </c>
      <c r="O61" s="207">
        <v>5</v>
      </c>
      <c r="P61" s="54" t="str">
        <f>+Innhold!B123</f>
        <v>Finans Norge / Skadestatistikk</v>
      </c>
      <c r="V61" s="207">
        <v>6</v>
      </c>
      <c r="W61" s="54" t="str">
        <f>+Innhold!B123</f>
        <v>Finans Norge / Skadestatistikk</v>
      </c>
      <c r="AC61" s="207">
        <v>7</v>
      </c>
      <c r="AD61" s="54" t="str">
        <f>+Innhold!B123</f>
        <v>Finans Norge / Skadestatistikk</v>
      </c>
      <c r="AJ61" s="207">
        <v>8</v>
      </c>
    </row>
    <row r="62" spans="1:36" x14ac:dyDescent="0.2">
      <c r="A62" s="54" t="str">
        <f>+Innhold!B124</f>
        <v>Skadestatistikk for landbasert forsikring 1. kvartal 2019</v>
      </c>
      <c r="H62" s="208"/>
      <c r="I62" s="54" t="str">
        <f>+Innhold!B124</f>
        <v>Skadestatistikk for landbasert forsikring 1. kvartal 2019</v>
      </c>
      <c r="O62" s="208"/>
      <c r="P62" s="54" t="str">
        <f>+Innhold!B124</f>
        <v>Skadestatistikk for landbasert forsikring 1. kvartal 2019</v>
      </c>
      <c r="V62" s="208"/>
      <c r="W62" s="54" t="str">
        <f>+Innhold!B124</f>
        <v>Skadestatistikk for landbasert forsikring 1. kvartal 2019</v>
      </c>
      <c r="AC62" s="208"/>
      <c r="AD62" s="54" t="str">
        <f>+Innhold!B124</f>
        <v>Skadestatistikk for landbasert forsikring 1. kvartal 2019</v>
      </c>
      <c r="AJ62" s="208"/>
    </row>
    <row r="64" spans="1:36" x14ac:dyDescent="0.2">
      <c r="A64" s="17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row>
    <row r="65" spans="1:36" x14ac:dyDescent="0.2">
      <c r="A65" s="171"/>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row>
    <row r="66" spans="1:36" x14ac:dyDescent="0.2">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171"/>
    </row>
    <row r="67" spans="1:36" ht="12.75" customHeight="1" x14ac:dyDescent="0.2">
      <c r="A67" s="171"/>
      <c r="B67" s="171"/>
      <c r="C67" s="171"/>
      <c r="D67" s="171"/>
      <c r="E67" s="171"/>
      <c r="F67" s="171"/>
      <c r="G67" s="171"/>
      <c r="H67" s="171"/>
      <c r="I67" s="171"/>
      <c r="J67" s="171"/>
      <c r="K67" s="171"/>
      <c r="L67" s="171"/>
      <c r="M67" s="171"/>
      <c r="N67" s="171"/>
      <c r="O67" s="171"/>
      <c r="P67" s="188"/>
      <c r="Q67" s="188"/>
      <c r="R67" s="188"/>
      <c r="S67" s="188"/>
      <c r="T67" s="188"/>
      <c r="U67" s="188"/>
      <c r="V67" s="188"/>
      <c r="W67" s="188"/>
      <c r="X67" s="188"/>
      <c r="Y67" s="188"/>
      <c r="Z67" s="188"/>
      <c r="AA67" s="188"/>
      <c r="AB67" s="188"/>
      <c r="AC67" s="188"/>
      <c r="AD67" s="188"/>
      <c r="AE67" s="188"/>
      <c r="AF67" s="188"/>
      <c r="AG67" s="188"/>
      <c r="AH67" s="188"/>
      <c r="AI67" s="188"/>
      <c r="AJ67" s="171"/>
    </row>
    <row r="68" spans="1:36" ht="12.75" customHeight="1" x14ac:dyDescent="0.2">
      <c r="A68" s="171"/>
      <c r="B68" s="171"/>
      <c r="C68" s="171"/>
      <c r="D68" s="171"/>
      <c r="E68" s="171"/>
      <c r="F68" s="171"/>
      <c r="G68" s="171"/>
      <c r="H68" s="171"/>
      <c r="I68" s="171"/>
      <c r="J68" s="171"/>
      <c r="K68" s="171"/>
      <c r="L68" s="171"/>
      <c r="M68" s="172" t="s">
        <v>177</v>
      </c>
      <c r="N68" s="171"/>
      <c r="O68" s="171"/>
      <c r="P68" s="189" t="s">
        <v>179</v>
      </c>
      <c r="Q68" s="188"/>
      <c r="R68" s="188"/>
      <c r="S68" s="189" t="s">
        <v>178</v>
      </c>
      <c r="T68" s="188"/>
      <c r="U68" s="188"/>
      <c r="V68" s="188"/>
      <c r="W68" s="188"/>
      <c r="X68" s="188"/>
      <c r="Y68" s="188"/>
      <c r="Z68" s="188"/>
      <c r="AA68" s="188"/>
      <c r="AB68" s="188"/>
      <c r="AC68" s="188"/>
      <c r="AD68" s="188"/>
      <c r="AE68" s="188"/>
      <c r="AF68" s="188"/>
      <c r="AG68" s="188"/>
      <c r="AH68" s="188"/>
      <c r="AI68" s="188"/>
      <c r="AJ68" s="171"/>
    </row>
    <row r="69" spans="1:36" x14ac:dyDescent="0.2">
      <c r="A69" s="173" t="s">
        <v>183</v>
      </c>
      <c r="B69" s="174"/>
      <c r="C69" s="174"/>
      <c r="D69" s="174" t="s">
        <v>74</v>
      </c>
      <c r="E69" s="174"/>
      <c r="F69" s="174"/>
      <c r="G69" s="174"/>
      <c r="H69" s="173"/>
      <c r="I69" s="175">
        <v>151.62166666666664</v>
      </c>
      <c r="J69" s="176" t="s">
        <v>242</v>
      </c>
      <c r="K69" s="171"/>
      <c r="L69" s="171"/>
      <c r="M69" s="172" t="s">
        <v>161</v>
      </c>
      <c r="N69" s="171"/>
      <c r="O69" s="171"/>
      <c r="P69" s="189" t="s">
        <v>175</v>
      </c>
      <c r="Q69" s="188"/>
      <c r="R69" s="188"/>
      <c r="S69" s="189" t="s">
        <v>176</v>
      </c>
      <c r="T69" s="188"/>
      <c r="U69" s="188"/>
      <c r="V69" s="190" t="s">
        <v>184</v>
      </c>
      <c r="W69" s="191"/>
      <c r="X69" s="191"/>
      <c r="Y69" s="191"/>
      <c r="Z69" s="191"/>
      <c r="AA69" s="188"/>
      <c r="AB69" s="188"/>
      <c r="AC69" s="188"/>
      <c r="AD69" s="188"/>
      <c r="AE69" s="188"/>
      <c r="AF69" s="188"/>
      <c r="AG69" s="188"/>
      <c r="AH69" s="188"/>
      <c r="AI69" s="188"/>
      <c r="AJ69" s="171"/>
    </row>
    <row r="70" spans="1:36" x14ac:dyDescent="0.2">
      <c r="A70" s="174" t="s">
        <v>75</v>
      </c>
      <c r="B70" s="174" t="s">
        <v>76</v>
      </c>
      <c r="C70" s="174" t="s">
        <v>26</v>
      </c>
      <c r="D70" s="174" t="s">
        <v>77</v>
      </c>
      <c r="E70" s="174"/>
      <c r="F70" s="174"/>
      <c r="G70" s="174"/>
      <c r="H70" s="171"/>
      <c r="I70" s="177" t="s">
        <v>159</v>
      </c>
      <c r="J70" s="171" t="s">
        <v>231</v>
      </c>
      <c r="K70" s="177" t="s">
        <v>76</v>
      </c>
      <c r="L70" s="177" t="s">
        <v>108</v>
      </c>
      <c r="M70" s="177" t="s">
        <v>157</v>
      </c>
      <c r="N70" s="177" t="s">
        <v>158</v>
      </c>
      <c r="O70" s="177" t="s">
        <v>108</v>
      </c>
      <c r="P70" s="192" t="s">
        <v>157</v>
      </c>
      <c r="Q70" s="192" t="s">
        <v>158</v>
      </c>
      <c r="R70" s="192" t="s">
        <v>108</v>
      </c>
      <c r="S70" s="192" t="s">
        <v>157</v>
      </c>
      <c r="T70" s="192" t="s">
        <v>158</v>
      </c>
      <c r="U70" s="188"/>
      <c r="V70" s="191" t="s">
        <v>81</v>
      </c>
      <c r="W70" s="191"/>
      <c r="X70" s="193" t="str">
        <f>+'Tab3'!C6</f>
        <v>2017</v>
      </c>
      <c r="Y70" s="193" t="str">
        <f>+'Tab3'!D6</f>
        <v>2018</v>
      </c>
      <c r="Z70" s="193" t="str">
        <f>+'Tab3'!E6</f>
        <v>2019</v>
      </c>
      <c r="AA70" s="188"/>
      <c r="AB70" s="188"/>
      <c r="AC70" s="188"/>
      <c r="AD70" s="188"/>
      <c r="AE70" s="188"/>
      <c r="AF70" s="188"/>
      <c r="AG70" s="188"/>
      <c r="AH70" s="188"/>
      <c r="AI70" s="188"/>
      <c r="AJ70" s="171"/>
    </row>
    <row r="71" spans="1:36" x14ac:dyDescent="0.2">
      <c r="A71" s="174">
        <v>1</v>
      </c>
      <c r="B71" s="174">
        <v>1983</v>
      </c>
      <c r="C71" s="174">
        <v>97</v>
      </c>
      <c r="D71" s="174">
        <v>78.3</v>
      </c>
      <c r="E71" s="174"/>
      <c r="F71" s="174"/>
      <c r="G71" s="174"/>
      <c r="H71" s="171"/>
      <c r="I71" s="178">
        <v>53.8</v>
      </c>
      <c r="J71" s="171">
        <v>1</v>
      </c>
      <c r="K71" s="171">
        <v>1983</v>
      </c>
      <c r="L71" s="179">
        <v>11621</v>
      </c>
      <c r="M71" s="178">
        <v>80.900000000000006</v>
      </c>
      <c r="N71" s="178">
        <f t="shared" ref="N71:N102" si="0">M71/I71*$I$69</f>
        <v>227.99614931846344</v>
      </c>
      <c r="O71" s="171"/>
      <c r="P71" s="188"/>
      <c r="Q71" s="188"/>
      <c r="R71" s="188"/>
      <c r="S71" s="188"/>
      <c r="T71" s="188"/>
      <c r="U71" s="188"/>
      <c r="V71" s="191"/>
      <c r="W71" s="191"/>
      <c r="X71" s="191"/>
      <c r="Y71" s="191"/>
      <c r="Z71" s="191"/>
      <c r="AA71" s="188"/>
      <c r="AB71" s="188"/>
      <c r="AC71" s="188"/>
      <c r="AD71" s="188"/>
      <c r="AE71" s="188"/>
      <c r="AF71" s="188"/>
      <c r="AG71" s="188"/>
      <c r="AH71" s="188"/>
      <c r="AI71" s="188"/>
      <c r="AJ71" s="171"/>
    </row>
    <row r="72" spans="1:36" x14ac:dyDescent="0.2">
      <c r="A72" s="174">
        <v>2</v>
      </c>
      <c r="B72" s="174"/>
      <c r="C72" s="174">
        <v>78.8</v>
      </c>
      <c r="D72" s="174">
        <v>61.3</v>
      </c>
      <c r="E72" s="174"/>
      <c r="F72" s="174"/>
      <c r="G72" s="174"/>
      <c r="H72" s="171"/>
      <c r="I72" s="178">
        <v>54.7</v>
      </c>
      <c r="J72" s="171">
        <v>2</v>
      </c>
      <c r="K72" s="171"/>
      <c r="L72" s="179">
        <v>11120</v>
      </c>
      <c r="M72" s="178">
        <v>68.900000000000006</v>
      </c>
      <c r="N72" s="178">
        <f t="shared" si="0"/>
        <v>190.9823187081048</v>
      </c>
      <c r="O72" s="171"/>
      <c r="P72" s="188"/>
      <c r="Q72" s="188"/>
      <c r="R72" s="188"/>
      <c r="S72" s="188"/>
      <c r="T72" s="188"/>
      <c r="U72" s="188"/>
      <c r="V72" s="191" t="s">
        <v>26</v>
      </c>
      <c r="W72" s="191"/>
      <c r="X72" s="194">
        <f>IF('Tab6'!C36="",'Tab6'!C35,'Tab6'!C36)</f>
        <v>4160.8412318169694</v>
      </c>
      <c r="Y72" s="194">
        <f>IF('Tab6'!D36="",'Tab6'!D35,'Tab6'!D36)</f>
        <v>4090.3641573987352</v>
      </c>
      <c r="Z72" s="194">
        <f>IF('Tab6'!E36="",'Tab6'!E35,'Tab6'!E36)</f>
        <v>4377.8555500981765</v>
      </c>
      <c r="AA72" s="188"/>
      <c r="AB72" s="188"/>
      <c r="AC72" s="188"/>
      <c r="AD72" s="188"/>
      <c r="AE72" s="188"/>
      <c r="AF72" s="188"/>
      <c r="AG72" s="188"/>
      <c r="AH72" s="188"/>
      <c r="AI72" s="188"/>
      <c r="AJ72" s="171"/>
    </row>
    <row r="73" spans="1:36" x14ac:dyDescent="0.2">
      <c r="A73" s="174">
        <v>3</v>
      </c>
      <c r="B73" s="174"/>
      <c r="C73" s="174">
        <v>84.8</v>
      </c>
      <c r="D73" s="174">
        <v>63</v>
      </c>
      <c r="E73" s="174"/>
      <c r="F73" s="174"/>
      <c r="G73" s="174"/>
      <c r="H73" s="171"/>
      <c r="I73" s="178">
        <v>55.3</v>
      </c>
      <c r="J73" s="171">
        <v>3</v>
      </c>
      <c r="K73" s="171"/>
      <c r="L73" s="179">
        <v>11918</v>
      </c>
      <c r="M73" s="178">
        <v>63.7</v>
      </c>
      <c r="N73" s="178">
        <f t="shared" si="0"/>
        <v>174.65280590717299</v>
      </c>
      <c r="O73" s="171"/>
      <c r="P73" s="188"/>
      <c r="Q73" s="188"/>
      <c r="R73" s="188"/>
      <c r="S73" s="188"/>
      <c r="T73" s="188"/>
      <c r="U73" s="188"/>
      <c r="V73" s="191"/>
      <c r="W73" s="191"/>
      <c r="X73" s="194"/>
      <c r="Y73" s="194"/>
      <c r="Z73" s="194"/>
      <c r="AA73" s="188"/>
      <c r="AB73" s="188"/>
      <c r="AC73" s="188"/>
      <c r="AD73" s="188"/>
      <c r="AE73" s="188"/>
      <c r="AF73" s="188"/>
      <c r="AG73" s="188"/>
      <c r="AH73" s="188"/>
      <c r="AI73" s="188"/>
      <c r="AJ73" s="171"/>
    </row>
    <row r="74" spans="1:36" x14ac:dyDescent="0.2">
      <c r="A74" s="174">
        <v>4</v>
      </c>
      <c r="B74" s="174"/>
      <c r="C74" s="174">
        <v>91.2</v>
      </c>
      <c r="D74" s="174">
        <v>70.8</v>
      </c>
      <c r="E74" s="174"/>
      <c r="F74" s="174"/>
      <c r="G74" s="174"/>
      <c r="H74" s="171"/>
      <c r="I74" s="178">
        <v>56.2</v>
      </c>
      <c r="J74" s="171">
        <v>4</v>
      </c>
      <c r="K74" s="171"/>
      <c r="L74" s="179">
        <v>11905</v>
      </c>
      <c r="M74" s="178">
        <v>79.3</v>
      </c>
      <c r="N74" s="178">
        <f t="shared" si="0"/>
        <v>213.94302787663105</v>
      </c>
      <c r="O74" s="171"/>
      <c r="P74" s="188"/>
      <c r="Q74" s="188"/>
      <c r="R74" s="188"/>
      <c r="S74" s="188"/>
      <c r="T74" s="188"/>
      <c r="U74" s="188"/>
      <c r="V74" s="191" t="s">
        <v>63</v>
      </c>
      <c r="W74" s="191"/>
      <c r="X74" s="194">
        <f>IF('Tab6'!C36="",'Tab6'!C45+'Tab6'!C47,'Tab6'!C46+'Tab6'!C48)</f>
        <v>46.033732841689464</v>
      </c>
      <c r="Y74" s="194">
        <f>IF('Tab6'!D36="",'Tab6'!D45+'Tab6'!D47,'Tab6'!D46+'Tab6'!D48)</f>
        <v>36.452765752508633</v>
      </c>
      <c r="Z74" s="194">
        <f>IF('Tab6'!E36="",'Tab6'!E45+'Tab6'!E47,'Tab6'!E46+'Tab6'!E48)</f>
        <v>50.253518470431359</v>
      </c>
      <c r="AA74" s="188"/>
      <c r="AB74" s="188"/>
      <c r="AC74" s="188"/>
      <c r="AD74" s="188"/>
      <c r="AE74" s="188"/>
      <c r="AF74" s="188"/>
      <c r="AG74" s="188"/>
      <c r="AH74" s="188"/>
      <c r="AI74" s="188"/>
      <c r="AJ74" s="171"/>
    </row>
    <row r="75" spans="1:36" x14ac:dyDescent="0.2">
      <c r="A75" s="174">
        <v>1</v>
      </c>
      <c r="B75" s="174">
        <v>1984</v>
      </c>
      <c r="C75" s="174">
        <v>112.2</v>
      </c>
      <c r="D75" s="174">
        <v>90.4</v>
      </c>
      <c r="E75" s="174"/>
      <c r="F75" s="174"/>
      <c r="G75" s="174"/>
      <c r="H75" s="171"/>
      <c r="I75" s="178">
        <v>57.3</v>
      </c>
      <c r="J75" s="171">
        <v>1</v>
      </c>
      <c r="K75" s="171">
        <v>1984</v>
      </c>
      <c r="L75" s="179">
        <v>13205</v>
      </c>
      <c r="M75" s="178">
        <v>86.7</v>
      </c>
      <c r="N75" s="178">
        <f t="shared" si="0"/>
        <v>229.41707678883071</v>
      </c>
      <c r="O75" s="171"/>
      <c r="P75" s="188"/>
      <c r="Q75" s="188"/>
      <c r="R75" s="188"/>
      <c r="S75" s="188"/>
      <c r="T75" s="188"/>
      <c r="U75" s="188"/>
      <c r="V75" s="191" t="s">
        <v>39</v>
      </c>
      <c r="W75" s="191"/>
      <c r="X75" s="194">
        <f>IF('Tab6'!C36="",'Tab6'!C49,'Tab6'!C50)</f>
        <v>424.05520227263105</v>
      </c>
      <c r="Y75" s="194">
        <f>IF('Tab6'!D36="",'Tab6'!D49,'Tab6'!D50)</f>
        <v>340.57483687789204</v>
      </c>
      <c r="Z75" s="194">
        <f>IF('Tab6'!E36="",'Tab6'!E49,'Tab6'!E50)</f>
        <v>373.07417273343157</v>
      </c>
      <c r="AA75" s="188"/>
      <c r="AB75" s="188"/>
      <c r="AC75" s="188"/>
      <c r="AD75" s="188"/>
      <c r="AE75" s="188"/>
      <c r="AF75" s="188"/>
      <c r="AG75" s="188"/>
      <c r="AH75" s="188"/>
      <c r="AI75" s="188"/>
      <c r="AJ75" s="171"/>
    </row>
    <row r="76" spans="1:36" x14ac:dyDescent="0.2">
      <c r="A76" s="174">
        <v>2</v>
      </c>
      <c r="B76" s="174"/>
      <c r="C76" s="174">
        <v>81.8</v>
      </c>
      <c r="D76" s="174">
        <v>64.400000000000006</v>
      </c>
      <c r="E76" s="174"/>
      <c r="F76" s="174"/>
      <c r="G76" s="174"/>
      <c r="H76" s="171"/>
      <c r="I76" s="178">
        <v>58.2</v>
      </c>
      <c r="J76" s="171">
        <v>2</v>
      </c>
      <c r="K76" s="171"/>
      <c r="L76" s="179">
        <v>12453</v>
      </c>
      <c r="M76" s="178">
        <v>83.3</v>
      </c>
      <c r="N76" s="178">
        <f t="shared" si="0"/>
        <v>217.01176689576167</v>
      </c>
      <c r="O76" s="171"/>
      <c r="P76" s="188"/>
      <c r="Q76" s="188"/>
      <c r="R76" s="188"/>
      <c r="S76" s="188"/>
      <c r="T76" s="188"/>
      <c r="U76" s="188"/>
      <c r="V76" s="191" t="s">
        <v>18</v>
      </c>
      <c r="W76" s="191"/>
      <c r="X76" s="194">
        <f>IF('Tab6'!C36="",'Tab6'!C43,'Tab6'!C44)</f>
        <v>62.205806019804903</v>
      </c>
      <c r="Y76" s="194">
        <f>IF('Tab6'!D36="",'Tab6'!D43,'Tab6'!D44)</f>
        <v>67.698013250442344</v>
      </c>
      <c r="Z76" s="194">
        <f>IF('Tab6'!E36="",'Tab6'!E43,'Tab6'!E44)</f>
        <v>78.210868540646871</v>
      </c>
      <c r="AA76" s="188"/>
      <c r="AB76" s="188"/>
      <c r="AC76" s="188"/>
      <c r="AD76" s="188"/>
      <c r="AE76" s="188"/>
      <c r="AF76" s="188"/>
      <c r="AG76" s="188"/>
      <c r="AH76" s="188"/>
      <c r="AI76" s="188"/>
      <c r="AJ76" s="171"/>
    </row>
    <row r="77" spans="1:36" x14ac:dyDescent="0.2">
      <c r="A77" s="174">
        <v>3</v>
      </c>
      <c r="B77" s="174"/>
      <c r="C77" s="174">
        <v>90.4</v>
      </c>
      <c r="D77" s="174">
        <v>71.099999999999994</v>
      </c>
      <c r="E77" s="174"/>
      <c r="F77" s="174"/>
      <c r="G77" s="174"/>
      <c r="H77" s="171"/>
      <c r="I77" s="178">
        <v>58.7</v>
      </c>
      <c r="J77" s="171">
        <v>3</v>
      </c>
      <c r="K77" s="171"/>
      <c r="L77" s="179">
        <v>12278</v>
      </c>
      <c r="M77" s="178">
        <v>83.3</v>
      </c>
      <c r="N77" s="178">
        <f t="shared" si="0"/>
        <v>215.16328506530374</v>
      </c>
      <c r="O77" s="171"/>
      <c r="P77" s="188"/>
      <c r="Q77" s="188"/>
      <c r="R77" s="188"/>
      <c r="S77" s="188"/>
      <c r="T77" s="188"/>
      <c r="U77" s="188"/>
      <c r="V77" s="191" t="s">
        <v>82</v>
      </c>
      <c r="W77" s="191"/>
      <c r="X77" s="194">
        <f>IF('Tab6'!C36="",'Tab6'!C37+'Tab6'!C39,'Tab6'!C38+'Tab6'!C40)</f>
        <v>559.43388489255221</v>
      </c>
      <c r="Y77" s="194">
        <f>IF('Tab6'!D36="",'Tab6'!D37+'Tab6'!D39,'Tab6'!D38+'Tab6'!D40)</f>
        <v>403.74815412593483</v>
      </c>
      <c r="Z77" s="194">
        <f>IF('Tab6'!E36="",'Tab6'!E37+'Tab6'!E39,'Tab6'!E38+'Tab6'!E40)</f>
        <v>443.93247157056436</v>
      </c>
      <c r="AA77" s="188"/>
      <c r="AB77" s="188"/>
      <c r="AC77" s="188"/>
      <c r="AD77" s="188"/>
      <c r="AE77" s="188"/>
      <c r="AF77" s="188"/>
      <c r="AG77" s="188"/>
      <c r="AH77" s="188"/>
      <c r="AI77" s="188"/>
      <c r="AJ77" s="171"/>
    </row>
    <row r="78" spans="1:36" x14ac:dyDescent="0.2">
      <c r="A78" s="174">
        <v>4</v>
      </c>
      <c r="B78" s="174"/>
      <c r="C78" s="174">
        <v>92.9</v>
      </c>
      <c r="D78" s="174">
        <v>73.900000000000006</v>
      </c>
      <c r="E78" s="174"/>
      <c r="F78" s="174"/>
      <c r="G78" s="174"/>
      <c r="H78" s="171"/>
      <c r="I78" s="178">
        <v>59.6</v>
      </c>
      <c r="J78" s="171">
        <v>4</v>
      </c>
      <c r="K78" s="171"/>
      <c r="L78" s="179">
        <v>11449</v>
      </c>
      <c r="M78" s="178">
        <v>94.6</v>
      </c>
      <c r="N78" s="178">
        <f t="shared" si="0"/>
        <v>240.66123601789701</v>
      </c>
      <c r="O78" s="171"/>
      <c r="P78" s="188"/>
      <c r="Q78" s="188"/>
      <c r="R78" s="188"/>
      <c r="S78" s="188"/>
      <c r="T78" s="188"/>
      <c r="U78" s="188"/>
      <c r="V78" s="191" t="s">
        <v>83</v>
      </c>
      <c r="W78" s="191"/>
      <c r="X78" s="195">
        <f>X72-X77-X76-X75-X74</f>
        <v>3069.1126057902916</v>
      </c>
      <c r="Y78" s="195">
        <f>Y72-Y77-Y76-Y75-Y74</f>
        <v>3241.8903873919571</v>
      </c>
      <c r="Z78" s="195">
        <f>Z72-Z77-Z76-Z75-Z74</f>
        <v>3432.3845187831021</v>
      </c>
      <c r="AA78" s="188"/>
      <c r="AB78" s="188"/>
      <c r="AC78" s="188"/>
      <c r="AD78" s="188"/>
      <c r="AE78" s="188"/>
      <c r="AF78" s="188"/>
      <c r="AG78" s="188"/>
      <c r="AH78" s="188"/>
      <c r="AI78" s="188"/>
      <c r="AJ78" s="171"/>
    </row>
    <row r="79" spans="1:36" x14ac:dyDescent="0.2">
      <c r="A79" s="174">
        <v>1</v>
      </c>
      <c r="B79" s="174">
        <v>1985</v>
      </c>
      <c r="C79" s="174">
        <v>123.4</v>
      </c>
      <c r="D79" s="174">
        <v>100.8</v>
      </c>
      <c r="E79" s="174"/>
      <c r="F79" s="174"/>
      <c r="G79" s="174"/>
      <c r="H79" s="171"/>
      <c r="I79" s="178">
        <v>60.4</v>
      </c>
      <c r="J79" s="171">
        <v>1</v>
      </c>
      <c r="K79" s="171">
        <v>1985</v>
      </c>
      <c r="L79" s="179">
        <v>16918</v>
      </c>
      <c r="M79" s="178">
        <v>103.6</v>
      </c>
      <c r="N79" s="178">
        <f t="shared" si="0"/>
        <v>260.06630242825599</v>
      </c>
      <c r="O79" s="171"/>
      <c r="P79" s="188"/>
      <c r="Q79" s="188"/>
      <c r="R79" s="188"/>
      <c r="S79" s="188"/>
      <c r="T79" s="188"/>
      <c r="U79" s="188"/>
      <c r="V79" s="191"/>
      <c r="W79" s="191"/>
      <c r="X79" s="191"/>
      <c r="Y79" s="191"/>
      <c r="Z79" s="191"/>
      <c r="AA79" s="188"/>
      <c r="AB79" s="188"/>
      <c r="AC79" s="188"/>
      <c r="AD79" s="188"/>
      <c r="AE79" s="188"/>
      <c r="AF79" s="188"/>
      <c r="AG79" s="188"/>
      <c r="AH79" s="188"/>
      <c r="AI79" s="188"/>
      <c r="AJ79" s="171"/>
    </row>
    <row r="80" spans="1:36" x14ac:dyDescent="0.2">
      <c r="A80" s="174">
        <v>2</v>
      </c>
      <c r="B80" s="174"/>
      <c r="C80" s="174">
        <v>102</v>
      </c>
      <c r="D80" s="174">
        <v>81.099999999999994</v>
      </c>
      <c r="E80" s="174"/>
      <c r="F80" s="174"/>
      <c r="G80" s="174"/>
      <c r="H80" s="171"/>
      <c r="I80" s="178">
        <v>61.5</v>
      </c>
      <c r="J80" s="171">
        <v>2</v>
      </c>
      <c r="K80" s="171"/>
      <c r="L80" s="179">
        <v>14237</v>
      </c>
      <c r="M80" s="178">
        <v>115.3</v>
      </c>
      <c r="N80" s="178">
        <f t="shared" si="0"/>
        <v>284.25980758807583</v>
      </c>
      <c r="O80" s="171"/>
      <c r="P80" s="188"/>
      <c r="Q80" s="188"/>
      <c r="R80" s="188"/>
      <c r="S80" s="188"/>
      <c r="T80" s="188"/>
      <c r="U80" s="188"/>
      <c r="V80" s="190" t="s">
        <v>162</v>
      </c>
      <c r="W80" s="191"/>
      <c r="X80" s="191"/>
      <c r="Y80" s="191"/>
      <c r="Z80" s="188"/>
      <c r="AA80" s="188"/>
      <c r="AB80" s="188"/>
      <c r="AC80" s="188"/>
      <c r="AD80" s="188"/>
      <c r="AE80" s="188"/>
      <c r="AF80" s="188"/>
      <c r="AG80" s="188"/>
      <c r="AH80" s="188"/>
      <c r="AI80" s="188"/>
      <c r="AJ80" s="171"/>
    </row>
    <row r="81" spans="1:36" x14ac:dyDescent="0.2">
      <c r="A81" s="174">
        <v>3</v>
      </c>
      <c r="B81" s="174"/>
      <c r="C81" s="174">
        <v>108.4</v>
      </c>
      <c r="D81" s="174">
        <v>86</v>
      </c>
      <c r="E81" s="174"/>
      <c r="F81" s="174"/>
      <c r="G81" s="174"/>
      <c r="H81" s="171"/>
      <c r="I81" s="178">
        <v>62</v>
      </c>
      <c r="J81" s="171">
        <v>3</v>
      </c>
      <c r="K81" s="171"/>
      <c r="L81" s="179">
        <v>14329</v>
      </c>
      <c r="M81" s="178">
        <v>103</v>
      </c>
      <c r="N81" s="178">
        <f t="shared" si="0"/>
        <v>251.88760752688168</v>
      </c>
      <c r="O81" s="171"/>
      <c r="P81" s="188"/>
      <c r="Q81" s="188"/>
      <c r="R81" s="188"/>
      <c r="S81" s="188"/>
      <c r="T81" s="188"/>
      <c r="U81" s="188"/>
      <c r="V81" s="191"/>
      <c r="W81" s="191"/>
      <c r="X81" s="191"/>
      <c r="Y81" s="191"/>
      <c r="Z81" s="188"/>
      <c r="AA81" s="188"/>
      <c r="AB81" s="188"/>
      <c r="AC81" s="188"/>
      <c r="AD81" s="188"/>
      <c r="AE81" s="188"/>
      <c r="AF81" s="188"/>
      <c r="AG81" s="188"/>
      <c r="AH81" s="188"/>
      <c r="AI81" s="188"/>
      <c r="AJ81" s="171"/>
    </row>
    <row r="82" spans="1:36" x14ac:dyDescent="0.2">
      <c r="A82" s="174">
        <v>4</v>
      </c>
      <c r="B82" s="174"/>
      <c r="C82" s="174">
        <v>109.6</v>
      </c>
      <c r="D82" s="174">
        <v>87.1</v>
      </c>
      <c r="E82" s="174"/>
      <c r="F82" s="174"/>
      <c r="G82" s="174"/>
      <c r="H82" s="171"/>
      <c r="I82" s="178">
        <v>63</v>
      </c>
      <c r="J82" s="171">
        <v>4</v>
      </c>
      <c r="K82" s="171"/>
      <c r="L82" s="179">
        <v>13060</v>
      </c>
      <c r="M82" s="178">
        <v>118.7</v>
      </c>
      <c r="N82" s="178">
        <f t="shared" si="0"/>
        <v>285.67447354497347</v>
      </c>
      <c r="O82" s="171"/>
      <c r="P82" s="188"/>
      <c r="Q82" s="188"/>
      <c r="R82" s="188"/>
      <c r="S82" s="188"/>
      <c r="T82" s="188"/>
      <c r="U82" s="188"/>
      <c r="V82" s="191"/>
      <c r="W82" s="193" t="str">
        <f>+'Tab4'!C6</f>
        <v>2017</v>
      </c>
      <c r="X82" s="193" t="str">
        <f>+'Tab4'!D6</f>
        <v>2018</v>
      </c>
      <c r="Y82" s="193" t="str">
        <f>+'Tab4'!E6</f>
        <v>2019</v>
      </c>
      <c r="Z82" s="188"/>
      <c r="AA82" s="188"/>
      <c r="AB82" s="188"/>
      <c r="AC82" s="188"/>
      <c r="AD82" s="188"/>
      <c r="AE82" s="188"/>
      <c r="AF82" s="188"/>
      <c r="AG82" s="188"/>
      <c r="AH82" s="188"/>
      <c r="AI82" s="188"/>
      <c r="AJ82" s="171"/>
    </row>
    <row r="83" spans="1:36" x14ac:dyDescent="0.2">
      <c r="A83" s="174">
        <v>1</v>
      </c>
      <c r="B83" s="174">
        <v>1986</v>
      </c>
      <c r="C83" s="174">
        <v>141</v>
      </c>
      <c r="D83" s="174">
        <v>115.2</v>
      </c>
      <c r="E83" s="174"/>
      <c r="F83" s="174"/>
      <c r="G83" s="174"/>
      <c r="H83" s="171"/>
      <c r="I83" s="178">
        <v>64</v>
      </c>
      <c r="J83" s="171">
        <v>1</v>
      </c>
      <c r="K83" s="171">
        <v>1986</v>
      </c>
      <c r="L83" s="179">
        <v>14314</v>
      </c>
      <c r="M83" s="178">
        <v>111.8</v>
      </c>
      <c r="N83" s="178">
        <f t="shared" si="0"/>
        <v>264.86409895833327</v>
      </c>
      <c r="O83" s="171"/>
      <c r="P83" s="188"/>
      <c r="Q83" s="188"/>
      <c r="R83" s="188"/>
      <c r="S83" s="188"/>
      <c r="T83" s="188"/>
      <c r="U83" s="188"/>
      <c r="V83" s="191" t="s">
        <v>84</v>
      </c>
      <c r="W83" s="194">
        <f>IF('Tab4'!C14="",'Tab4'!C13,'Tab4'!C14)</f>
        <v>1899.6541603353128</v>
      </c>
      <c r="X83" s="194">
        <f>IF('Tab4'!D14="",'Tab4'!D13,'Tab4'!D14)</f>
        <v>2162.8651301313707</v>
      </c>
      <c r="Y83" s="194">
        <f>IF('Tab4'!E14="",'Tab4'!E13,'Tab4'!E14)</f>
        <v>1966.4968327261579</v>
      </c>
      <c r="Z83" s="188"/>
      <c r="AA83" s="188"/>
      <c r="AB83" s="188"/>
      <c r="AC83" s="188"/>
      <c r="AD83" s="188"/>
      <c r="AE83" s="188"/>
      <c r="AF83" s="188"/>
      <c r="AG83" s="188"/>
      <c r="AH83" s="188"/>
      <c r="AI83" s="188"/>
      <c r="AJ83" s="171"/>
    </row>
    <row r="84" spans="1:36" x14ac:dyDescent="0.2">
      <c r="A84" s="174">
        <v>2</v>
      </c>
      <c r="B84" s="174"/>
      <c r="C84" s="174">
        <v>120.5</v>
      </c>
      <c r="D84" s="174">
        <v>93.2</v>
      </c>
      <c r="E84" s="174"/>
      <c r="F84" s="174"/>
      <c r="G84" s="174"/>
      <c r="H84" s="171"/>
      <c r="I84" s="178">
        <v>65</v>
      </c>
      <c r="J84" s="171">
        <v>2</v>
      </c>
      <c r="K84" s="171"/>
      <c r="L84" s="179">
        <v>13505</v>
      </c>
      <c r="M84" s="178">
        <v>121.5</v>
      </c>
      <c r="N84" s="178">
        <f t="shared" si="0"/>
        <v>283.41588461538458</v>
      </c>
      <c r="O84" s="171"/>
      <c r="P84" s="188"/>
      <c r="Q84" s="188"/>
      <c r="R84" s="188"/>
      <c r="S84" s="188"/>
      <c r="T84" s="188"/>
      <c r="U84" s="188"/>
      <c r="V84" s="191" t="s">
        <v>169</v>
      </c>
      <c r="W84" s="194">
        <f>IF('Tab4'!C16="",'Tab4'!C15,'Tab4'!C16)</f>
        <v>1451.3305812952792</v>
      </c>
      <c r="X84" s="194">
        <f>IF('Tab4'!D16="",'Tab4'!D15,'Tab4'!D16)</f>
        <v>1550.2525616949954</v>
      </c>
      <c r="Y84" s="194">
        <f>IF('Tab4'!E16="",'Tab4'!E15,'Tab4'!E16)</f>
        <v>1821.7843235769665</v>
      </c>
      <c r="Z84" s="188"/>
      <c r="AA84" s="188"/>
      <c r="AB84" s="188"/>
      <c r="AC84" s="188"/>
      <c r="AD84" s="188"/>
      <c r="AE84" s="188"/>
      <c r="AF84" s="188"/>
      <c r="AG84" s="188"/>
      <c r="AH84" s="188"/>
      <c r="AI84" s="188"/>
      <c r="AJ84" s="171"/>
    </row>
    <row r="85" spans="1:36" x14ac:dyDescent="0.2">
      <c r="A85" s="174">
        <v>3</v>
      </c>
      <c r="B85" s="174"/>
      <c r="C85" s="174">
        <v>115.7</v>
      </c>
      <c r="D85" s="174">
        <v>91.1</v>
      </c>
      <c r="E85" s="174"/>
      <c r="F85" s="174"/>
      <c r="G85" s="174"/>
      <c r="H85" s="171"/>
      <c r="I85" s="178">
        <v>67</v>
      </c>
      <c r="J85" s="171">
        <v>3</v>
      </c>
      <c r="K85" s="171"/>
      <c r="L85" s="179">
        <v>12132</v>
      </c>
      <c r="M85" s="178">
        <v>100.8</v>
      </c>
      <c r="N85" s="178">
        <f t="shared" si="0"/>
        <v>228.11140298507459</v>
      </c>
      <c r="O85" s="171"/>
      <c r="P85" s="188"/>
      <c r="Q85" s="188"/>
      <c r="R85" s="188"/>
      <c r="S85" s="188"/>
      <c r="T85" s="188"/>
      <c r="U85" s="188"/>
      <c r="V85" s="191" t="s">
        <v>7</v>
      </c>
      <c r="W85" s="194">
        <f>IF('Tab4'!C18="",'Tab4'!C17,'Tab4'!C18)</f>
        <v>519.04290962957134</v>
      </c>
      <c r="X85" s="194">
        <f>IF('Tab4'!D18="",'Tab4'!D17,'Tab4'!D18)</f>
        <v>444.42031264470154</v>
      </c>
      <c r="Y85" s="194">
        <f>IF('Tab4'!E18="",'Tab4'!E17,'Tab4'!E18)</f>
        <v>545.64501203044745</v>
      </c>
      <c r="Z85" s="188"/>
      <c r="AA85" s="188"/>
      <c r="AB85" s="188"/>
      <c r="AC85" s="188"/>
      <c r="AD85" s="188"/>
      <c r="AE85" s="188"/>
      <c r="AF85" s="188"/>
      <c r="AG85" s="188"/>
      <c r="AH85" s="188"/>
      <c r="AI85" s="188"/>
      <c r="AJ85" s="171"/>
    </row>
    <row r="86" spans="1:36" x14ac:dyDescent="0.2">
      <c r="A86" s="174">
        <v>4</v>
      </c>
      <c r="B86" s="174"/>
      <c r="C86" s="174">
        <v>114.4</v>
      </c>
      <c r="D86" s="174">
        <v>90.8</v>
      </c>
      <c r="E86" s="174"/>
      <c r="F86" s="174"/>
      <c r="G86" s="174"/>
      <c r="H86" s="171"/>
      <c r="I86" s="178">
        <v>68.5</v>
      </c>
      <c r="J86" s="171">
        <v>4</v>
      </c>
      <c r="K86" s="171"/>
      <c r="L86" s="179">
        <v>11763</v>
      </c>
      <c r="M86" s="178">
        <v>120.6</v>
      </c>
      <c r="N86" s="178">
        <f t="shared" si="0"/>
        <v>266.94267153284665</v>
      </c>
      <c r="O86" s="171"/>
      <c r="P86" s="188"/>
      <c r="Q86" s="188"/>
      <c r="R86" s="188"/>
      <c r="S86" s="188"/>
      <c r="T86" s="188"/>
      <c r="U86" s="188"/>
      <c r="V86" s="188" t="s">
        <v>8</v>
      </c>
      <c r="W86" s="194">
        <f>IF('Tab4'!C20="",'Tab4'!C19,'Tab4'!C20)</f>
        <v>490.68678205264592</v>
      </c>
      <c r="X86" s="194">
        <f>IF('Tab4'!D20="",'Tab4'!D19,'Tab4'!D20)</f>
        <v>451.13826828194635</v>
      </c>
      <c r="Y86" s="194">
        <f>IF('Tab4'!E20="",'Tab4'!E19,'Tab4'!E20)</f>
        <v>421.08048263052808</v>
      </c>
      <c r="Z86" s="188"/>
      <c r="AA86" s="188"/>
      <c r="AB86" s="188"/>
      <c r="AC86" s="188"/>
      <c r="AD86" s="188"/>
      <c r="AE86" s="188"/>
      <c r="AF86" s="188"/>
      <c r="AG86" s="188"/>
      <c r="AH86" s="188"/>
      <c r="AI86" s="188"/>
      <c r="AJ86" s="171"/>
    </row>
    <row r="87" spans="1:36" x14ac:dyDescent="0.2">
      <c r="A87" s="174">
        <v>1</v>
      </c>
      <c r="B87" s="174">
        <v>1987</v>
      </c>
      <c r="C87" s="174">
        <v>152.19999999999999</v>
      </c>
      <c r="D87" s="174">
        <v>121.3</v>
      </c>
      <c r="E87" s="174"/>
      <c r="F87" s="174"/>
      <c r="G87" s="174"/>
      <c r="H87" s="171"/>
      <c r="I87" s="178">
        <v>70.5</v>
      </c>
      <c r="J87" s="171">
        <v>1</v>
      </c>
      <c r="K87" s="171">
        <v>1987</v>
      </c>
      <c r="L87" s="179">
        <v>17280</v>
      </c>
      <c r="M87" s="178">
        <v>135.6</v>
      </c>
      <c r="N87" s="178">
        <f t="shared" si="0"/>
        <v>291.62975886524816</v>
      </c>
      <c r="O87" s="171"/>
      <c r="P87" s="188"/>
      <c r="Q87" s="188"/>
      <c r="R87" s="188"/>
      <c r="S87" s="188"/>
      <c r="T87" s="188"/>
      <c r="U87" s="188"/>
      <c r="V87" s="191" t="s">
        <v>9</v>
      </c>
      <c r="W87" s="194">
        <f>IF('Tab4'!C20="",'Tab4'!C21,'Tab4'!C22)</f>
        <v>143.17242980189499</v>
      </c>
      <c r="X87" s="194">
        <f>IF('Tab4'!D20="",'Tab4'!D21,'Tab4'!D22)</f>
        <v>138.62619982034983</v>
      </c>
      <c r="Y87" s="194">
        <f>IF('Tab4'!E20="",'Tab4'!E21,'Tab4'!E22)</f>
        <v>159.16306029357833</v>
      </c>
      <c r="Z87" s="188"/>
      <c r="AA87" s="188"/>
      <c r="AB87" s="188"/>
      <c r="AC87" s="188"/>
      <c r="AD87" s="188"/>
      <c r="AE87" s="188"/>
      <c r="AF87" s="188"/>
      <c r="AG87" s="188"/>
      <c r="AH87" s="188"/>
      <c r="AI87" s="188"/>
      <c r="AJ87" s="171"/>
    </row>
    <row r="88" spans="1:36" x14ac:dyDescent="0.2">
      <c r="A88" s="174">
        <v>2</v>
      </c>
      <c r="B88" s="174"/>
      <c r="C88" s="174">
        <v>109.2</v>
      </c>
      <c r="D88" s="174">
        <v>86.1</v>
      </c>
      <c r="E88" s="174"/>
      <c r="F88" s="174"/>
      <c r="G88" s="174"/>
      <c r="H88" s="171"/>
      <c r="I88" s="178">
        <v>71.599999999999994</v>
      </c>
      <c r="J88" s="171">
        <v>2</v>
      </c>
      <c r="K88" s="171"/>
      <c r="L88" s="179">
        <v>12241</v>
      </c>
      <c r="M88" s="178">
        <v>135.9</v>
      </c>
      <c r="N88" s="178">
        <f t="shared" si="0"/>
        <v>287.78469972067035</v>
      </c>
      <c r="O88" s="171"/>
      <c r="P88" s="188"/>
      <c r="Q88" s="188"/>
      <c r="R88" s="188"/>
      <c r="S88" s="188"/>
      <c r="T88" s="188"/>
      <c r="U88" s="188"/>
      <c r="V88" s="191" t="s">
        <v>10</v>
      </c>
      <c r="W88" s="194">
        <f>IF('Tab4'!C22="",'Tab4'!C29,'Tab4'!C30)</f>
        <v>582.64189188147327</v>
      </c>
      <c r="X88" s="194">
        <f>IF('Tab4'!D22="",'Tab4'!D29,'Tab4'!D30)</f>
        <v>567.076050579347</v>
      </c>
      <c r="Y88" s="194">
        <f>IF('Tab4'!E22="",'Tab4'!E29,'Tab4'!E30)</f>
        <v>658.45600735484823</v>
      </c>
      <c r="Z88" s="188"/>
      <c r="AA88" s="188"/>
      <c r="AB88" s="188"/>
      <c r="AC88" s="188"/>
      <c r="AD88" s="188"/>
      <c r="AE88" s="188"/>
      <c r="AF88" s="188"/>
      <c r="AG88" s="188"/>
      <c r="AH88" s="188"/>
      <c r="AI88" s="188"/>
      <c r="AJ88" s="171"/>
    </row>
    <row r="89" spans="1:36" x14ac:dyDescent="0.2">
      <c r="A89" s="174">
        <v>3</v>
      </c>
      <c r="B89" s="174"/>
      <c r="C89" s="174">
        <v>110.1</v>
      </c>
      <c r="D89" s="174">
        <v>87.3</v>
      </c>
      <c r="E89" s="174"/>
      <c r="F89" s="174"/>
      <c r="G89" s="174"/>
      <c r="H89" s="171"/>
      <c r="I89" s="178">
        <v>72.3</v>
      </c>
      <c r="J89" s="171">
        <v>3</v>
      </c>
      <c r="K89" s="171"/>
      <c r="L89" s="179">
        <v>11506</v>
      </c>
      <c r="M89" s="178">
        <v>112.3</v>
      </c>
      <c r="N89" s="178">
        <f t="shared" si="0"/>
        <v>235.50640617796216</v>
      </c>
      <c r="O89" s="171"/>
      <c r="P89" s="188"/>
      <c r="Q89" s="188"/>
      <c r="R89" s="188"/>
      <c r="S89" s="188"/>
      <c r="T89" s="188"/>
      <c r="U89" s="188"/>
      <c r="V89" s="191" t="s">
        <v>11</v>
      </c>
      <c r="W89" s="194">
        <f>IF('Tab4'!C30="",'Tab4'!C31,'Tab4'!C32)</f>
        <v>55.113869167467833</v>
      </c>
      <c r="X89" s="194">
        <f>IF('Tab4'!D30="",'Tab4'!D31,'Tab4'!D32)</f>
        <v>52.283765475558774</v>
      </c>
      <c r="Y89" s="194">
        <f>IF('Tab4'!E30="",'Tab4'!E31,'Tab4'!E32)</f>
        <v>75.738455798829563</v>
      </c>
      <c r="Z89" s="188"/>
      <c r="AA89" s="188"/>
      <c r="AB89" s="188"/>
      <c r="AC89" s="188"/>
      <c r="AD89" s="188"/>
      <c r="AE89" s="188"/>
      <c r="AF89" s="188"/>
      <c r="AG89" s="188"/>
      <c r="AH89" s="188"/>
      <c r="AI89" s="188"/>
      <c r="AJ89" s="171"/>
    </row>
    <row r="90" spans="1:36" x14ac:dyDescent="0.2">
      <c r="A90" s="174">
        <v>4</v>
      </c>
      <c r="B90" s="174"/>
      <c r="C90" s="174">
        <v>112</v>
      </c>
      <c r="D90" s="174">
        <v>89.8</v>
      </c>
      <c r="E90" s="174"/>
      <c r="F90" s="174"/>
      <c r="G90" s="174"/>
      <c r="H90" s="171"/>
      <c r="I90" s="178">
        <v>73.599999999999994</v>
      </c>
      <c r="J90" s="171">
        <v>4</v>
      </c>
      <c r="K90" s="171"/>
      <c r="L90" s="179">
        <v>12860</v>
      </c>
      <c r="M90" s="178">
        <v>134.5</v>
      </c>
      <c r="N90" s="178">
        <f t="shared" si="0"/>
        <v>277.08035552536228</v>
      </c>
      <c r="O90" s="171"/>
      <c r="P90" s="188"/>
      <c r="Q90" s="188"/>
      <c r="R90" s="188"/>
      <c r="S90" s="188"/>
      <c r="T90" s="188"/>
      <c r="U90" s="188"/>
      <c r="V90" s="191" t="s">
        <v>12</v>
      </c>
      <c r="W90" s="194">
        <f>IF('Tab4'!C32="",'Tab4'!C33,'Tab4'!C34)</f>
        <v>234.47679721429449</v>
      </c>
      <c r="X90" s="194">
        <f>IF('Tab4'!D32="",'Tab4'!D33,'Tab4'!D34)</f>
        <v>233.93808828589471</v>
      </c>
      <c r="Y90" s="194">
        <f>IF('Tab4'!E32="",'Tab4'!E33,'Tab4'!E34)</f>
        <v>286.86351714177783</v>
      </c>
      <c r="Z90" s="188"/>
      <c r="AA90" s="188"/>
      <c r="AB90" s="188"/>
      <c r="AC90" s="188"/>
      <c r="AD90" s="188"/>
      <c r="AE90" s="188"/>
      <c r="AF90" s="188"/>
      <c r="AG90" s="188"/>
      <c r="AH90" s="188"/>
      <c r="AI90" s="188"/>
      <c r="AJ90" s="171"/>
    </row>
    <row r="91" spans="1:36" x14ac:dyDescent="0.2">
      <c r="A91" s="174">
        <v>1</v>
      </c>
      <c r="B91" s="174">
        <v>1988</v>
      </c>
      <c r="C91" s="174">
        <v>134.1</v>
      </c>
      <c r="D91" s="174">
        <v>107.5</v>
      </c>
      <c r="E91" s="174"/>
      <c r="F91" s="174"/>
      <c r="G91" s="174"/>
      <c r="H91" s="171"/>
      <c r="I91" s="178">
        <v>75.2</v>
      </c>
      <c r="J91" s="171">
        <v>1</v>
      </c>
      <c r="K91" s="171">
        <v>1988</v>
      </c>
      <c r="L91" s="179">
        <v>10180</v>
      </c>
      <c r="M91" s="178">
        <v>130.80000000000001</v>
      </c>
      <c r="N91" s="178">
        <f t="shared" si="0"/>
        <v>263.72492021276594</v>
      </c>
      <c r="O91" s="171"/>
      <c r="P91" s="188"/>
      <c r="Q91" s="188"/>
      <c r="R91" s="188"/>
      <c r="S91" s="188"/>
      <c r="T91" s="188"/>
      <c r="U91" s="188"/>
      <c r="V91" s="191" t="s">
        <v>13</v>
      </c>
      <c r="W91" s="194">
        <f>IF('Tab4'!C34="",'Tab4'!C35,'Tab4'!C36)</f>
        <v>21.170413620993465</v>
      </c>
      <c r="X91" s="194">
        <f>IF('Tab4'!D34="",'Tab4'!D35,'Tab4'!D36)</f>
        <v>51.82698859029982</v>
      </c>
      <c r="Y91" s="194">
        <f>IF('Tab4'!E34="",'Tab4'!E35,'Tab4'!E36)</f>
        <v>43.233376973261215</v>
      </c>
      <c r="Z91" s="188"/>
      <c r="AA91" s="188"/>
      <c r="AB91" s="188"/>
      <c r="AC91" s="188"/>
      <c r="AD91" s="188"/>
      <c r="AE91" s="188"/>
      <c r="AF91" s="188"/>
      <c r="AG91" s="188"/>
      <c r="AH91" s="188"/>
      <c r="AI91" s="188"/>
      <c r="AJ91" s="171"/>
    </row>
    <row r="92" spans="1:36" x14ac:dyDescent="0.2">
      <c r="A92" s="174">
        <v>2</v>
      </c>
      <c r="B92" s="174"/>
      <c r="C92" s="174">
        <v>113.7</v>
      </c>
      <c r="D92" s="174">
        <v>90</v>
      </c>
      <c r="E92" s="174"/>
      <c r="F92" s="174"/>
      <c r="G92" s="174"/>
      <c r="H92" s="171"/>
      <c r="I92" s="178">
        <v>76.7</v>
      </c>
      <c r="J92" s="171">
        <v>2</v>
      </c>
      <c r="K92" s="171"/>
      <c r="L92" s="179">
        <v>11081</v>
      </c>
      <c r="M92" s="178">
        <v>95.1</v>
      </c>
      <c r="N92" s="178">
        <f t="shared" si="0"/>
        <v>187.99505215123855</v>
      </c>
      <c r="O92" s="171"/>
      <c r="P92" s="188"/>
      <c r="Q92" s="188"/>
      <c r="R92" s="188"/>
      <c r="S92" s="188"/>
      <c r="T92" s="188"/>
      <c r="U92" s="188"/>
      <c r="V92" s="191" t="s">
        <v>14</v>
      </c>
      <c r="W92" s="194">
        <f>IF('Tab4'!C38="",'Tab4'!C37,'Tab4'!C38)</f>
        <v>172.92883466155078</v>
      </c>
      <c r="X92" s="194">
        <f>IF('Tab4'!D38="",'Tab4'!D37,'Tab4'!D38)</f>
        <v>188.08266129477732</v>
      </c>
      <c r="Y92" s="194">
        <f>IF('Tab4'!E38="",'Tab4'!E37,'Tab4'!E38)</f>
        <v>226.94750452690812</v>
      </c>
      <c r="Z92" s="188"/>
      <c r="AA92" s="188"/>
      <c r="AB92" s="188"/>
      <c r="AC92" s="188"/>
      <c r="AD92" s="188"/>
      <c r="AE92" s="188"/>
      <c r="AF92" s="188"/>
      <c r="AG92" s="188"/>
      <c r="AH92" s="188"/>
      <c r="AI92" s="188"/>
      <c r="AJ92" s="171"/>
    </row>
    <row r="93" spans="1:36" x14ac:dyDescent="0.2">
      <c r="A93" s="174">
        <v>3</v>
      </c>
      <c r="B93" s="174"/>
      <c r="C93" s="174">
        <v>116.3</v>
      </c>
      <c r="D93" s="174">
        <v>93.1</v>
      </c>
      <c r="E93" s="174"/>
      <c r="F93" s="174"/>
      <c r="G93" s="174"/>
      <c r="H93" s="171"/>
      <c r="I93" s="178">
        <v>77</v>
      </c>
      <c r="J93" s="171">
        <v>3</v>
      </c>
      <c r="K93" s="171"/>
      <c r="L93" s="179">
        <v>15987</v>
      </c>
      <c r="M93" s="178">
        <v>148.69999999999999</v>
      </c>
      <c r="N93" s="178">
        <f t="shared" si="0"/>
        <v>292.80703679653675</v>
      </c>
      <c r="O93" s="171"/>
      <c r="P93" s="188"/>
      <c r="Q93" s="188"/>
      <c r="R93" s="188"/>
      <c r="S93" s="188"/>
      <c r="T93" s="188"/>
      <c r="U93" s="188"/>
      <c r="V93" s="191" t="s">
        <v>85</v>
      </c>
      <c r="W93" s="195">
        <f>SUM(W83:W92)</f>
        <v>5570.218669660484</v>
      </c>
      <c r="X93" s="195">
        <f>SUM(X83:X92)</f>
        <v>5840.510026799243</v>
      </c>
      <c r="Y93" s="195">
        <f>SUM(Y83:Y92)</f>
        <v>6205.4085730533043</v>
      </c>
      <c r="Z93" s="188"/>
      <c r="AA93" s="188"/>
      <c r="AB93" s="188"/>
      <c r="AC93" s="188"/>
      <c r="AD93" s="188"/>
      <c r="AE93" s="188"/>
      <c r="AF93" s="188"/>
      <c r="AG93" s="188"/>
      <c r="AH93" s="188"/>
      <c r="AI93" s="188"/>
      <c r="AJ93" s="171"/>
    </row>
    <row r="94" spans="1:36" x14ac:dyDescent="0.2">
      <c r="A94" s="174">
        <v>4</v>
      </c>
      <c r="B94" s="174"/>
      <c r="C94" s="174">
        <v>115.2</v>
      </c>
      <c r="D94" s="174">
        <v>93.4</v>
      </c>
      <c r="E94" s="174"/>
      <c r="F94" s="174"/>
      <c r="G94" s="174"/>
      <c r="H94" s="171"/>
      <c r="I94" s="178">
        <v>78.099999999999994</v>
      </c>
      <c r="J94" s="171">
        <v>4</v>
      </c>
      <c r="K94" s="171"/>
      <c r="L94" s="179">
        <v>12493</v>
      </c>
      <c r="M94" s="178">
        <v>199.8</v>
      </c>
      <c r="N94" s="178">
        <f t="shared" si="0"/>
        <v>387.8874391805378</v>
      </c>
      <c r="O94" s="171"/>
      <c r="P94" s="188"/>
      <c r="Q94" s="188"/>
      <c r="R94" s="188"/>
      <c r="S94" s="188"/>
      <c r="T94" s="188"/>
      <c r="U94" s="188"/>
      <c r="V94" s="191"/>
      <c r="W94" s="191"/>
      <c r="X94" s="191"/>
      <c r="Y94" s="191"/>
      <c r="Z94" s="188"/>
      <c r="AA94" s="188"/>
      <c r="AB94" s="188"/>
      <c r="AC94" s="188"/>
      <c r="AD94" s="188"/>
      <c r="AE94" s="188"/>
      <c r="AF94" s="188"/>
      <c r="AG94" s="188"/>
      <c r="AH94" s="188"/>
      <c r="AI94" s="188"/>
      <c r="AJ94" s="171"/>
    </row>
    <row r="95" spans="1:36" x14ac:dyDescent="0.2">
      <c r="A95" s="174">
        <v>1</v>
      </c>
      <c r="B95" s="174">
        <v>1989</v>
      </c>
      <c r="C95" s="174">
        <v>106.6</v>
      </c>
      <c r="D95" s="174">
        <v>86.4</v>
      </c>
      <c r="E95" s="174"/>
      <c r="F95" s="174"/>
      <c r="G95" s="174"/>
      <c r="H95" s="171"/>
      <c r="I95" s="178">
        <v>78.900000000000006</v>
      </c>
      <c r="J95" s="171">
        <v>1</v>
      </c>
      <c r="K95" s="171">
        <v>1989</v>
      </c>
      <c r="L95" s="179">
        <v>10988</v>
      </c>
      <c r="M95" s="178">
        <v>142.6</v>
      </c>
      <c r="N95" s="178">
        <f t="shared" si="0"/>
        <v>274.03358259400079</v>
      </c>
      <c r="O95" s="171"/>
      <c r="P95" s="188"/>
      <c r="Q95" s="188"/>
      <c r="R95" s="188"/>
      <c r="S95" s="188"/>
      <c r="T95" s="188"/>
      <c r="U95" s="188"/>
      <c r="V95" s="191" t="s">
        <v>170</v>
      </c>
      <c r="W95" s="196">
        <f>+W93+X72</f>
        <v>9731.0599014774525</v>
      </c>
      <c r="X95" s="196">
        <f>+X93+Y72</f>
        <v>9930.874184197979</v>
      </c>
      <c r="Y95" s="196">
        <f>+Y93+Z72</f>
        <v>10583.264123151481</v>
      </c>
      <c r="Z95" s="188"/>
      <c r="AA95" s="188"/>
      <c r="AB95" s="188"/>
      <c r="AC95" s="188"/>
      <c r="AD95" s="188"/>
      <c r="AE95" s="188"/>
      <c r="AF95" s="188"/>
      <c r="AG95" s="188"/>
      <c r="AH95" s="188"/>
      <c r="AI95" s="188"/>
      <c r="AJ95" s="171"/>
    </row>
    <row r="96" spans="1:36" x14ac:dyDescent="0.2">
      <c r="A96" s="174">
        <v>2</v>
      </c>
      <c r="B96" s="174"/>
      <c r="C96" s="174">
        <v>98</v>
      </c>
      <c r="D96" s="174">
        <v>79.599999999999994</v>
      </c>
      <c r="E96" s="174"/>
      <c r="F96" s="174"/>
      <c r="G96" s="174"/>
      <c r="H96" s="171"/>
      <c r="I96" s="178">
        <v>80.3</v>
      </c>
      <c r="J96" s="171">
        <v>2</v>
      </c>
      <c r="K96" s="171"/>
      <c r="L96" s="179">
        <v>10292</v>
      </c>
      <c r="M96" s="178">
        <v>117.3</v>
      </c>
      <c r="N96" s="178">
        <f t="shared" si="0"/>
        <v>221.48470112079698</v>
      </c>
      <c r="O96" s="171"/>
      <c r="P96" s="188"/>
      <c r="Q96" s="188"/>
      <c r="R96" s="188"/>
      <c r="S96" s="188"/>
      <c r="T96" s="188"/>
      <c r="U96" s="188"/>
      <c r="V96" s="188"/>
      <c r="W96" s="188"/>
      <c r="X96" s="188"/>
      <c r="Y96" s="188"/>
      <c r="Z96" s="188"/>
      <c r="AA96" s="188"/>
      <c r="AB96" s="188"/>
      <c r="AC96" s="188"/>
      <c r="AD96" s="188"/>
      <c r="AE96" s="188"/>
      <c r="AF96" s="188"/>
      <c r="AG96" s="188"/>
      <c r="AH96" s="188"/>
      <c r="AI96" s="188"/>
      <c r="AJ96" s="171"/>
    </row>
    <row r="97" spans="1:36" x14ac:dyDescent="0.2">
      <c r="A97" s="174">
        <v>3</v>
      </c>
      <c r="B97" s="174"/>
      <c r="C97" s="174">
        <v>96.9</v>
      </c>
      <c r="D97" s="174">
        <v>79</v>
      </c>
      <c r="E97" s="174"/>
      <c r="F97" s="174"/>
      <c r="G97" s="174"/>
      <c r="H97" s="171"/>
      <c r="I97" s="178">
        <v>80.599999999999994</v>
      </c>
      <c r="J97" s="171">
        <v>3</v>
      </c>
      <c r="K97" s="171"/>
      <c r="L97" s="179">
        <v>11352</v>
      </c>
      <c r="M97" s="178">
        <v>103.6</v>
      </c>
      <c r="N97" s="178">
        <f t="shared" si="0"/>
        <v>194.88839536807274</v>
      </c>
      <c r="O97" s="171"/>
      <c r="P97" s="188"/>
      <c r="Q97" s="188"/>
      <c r="R97" s="188"/>
      <c r="S97" s="188"/>
      <c r="T97" s="188"/>
      <c r="U97" s="188"/>
      <c r="V97" s="188"/>
      <c r="W97" s="188"/>
      <c r="X97" s="188"/>
      <c r="Y97" s="191"/>
      <c r="Z97" s="188"/>
      <c r="AA97" s="188"/>
      <c r="AB97" s="188"/>
      <c r="AC97" s="188"/>
      <c r="AD97" s="188"/>
      <c r="AE97" s="188"/>
      <c r="AF97" s="188"/>
      <c r="AG97" s="188"/>
      <c r="AH97" s="188"/>
      <c r="AI97" s="188"/>
      <c r="AJ97" s="171"/>
    </row>
    <row r="98" spans="1:36" x14ac:dyDescent="0.2">
      <c r="A98" s="174">
        <v>4</v>
      </c>
      <c r="B98" s="174"/>
      <c r="C98" s="174">
        <v>93.4</v>
      </c>
      <c r="D98" s="174">
        <v>76.8</v>
      </c>
      <c r="E98" s="174"/>
      <c r="F98" s="174"/>
      <c r="G98" s="174"/>
      <c r="H98" s="171"/>
      <c r="I98" s="178">
        <v>81.400000000000006</v>
      </c>
      <c r="J98" s="171">
        <v>4</v>
      </c>
      <c r="K98" s="171"/>
      <c r="L98" s="179">
        <v>11958</v>
      </c>
      <c r="M98" s="178">
        <v>132</v>
      </c>
      <c r="N98" s="178">
        <f t="shared" si="0"/>
        <v>245.87297297297292</v>
      </c>
      <c r="O98" s="171"/>
      <c r="P98" s="188"/>
      <c r="Q98" s="188"/>
      <c r="R98" s="188"/>
      <c r="S98" s="188"/>
      <c r="T98" s="188"/>
      <c r="U98" s="188"/>
      <c r="V98" s="190" t="s">
        <v>185</v>
      </c>
      <c r="W98" s="191"/>
      <c r="X98" s="191"/>
      <c r="Y98" s="191"/>
      <c r="Z98" s="188"/>
      <c r="AA98" s="188"/>
      <c r="AB98" s="188"/>
      <c r="AC98" s="188"/>
      <c r="AD98" s="188"/>
      <c r="AE98" s="188"/>
      <c r="AF98" s="188"/>
      <c r="AG98" s="188"/>
      <c r="AH98" s="188"/>
      <c r="AI98" s="188"/>
      <c r="AJ98" s="171"/>
    </row>
    <row r="99" spans="1:36" x14ac:dyDescent="0.2">
      <c r="A99" s="174">
        <v>1</v>
      </c>
      <c r="B99" s="174">
        <v>1990</v>
      </c>
      <c r="C99" s="174">
        <v>99.4</v>
      </c>
      <c r="D99" s="174">
        <v>81.3</v>
      </c>
      <c r="E99" s="174"/>
      <c r="F99" s="174"/>
      <c r="G99" s="174"/>
      <c r="H99" s="171"/>
      <c r="I99" s="178">
        <v>82.3</v>
      </c>
      <c r="J99" s="171">
        <v>1</v>
      </c>
      <c r="K99" s="171">
        <v>1990</v>
      </c>
      <c r="L99" s="179">
        <v>13741</v>
      </c>
      <c r="M99" s="178">
        <v>142.9</v>
      </c>
      <c r="N99" s="178">
        <f t="shared" si="0"/>
        <v>263.26532401782094</v>
      </c>
      <c r="O99" s="171"/>
      <c r="P99" s="188"/>
      <c r="Q99" s="188"/>
      <c r="R99" s="188"/>
      <c r="S99" s="188"/>
      <c r="T99" s="188"/>
      <c r="U99" s="188"/>
      <c r="V99" s="191"/>
      <c r="W99" s="188"/>
      <c r="X99" s="191"/>
      <c r="Y99" s="191"/>
      <c r="Z99" s="188"/>
      <c r="AA99" s="188"/>
      <c r="AB99" s="188"/>
      <c r="AC99" s="188"/>
      <c r="AD99" s="188"/>
      <c r="AE99" s="188"/>
      <c r="AF99" s="188"/>
      <c r="AG99" s="188"/>
      <c r="AH99" s="188"/>
      <c r="AI99" s="188"/>
      <c r="AJ99" s="171"/>
    </row>
    <row r="100" spans="1:36" x14ac:dyDescent="0.2">
      <c r="A100" s="174">
        <v>2</v>
      </c>
      <c r="B100" s="174"/>
      <c r="C100" s="174">
        <v>88.6</v>
      </c>
      <c r="D100" s="174">
        <v>73.099999999999994</v>
      </c>
      <c r="E100" s="174"/>
      <c r="F100" s="174"/>
      <c r="G100" s="174"/>
      <c r="H100" s="171"/>
      <c r="I100" s="178">
        <v>83.4</v>
      </c>
      <c r="J100" s="171">
        <v>2</v>
      </c>
      <c r="K100" s="171"/>
      <c r="L100" s="179">
        <v>10045</v>
      </c>
      <c r="M100" s="178">
        <v>116.5</v>
      </c>
      <c r="N100" s="178">
        <f t="shared" si="0"/>
        <v>211.79765187849716</v>
      </c>
      <c r="O100" s="171"/>
      <c r="P100" s="188"/>
      <c r="Q100" s="188"/>
      <c r="R100" s="188"/>
      <c r="S100" s="188"/>
      <c r="T100" s="188"/>
      <c r="U100" s="188"/>
      <c r="V100" s="191"/>
      <c r="W100" s="193" t="str">
        <f>+W82</f>
        <v>2017</v>
      </c>
      <c r="X100" s="193" t="str">
        <f>+X82</f>
        <v>2018</v>
      </c>
      <c r="Y100" s="193" t="str">
        <f>+Y82</f>
        <v>2019</v>
      </c>
      <c r="Z100" s="188"/>
      <c r="AA100" s="188"/>
      <c r="AB100" s="188"/>
      <c r="AC100" s="188"/>
      <c r="AD100" s="188"/>
      <c r="AE100" s="188"/>
      <c r="AF100" s="188"/>
      <c r="AG100" s="188"/>
      <c r="AH100" s="188"/>
      <c r="AI100" s="188"/>
      <c r="AJ100" s="171"/>
    </row>
    <row r="101" spans="1:36" x14ac:dyDescent="0.2">
      <c r="A101" s="174">
        <v>3</v>
      </c>
      <c r="B101" s="174"/>
      <c r="C101" s="174">
        <v>88.2</v>
      </c>
      <c r="D101" s="174">
        <v>72.5</v>
      </c>
      <c r="E101" s="174"/>
      <c r="F101" s="174"/>
      <c r="G101" s="174"/>
      <c r="H101" s="171"/>
      <c r="I101" s="178">
        <v>83.7</v>
      </c>
      <c r="J101" s="171">
        <v>3</v>
      </c>
      <c r="K101" s="171"/>
      <c r="L101" s="179">
        <v>10870</v>
      </c>
      <c r="M101" s="178">
        <v>101.4</v>
      </c>
      <c r="N101" s="178">
        <f t="shared" si="0"/>
        <v>183.68502986857825</v>
      </c>
      <c r="O101" s="171"/>
      <c r="P101" s="188"/>
      <c r="Q101" s="188"/>
      <c r="R101" s="188"/>
      <c r="S101" s="188"/>
      <c r="T101" s="188"/>
      <c r="U101" s="188"/>
      <c r="V101" s="191" t="s">
        <v>18</v>
      </c>
      <c r="W101" s="197">
        <f>IF('Tab7'!C10="",+'Tab7'!C9+'Tab11'!C9,+'Tab7'!C10+'Tab11'!C10)</f>
        <v>7124.2571060982755</v>
      </c>
      <c r="X101" s="197">
        <f>IF('Tab7'!D10="",+'Tab7'!D9+'Tab11'!D9,+'Tab7'!D10+'Tab11'!D10)</f>
        <v>6317.397789855072</v>
      </c>
      <c r="Y101" s="197">
        <f>IF('Tab7'!E10="",+'Tab7'!E9+'Tab11'!E9,+'Tab7'!E10+'Tab11'!E10)</f>
        <v>6179.0660115942028</v>
      </c>
      <c r="Z101" s="188"/>
      <c r="AA101" s="188"/>
      <c r="AB101" s="188"/>
      <c r="AC101" s="188"/>
      <c r="AD101" s="188"/>
      <c r="AE101" s="188"/>
      <c r="AF101" s="188"/>
      <c r="AG101" s="188"/>
      <c r="AH101" s="188"/>
      <c r="AI101" s="188"/>
      <c r="AJ101" s="171"/>
    </row>
    <row r="102" spans="1:36" x14ac:dyDescent="0.2">
      <c r="A102" s="174">
        <v>4</v>
      </c>
      <c r="B102" s="174"/>
      <c r="C102" s="174">
        <v>84.8</v>
      </c>
      <c r="D102" s="174">
        <v>70.2</v>
      </c>
      <c r="E102" s="174"/>
      <c r="F102" s="174"/>
      <c r="G102" s="174"/>
      <c r="H102" s="171"/>
      <c r="I102" s="178">
        <v>85.1</v>
      </c>
      <c r="J102" s="171">
        <v>4</v>
      </c>
      <c r="K102" s="171"/>
      <c r="L102" s="179">
        <v>11076</v>
      </c>
      <c r="M102" s="178">
        <v>120</v>
      </c>
      <c r="N102" s="178">
        <f t="shared" si="0"/>
        <v>213.80258519388951</v>
      </c>
      <c r="O102" s="171"/>
      <c r="P102" s="188"/>
      <c r="Q102" s="188"/>
      <c r="R102" s="188"/>
      <c r="S102" s="188"/>
      <c r="T102" s="188"/>
      <c r="U102" s="188"/>
      <c r="V102" s="191" t="s">
        <v>86</v>
      </c>
      <c r="W102" s="197">
        <f>IF('Tab7'!C12="",+'Tab7'!C11+'Tab11'!C11,+'Tab7'!C12+'Tab11'!C12)</f>
        <v>20188.970584051742</v>
      </c>
      <c r="X102" s="197">
        <f>IF('Tab7'!D12="",+'Tab7'!D11+'Tab11'!D11,+'Tab7'!D12+'Tab11'!D12)</f>
        <v>25111.388794466406</v>
      </c>
      <c r="Y102" s="197">
        <f>IF('Tab7'!E12="",+'Tab7'!E11+'Tab11'!E11,+'Tab7'!E12+'Tab11'!E12)</f>
        <v>22394.924612648225</v>
      </c>
      <c r="Z102" s="188"/>
      <c r="AA102" s="188"/>
      <c r="AB102" s="188"/>
      <c r="AC102" s="188"/>
      <c r="AD102" s="188"/>
      <c r="AE102" s="188"/>
      <c r="AF102" s="188"/>
      <c r="AG102" s="188"/>
      <c r="AH102" s="188"/>
      <c r="AI102" s="188"/>
      <c r="AJ102" s="171"/>
    </row>
    <row r="103" spans="1:36" x14ac:dyDescent="0.2">
      <c r="A103" s="174">
        <v>1</v>
      </c>
      <c r="B103" s="174">
        <v>1991</v>
      </c>
      <c r="C103" s="174">
        <v>97.5</v>
      </c>
      <c r="D103" s="174">
        <v>82.4</v>
      </c>
      <c r="E103" s="174"/>
      <c r="F103" s="174"/>
      <c r="G103" s="174"/>
      <c r="H103" s="171"/>
      <c r="I103" s="178">
        <v>85.5</v>
      </c>
      <c r="J103" s="171">
        <v>1</v>
      </c>
      <c r="K103" s="171">
        <v>1991</v>
      </c>
      <c r="L103" s="179">
        <v>10172</v>
      </c>
      <c r="M103" s="178">
        <v>130.10000000000002</v>
      </c>
      <c r="N103" s="178">
        <f t="shared" ref="N103:N106" si="1">M103/I103*$I$69</f>
        <v>230.71320272904484</v>
      </c>
      <c r="O103" s="179">
        <v>6727</v>
      </c>
      <c r="P103" s="198">
        <v>376.9</v>
      </c>
      <c r="Q103" s="198">
        <f>P103/I103*$I$69</f>
        <v>668.3766803118906</v>
      </c>
      <c r="R103" s="199">
        <v>9077</v>
      </c>
      <c r="S103" s="198">
        <v>139.9</v>
      </c>
      <c r="T103" s="198">
        <f>S103/I103*$I$69</f>
        <v>248.09206042884986</v>
      </c>
      <c r="U103" s="188"/>
      <c r="V103" s="191" t="s">
        <v>63</v>
      </c>
      <c r="W103" s="197">
        <f>IF('Tab7'!C14="",+'Tab7'!C13+'Tab11'!C13,+'Tab7'!C14+'Tab11'!C14)</f>
        <v>6121.3819215861495</v>
      </c>
      <c r="X103" s="197">
        <f>IF('Tab7'!D14="",+'Tab7'!D13+'Tab11'!D13,+'Tab7'!D14+'Tab11'!D14)</f>
        <v>5432.8596770186332</v>
      </c>
      <c r="Y103" s="197">
        <f>IF('Tab7'!E14="",+'Tab7'!E13+'Tab11'!E13,+'Tab7'!E14+'Tab11'!E14)</f>
        <v>6840.1016739130437</v>
      </c>
      <c r="Z103" s="188"/>
      <c r="AA103" s="188"/>
      <c r="AB103" s="188"/>
      <c r="AC103" s="188"/>
      <c r="AD103" s="188"/>
      <c r="AE103" s="188"/>
      <c r="AF103" s="188"/>
      <c r="AG103" s="188"/>
      <c r="AH103" s="188"/>
      <c r="AI103" s="188"/>
      <c r="AJ103" s="171"/>
    </row>
    <row r="104" spans="1:36" x14ac:dyDescent="0.2">
      <c r="A104" s="174">
        <v>2</v>
      </c>
      <c r="B104" s="174"/>
      <c r="C104" s="174">
        <v>93.9</v>
      </c>
      <c r="D104" s="174">
        <v>78</v>
      </c>
      <c r="E104" s="174"/>
      <c r="F104" s="174"/>
      <c r="G104" s="174"/>
      <c r="H104" s="171"/>
      <c r="I104" s="178">
        <v>86.6</v>
      </c>
      <c r="J104" s="171">
        <v>2</v>
      </c>
      <c r="K104" s="171"/>
      <c r="L104" s="179">
        <v>10188</v>
      </c>
      <c r="M104" s="178">
        <v>126.69999999999993</v>
      </c>
      <c r="N104" s="178">
        <f t="shared" si="1"/>
        <v>221.82985180908378</v>
      </c>
      <c r="O104" s="179">
        <v>5864</v>
      </c>
      <c r="P104" s="198">
        <v>369.29999999999995</v>
      </c>
      <c r="Q104" s="198">
        <f t="shared" ref="Q104:Q167" si="2">P104/I104*$I$69</f>
        <v>646.58061778290971</v>
      </c>
      <c r="R104" s="199">
        <v>12525</v>
      </c>
      <c r="S104" s="198">
        <v>176.29999999999998</v>
      </c>
      <c r="T104" s="198">
        <f t="shared" ref="T104:T167" si="3">S104/I104*$I$69</f>
        <v>308.67089876828322</v>
      </c>
      <c r="U104" s="188"/>
      <c r="V104" s="191" t="s">
        <v>14</v>
      </c>
      <c r="W104" s="200">
        <f>+W106-SUM(W101:W103)</f>
        <v>54035.703105712259</v>
      </c>
      <c r="X104" s="200">
        <f>+X106-SUM(X101:X103)</f>
        <v>55384.087369318804</v>
      </c>
      <c r="Y104" s="200">
        <f>+Y106-SUM(Y101:Y103)</f>
        <v>66587.42820387517</v>
      </c>
      <c r="Z104" s="188"/>
      <c r="AA104" s="188"/>
      <c r="AB104" s="188"/>
      <c r="AC104" s="188"/>
      <c r="AD104" s="188"/>
      <c r="AE104" s="188"/>
      <c r="AF104" s="188"/>
      <c r="AG104" s="188"/>
      <c r="AH104" s="188"/>
      <c r="AI104" s="188"/>
      <c r="AJ104" s="171"/>
    </row>
    <row r="105" spans="1:36" x14ac:dyDescent="0.2">
      <c r="A105" s="174">
        <v>3</v>
      </c>
      <c r="B105" s="174"/>
      <c r="C105" s="174">
        <v>90.2</v>
      </c>
      <c r="D105" s="174">
        <v>76.099999999999994</v>
      </c>
      <c r="E105" s="174"/>
      <c r="F105" s="174"/>
      <c r="G105" s="174"/>
      <c r="H105" s="171"/>
      <c r="I105" s="178">
        <v>86.6</v>
      </c>
      <c r="J105" s="171">
        <v>3</v>
      </c>
      <c r="K105" s="171"/>
      <c r="L105" s="179">
        <v>10621</v>
      </c>
      <c r="M105" s="178">
        <v>132.60000000000002</v>
      </c>
      <c r="N105" s="178">
        <f t="shared" si="1"/>
        <v>232.15973441108545</v>
      </c>
      <c r="O105" s="179">
        <v>7951</v>
      </c>
      <c r="P105" s="198">
        <v>430.9</v>
      </c>
      <c r="Q105" s="198">
        <f t="shared" si="2"/>
        <v>754.43159545804451</v>
      </c>
      <c r="R105" s="199">
        <v>14126</v>
      </c>
      <c r="S105" s="198">
        <v>204.90000000000003</v>
      </c>
      <c r="T105" s="198">
        <f t="shared" si="3"/>
        <v>358.74456697459584</v>
      </c>
      <c r="U105" s="188"/>
      <c r="V105" s="191"/>
      <c r="W105" s="191"/>
      <c r="X105" s="191"/>
      <c r="Y105" s="191"/>
      <c r="Z105" s="188"/>
      <c r="AA105" s="188"/>
      <c r="AB105" s="188"/>
      <c r="AC105" s="188"/>
      <c r="AD105" s="188"/>
      <c r="AE105" s="188"/>
      <c r="AF105" s="188"/>
      <c r="AG105" s="188"/>
      <c r="AH105" s="188"/>
      <c r="AI105" s="188"/>
      <c r="AJ105" s="171"/>
    </row>
    <row r="106" spans="1:36" x14ac:dyDescent="0.2">
      <c r="A106" s="174">
        <v>4</v>
      </c>
      <c r="B106" s="174"/>
      <c r="C106" s="174">
        <v>92.6</v>
      </c>
      <c r="D106" s="174">
        <v>78.099999999999994</v>
      </c>
      <c r="E106" s="174"/>
      <c r="F106" s="174"/>
      <c r="G106" s="174"/>
      <c r="H106" s="171"/>
      <c r="I106" s="178">
        <v>87.3</v>
      </c>
      <c r="J106" s="171">
        <v>4</v>
      </c>
      <c r="K106" s="171"/>
      <c r="L106" s="179">
        <v>11640</v>
      </c>
      <c r="M106" s="178">
        <v>138.20000000000005</v>
      </c>
      <c r="N106" s="178">
        <f t="shared" si="1"/>
        <v>240.02421916762128</v>
      </c>
      <c r="O106" s="179">
        <v>13048</v>
      </c>
      <c r="P106" s="198">
        <v>427.00000000000023</v>
      </c>
      <c r="Q106" s="198">
        <f t="shared" si="2"/>
        <v>741.60883925162307</v>
      </c>
      <c r="R106" s="199">
        <v>13048</v>
      </c>
      <c r="S106" s="198">
        <v>185</v>
      </c>
      <c r="T106" s="198">
        <f t="shared" si="3"/>
        <v>321.30593738067961</v>
      </c>
      <c r="U106" s="188"/>
      <c r="V106" s="191" t="s">
        <v>87</v>
      </c>
      <c r="W106" s="197">
        <f>IF('Tab7'!C8="",+'Tab7'!C7+'Tab11'!C7,+'Tab7'!C8+'Tab11'!C8)</f>
        <v>87470.312717448425</v>
      </c>
      <c r="X106" s="197">
        <f>IF('Tab7'!D8="",+'Tab7'!D7+'Tab11'!D7,+'Tab7'!D8+'Tab11'!D8)</f>
        <v>92245.733630658913</v>
      </c>
      <c r="Y106" s="197">
        <f>IF('Tab7'!E8="",+'Tab7'!E7+'Tab11'!E7,+'Tab7'!E8+'Tab11'!E8)</f>
        <v>102001.52050203063</v>
      </c>
      <c r="Z106" s="188"/>
      <c r="AA106" s="188"/>
      <c r="AB106" s="188"/>
      <c r="AC106" s="188"/>
      <c r="AD106" s="188"/>
      <c r="AE106" s="188"/>
      <c r="AF106" s="188"/>
      <c r="AG106" s="188"/>
      <c r="AH106" s="188"/>
      <c r="AI106" s="188"/>
      <c r="AJ106" s="171"/>
    </row>
    <row r="107" spans="1:36" x14ac:dyDescent="0.2">
      <c r="A107" s="174">
        <v>1</v>
      </c>
      <c r="B107" s="174">
        <v>1992</v>
      </c>
      <c r="C107" s="174">
        <v>102</v>
      </c>
      <c r="D107" s="174">
        <v>87.1</v>
      </c>
      <c r="E107" s="174"/>
      <c r="F107" s="174"/>
      <c r="G107" s="174"/>
      <c r="H107" s="171"/>
      <c r="I107" s="178">
        <v>87.5</v>
      </c>
      <c r="J107" s="171">
        <v>1</v>
      </c>
      <c r="K107" s="171">
        <v>1992</v>
      </c>
      <c r="L107" s="179">
        <v>10520</v>
      </c>
      <c r="M107" s="178">
        <v>129.4</v>
      </c>
      <c r="N107" s="178">
        <f>M107/I107*$I$69</f>
        <v>224.22678476190472</v>
      </c>
      <c r="O107" s="179">
        <v>6509</v>
      </c>
      <c r="P107" s="198">
        <v>409.5</v>
      </c>
      <c r="Q107" s="198">
        <f t="shared" si="2"/>
        <v>709.58939999999984</v>
      </c>
      <c r="R107" s="199">
        <v>11030</v>
      </c>
      <c r="S107" s="198">
        <v>180.5</v>
      </c>
      <c r="T107" s="198">
        <f t="shared" si="3"/>
        <v>312.77383809523803</v>
      </c>
      <c r="U107" s="188"/>
      <c r="V107" s="188"/>
      <c r="W107" s="188"/>
      <c r="X107" s="188"/>
      <c r="Y107" s="188"/>
      <c r="Z107" s="188"/>
      <c r="AA107" s="188"/>
      <c r="AB107" s="188"/>
      <c r="AC107" s="188"/>
      <c r="AD107" s="188"/>
      <c r="AE107" s="188"/>
      <c r="AF107" s="188"/>
      <c r="AG107" s="188"/>
      <c r="AH107" s="188"/>
      <c r="AI107" s="188"/>
      <c r="AJ107" s="171"/>
    </row>
    <row r="108" spans="1:36" x14ac:dyDescent="0.2">
      <c r="A108" s="174">
        <v>2</v>
      </c>
      <c r="B108" s="174"/>
      <c r="C108" s="174">
        <v>92.2</v>
      </c>
      <c r="D108" s="174">
        <v>78.900000000000006</v>
      </c>
      <c r="E108" s="174"/>
      <c r="F108" s="174"/>
      <c r="G108" s="174"/>
      <c r="H108" s="171"/>
      <c r="I108" s="178">
        <v>88.6</v>
      </c>
      <c r="J108" s="171">
        <v>2</v>
      </c>
      <c r="K108" s="171"/>
      <c r="L108" s="179">
        <v>10661</v>
      </c>
      <c r="M108" s="178">
        <v>112.9</v>
      </c>
      <c r="N108" s="178">
        <f t="shared" ref="N108:N171" si="4">M108/I108*$I$69</f>
        <v>193.20639014296464</v>
      </c>
      <c r="O108" s="179">
        <v>5632</v>
      </c>
      <c r="P108" s="198">
        <v>412</v>
      </c>
      <c r="Q108" s="198">
        <f t="shared" si="2"/>
        <v>705.05786305492836</v>
      </c>
      <c r="R108" s="199">
        <v>13252</v>
      </c>
      <c r="S108" s="198">
        <v>167</v>
      </c>
      <c r="T108" s="198">
        <f t="shared" si="3"/>
        <v>285.78801730624525</v>
      </c>
      <c r="U108" s="188"/>
      <c r="V108" s="188"/>
      <c r="W108" s="188"/>
      <c r="X108" s="188"/>
      <c r="Y108" s="188"/>
      <c r="Z108" s="188"/>
      <c r="AA108" s="188"/>
      <c r="AB108" s="188"/>
      <c r="AC108" s="188"/>
      <c r="AD108" s="188"/>
      <c r="AE108" s="188"/>
      <c r="AF108" s="188"/>
      <c r="AG108" s="188"/>
      <c r="AH108" s="188"/>
      <c r="AI108" s="188"/>
      <c r="AJ108" s="171"/>
    </row>
    <row r="109" spans="1:36" x14ac:dyDescent="0.2">
      <c r="A109" s="174">
        <v>3</v>
      </c>
      <c r="B109" s="174"/>
      <c r="C109" s="174">
        <v>93.3</v>
      </c>
      <c r="D109" s="174">
        <v>79.900000000000006</v>
      </c>
      <c r="E109" s="174"/>
      <c r="F109" s="174"/>
      <c r="G109" s="174"/>
      <c r="H109" s="171"/>
      <c r="I109" s="178">
        <v>88.7</v>
      </c>
      <c r="J109" s="171">
        <v>3</v>
      </c>
      <c r="K109" s="171"/>
      <c r="L109" s="179">
        <v>11590</v>
      </c>
      <c r="M109" s="178">
        <v>130.59999999999997</v>
      </c>
      <c r="N109" s="178">
        <f t="shared" si="4"/>
        <v>223.24452837279208</v>
      </c>
      <c r="O109" s="179">
        <v>8642</v>
      </c>
      <c r="P109" s="198">
        <v>440.40000000000009</v>
      </c>
      <c r="Q109" s="198">
        <f t="shared" si="2"/>
        <v>752.80926719278466</v>
      </c>
      <c r="R109" s="199">
        <v>15450</v>
      </c>
      <c r="S109" s="198">
        <v>219.10000000000002</v>
      </c>
      <c r="T109" s="198">
        <f t="shared" si="3"/>
        <v>374.52431980458465</v>
      </c>
      <c r="U109" s="188"/>
      <c r="V109" s="190" t="s">
        <v>186</v>
      </c>
      <c r="W109" s="191"/>
      <c r="X109" s="191"/>
      <c r="Y109" s="191"/>
      <c r="Z109" s="188"/>
      <c r="AA109" s="188"/>
      <c r="AB109" s="188"/>
      <c r="AC109" s="188"/>
      <c r="AD109" s="188"/>
      <c r="AE109" s="188"/>
      <c r="AF109" s="188"/>
      <c r="AG109" s="188"/>
      <c r="AH109" s="188"/>
      <c r="AI109" s="188"/>
      <c r="AJ109" s="171"/>
    </row>
    <row r="110" spans="1:36" x14ac:dyDescent="0.2">
      <c r="A110" s="174">
        <v>4</v>
      </c>
      <c r="B110" s="174"/>
      <c r="C110" s="174">
        <v>90.8</v>
      </c>
      <c r="D110" s="174">
        <v>77.599999999999994</v>
      </c>
      <c r="E110" s="174"/>
      <c r="F110" s="174"/>
      <c r="G110" s="174"/>
      <c r="H110" s="171"/>
      <c r="I110" s="178">
        <v>89.3</v>
      </c>
      <c r="J110" s="171">
        <v>4</v>
      </c>
      <c r="K110" s="171"/>
      <c r="L110" s="179">
        <v>11917</v>
      </c>
      <c r="M110" s="178">
        <v>108.50000000000006</v>
      </c>
      <c r="N110" s="178">
        <f t="shared" si="4"/>
        <v>184.22117394550213</v>
      </c>
      <c r="O110" s="179">
        <v>7139</v>
      </c>
      <c r="P110" s="198">
        <v>425.59999999999991</v>
      </c>
      <c r="Q110" s="198">
        <f t="shared" si="2"/>
        <v>722.62241134751741</v>
      </c>
      <c r="R110" s="199">
        <v>12309</v>
      </c>
      <c r="S110" s="198">
        <v>109.39999999999998</v>
      </c>
      <c r="T110" s="198">
        <f t="shared" si="3"/>
        <v>185.7492758491974</v>
      </c>
      <c r="U110" s="188"/>
      <c r="V110" s="191"/>
      <c r="W110" s="191"/>
      <c r="X110" s="191"/>
      <c r="Y110" s="191"/>
      <c r="Z110" s="188"/>
      <c r="AA110" s="188"/>
      <c r="AB110" s="188"/>
      <c r="AC110" s="188"/>
      <c r="AD110" s="188"/>
      <c r="AE110" s="188"/>
      <c r="AF110" s="188"/>
      <c r="AG110" s="188"/>
      <c r="AH110" s="188"/>
      <c r="AI110" s="188"/>
      <c r="AJ110" s="171"/>
    </row>
    <row r="111" spans="1:36" x14ac:dyDescent="0.2">
      <c r="A111" s="174">
        <v>1</v>
      </c>
      <c r="B111" s="174">
        <v>1993</v>
      </c>
      <c r="C111" s="174">
        <v>112.6</v>
      </c>
      <c r="D111" s="174">
        <v>96.5</v>
      </c>
      <c r="E111" s="174"/>
      <c r="F111" s="174"/>
      <c r="G111" s="174"/>
      <c r="H111" s="171"/>
      <c r="I111" s="178">
        <v>89.8</v>
      </c>
      <c r="J111" s="171">
        <v>1</v>
      </c>
      <c r="K111" s="171">
        <v>1993</v>
      </c>
      <c r="L111" s="179">
        <v>11275</v>
      </c>
      <c r="M111" s="178">
        <v>136.89999999999998</v>
      </c>
      <c r="N111" s="178">
        <f t="shared" si="4"/>
        <v>231.14706198960647</v>
      </c>
      <c r="O111" s="179">
        <v>6982</v>
      </c>
      <c r="P111" s="198">
        <v>449.4</v>
      </c>
      <c r="Q111" s="198">
        <f t="shared" si="2"/>
        <v>758.78370824053434</v>
      </c>
      <c r="R111" s="199">
        <v>10571</v>
      </c>
      <c r="S111" s="198">
        <v>175.5</v>
      </c>
      <c r="T111" s="198">
        <f t="shared" si="3"/>
        <v>296.32074053452112</v>
      </c>
      <c r="U111" s="188"/>
      <c r="V111" s="191"/>
      <c r="W111" s="193" t="str">
        <f>+W100</f>
        <v>2017</v>
      </c>
      <c r="X111" s="193" t="str">
        <f>+X100</f>
        <v>2018</v>
      </c>
      <c r="Y111" s="193" t="str">
        <f>+Y100</f>
        <v>2019</v>
      </c>
      <c r="Z111" s="188"/>
      <c r="AA111" s="188"/>
      <c r="AB111" s="188"/>
      <c r="AC111" s="188"/>
      <c r="AD111" s="188"/>
      <c r="AE111" s="188"/>
      <c r="AF111" s="188"/>
      <c r="AG111" s="188"/>
      <c r="AH111" s="188"/>
      <c r="AI111" s="188"/>
      <c r="AJ111" s="171"/>
    </row>
    <row r="112" spans="1:36" x14ac:dyDescent="0.2">
      <c r="A112" s="174">
        <v>2</v>
      </c>
      <c r="B112" s="174"/>
      <c r="C112" s="174">
        <f>205.6-C111</f>
        <v>93</v>
      </c>
      <c r="D112" s="174">
        <f>176.6-D111</f>
        <v>80.099999999999994</v>
      </c>
      <c r="E112" s="174"/>
      <c r="F112" s="174"/>
      <c r="G112" s="174"/>
      <c r="H112" s="171"/>
      <c r="I112" s="178">
        <v>90.8</v>
      </c>
      <c r="J112" s="171">
        <v>2</v>
      </c>
      <c r="K112" s="171"/>
      <c r="L112" s="179">
        <v>10076</v>
      </c>
      <c r="M112" s="178">
        <v>115.20000000000002</v>
      </c>
      <c r="N112" s="178">
        <f t="shared" si="4"/>
        <v>192.36581497797357</v>
      </c>
      <c r="O112" s="179">
        <v>6332</v>
      </c>
      <c r="P112" s="198">
        <v>352.9</v>
      </c>
      <c r="Q112" s="198">
        <f t="shared" si="2"/>
        <v>589.28729258443457</v>
      </c>
      <c r="R112" s="199">
        <v>12919</v>
      </c>
      <c r="S112" s="198">
        <v>191.20000000000005</v>
      </c>
      <c r="T112" s="198">
        <f t="shared" si="3"/>
        <v>319.27381791483111</v>
      </c>
      <c r="U112" s="188"/>
      <c r="V112" s="191" t="s">
        <v>171</v>
      </c>
      <c r="W112" s="196">
        <f>IF('Tab7'!C38="",+'Tab7'!C37+'Tab11'!C37,+'Tab7'!C38+'Tab11'!C38)</f>
        <v>1296.44687833689</v>
      </c>
      <c r="X112" s="196">
        <f>IF('Tab7'!D38="",+'Tab7'!D37+'Tab11'!D37,+'Tab7'!D38+'Tab11'!D38)</f>
        <v>1261.6003618581508</v>
      </c>
      <c r="Y112" s="196">
        <f>IF('Tab7'!E38="",+'Tab7'!E37+'Tab11'!E37,+'Tab7'!E38+'Tab11'!E38)</f>
        <v>1384.5030606846908</v>
      </c>
      <c r="Z112" s="188"/>
      <c r="AA112" s="188"/>
      <c r="AB112" s="188"/>
      <c r="AC112" s="188"/>
      <c r="AD112" s="188"/>
      <c r="AE112" s="188"/>
      <c r="AF112" s="188"/>
      <c r="AG112" s="188"/>
      <c r="AH112" s="188"/>
      <c r="AI112" s="188"/>
      <c r="AJ112" s="171"/>
    </row>
    <row r="113" spans="1:36" x14ac:dyDescent="0.2">
      <c r="A113" s="174">
        <v>3</v>
      </c>
      <c r="B113" s="174"/>
      <c r="C113" s="174">
        <f>293.1-C112-C111</f>
        <v>87.500000000000028</v>
      </c>
      <c r="D113" s="174">
        <f>250.2-D112-D111</f>
        <v>73.599999999999994</v>
      </c>
      <c r="E113" s="174"/>
      <c r="F113" s="174"/>
      <c r="G113" s="174"/>
      <c r="H113" s="171"/>
      <c r="I113" s="178">
        <v>90.6</v>
      </c>
      <c r="J113" s="171">
        <v>3</v>
      </c>
      <c r="K113" s="171"/>
      <c r="L113" s="179">
        <v>11766</v>
      </c>
      <c r="M113" s="178">
        <v>132.79999999999998</v>
      </c>
      <c r="N113" s="178">
        <f t="shared" si="4"/>
        <v>222.24456217807207</v>
      </c>
      <c r="O113" s="179">
        <v>6675</v>
      </c>
      <c r="P113" s="198">
        <v>388.50000000000023</v>
      </c>
      <c r="Q113" s="198">
        <f t="shared" si="2"/>
        <v>650.16575607064044</v>
      </c>
      <c r="R113" s="199">
        <v>14800</v>
      </c>
      <c r="S113" s="198">
        <v>216.89999999999998</v>
      </c>
      <c r="T113" s="198">
        <f t="shared" si="3"/>
        <v>362.98829470198666</v>
      </c>
      <c r="U113" s="188"/>
      <c r="V113" s="191" t="s">
        <v>86</v>
      </c>
      <c r="W113" s="196">
        <f>IF('Tab7'!C40="",+'Tab7'!C39+'Tab11'!C39,+'Tab7'!C40+'Tab11'!C40)</f>
        <v>1029.1484993670574</v>
      </c>
      <c r="X113" s="196">
        <f>IF('Tab7'!D40="",+'Tab7'!D39+'Tab11'!D39,+'Tab7'!D40+'Tab11'!D40)</f>
        <v>1175.3156799844853</v>
      </c>
      <c r="Y113" s="196">
        <f>IF('Tab7'!E40="",+'Tab7'!E39+'Tab11'!E39,+'Tab7'!E40+'Tab11'!E40)</f>
        <v>1151.1138601930163</v>
      </c>
      <c r="Z113" s="188"/>
      <c r="AA113" s="188"/>
      <c r="AB113" s="188"/>
      <c r="AC113" s="188"/>
      <c r="AD113" s="188"/>
      <c r="AE113" s="188"/>
      <c r="AF113" s="188"/>
      <c r="AG113" s="188"/>
      <c r="AH113" s="188"/>
      <c r="AI113" s="188"/>
      <c r="AJ113" s="171"/>
    </row>
    <row r="114" spans="1:36" x14ac:dyDescent="0.2">
      <c r="A114" s="174">
        <v>4</v>
      </c>
      <c r="B114" s="174"/>
      <c r="C114" s="174">
        <f>413.2-C113-C112-C111</f>
        <v>120.09999999999994</v>
      </c>
      <c r="D114" s="174">
        <f>356.8-D113-D112-D111</f>
        <v>106.60000000000005</v>
      </c>
      <c r="E114" s="174"/>
      <c r="F114" s="174"/>
      <c r="G114" s="174"/>
      <c r="H114" s="171"/>
      <c r="I114" s="178">
        <v>91</v>
      </c>
      <c r="J114" s="171">
        <v>4</v>
      </c>
      <c r="K114" s="171"/>
      <c r="L114" s="179">
        <v>12707</v>
      </c>
      <c r="M114" s="178">
        <v>157.79999999999995</v>
      </c>
      <c r="N114" s="178">
        <f t="shared" si="4"/>
        <v>262.9219670329669</v>
      </c>
      <c r="O114" s="179">
        <v>6319</v>
      </c>
      <c r="P114" s="198">
        <v>466.99999999999977</v>
      </c>
      <c r="Q114" s="198">
        <f t="shared" si="2"/>
        <v>778.10239926739882</v>
      </c>
      <c r="R114" s="199">
        <v>11391</v>
      </c>
      <c r="S114" s="198">
        <v>164.5</v>
      </c>
      <c r="T114" s="198">
        <f t="shared" si="3"/>
        <v>274.08532051282049</v>
      </c>
      <c r="U114" s="188"/>
      <c r="V114" s="191" t="s">
        <v>63</v>
      </c>
      <c r="W114" s="196">
        <f>IF('Tab7'!C42="",+'Tab7'!C41+'Tab11'!C41,+'Tab7'!C42+'Tab11'!C42)</f>
        <v>141.14965613066772</v>
      </c>
      <c r="X114" s="196">
        <f>IF('Tab7'!D42="",+'Tab7'!D41+'Tab11'!D41,+'Tab7'!D42+'Tab11'!D42)</f>
        <v>116.18628528648252</v>
      </c>
      <c r="Y114" s="196">
        <f>IF('Tab7'!E42="",+'Tab7'!E41+'Tab11'!E41,+'Tab7'!E42+'Tab11'!E42)</f>
        <v>122.43916062391185</v>
      </c>
      <c r="Z114" s="188"/>
      <c r="AA114" s="188"/>
      <c r="AB114" s="188"/>
      <c r="AC114" s="188"/>
      <c r="AD114" s="188"/>
      <c r="AE114" s="188"/>
      <c r="AF114" s="188"/>
      <c r="AG114" s="188"/>
      <c r="AH114" s="188"/>
      <c r="AI114" s="188"/>
      <c r="AJ114" s="171"/>
    </row>
    <row r="115" spans="1:36" x14ac:dyDescent="0.2">
      <c r="A115" s="174">
        <v>1</v>
      </c>
      <c r="B115" s="174">
        <v>1994</v>
      </c>
      <c r="C115" s="174">
        <v>138.4</v>
      </c>
      <c r="D115" s="174">
        <v>120</v>
      </c>
      <c r="E115" s="174"/>
      <c r="F115" s="174"/>
      <c r="G115" s="174"/>
      <c r="H115" s="171"/>
      <c r="I115" s="178">
        <v>91</v>
      </c>
      <c r="J115" s="171">
        <v>1</v>
      </c>
      <c r="K115" s="171">
        <v>1994</v>
      </c>
      <c r="L115" s="179">
        <v>15224</v>
      </c>
      <c r="M115" s="178">
        <v>189</v>
      </c>
      <c r="N115" s="178">
        <f t="shared" si="4"/>
        <v>314.90653846153845</v>
      </c>
      <c r="O115" s="179">
        <v>6291</v>
      </c>
      <c r="P115" s="198">
        <v>427.6</v>
      </c>
      <c r="Q115" s="198">
        <f t="shared" si="2"/>
        <v>712.45521611721608</v>
      </c>
      <c r="R115" s="199">
        <v>8795</v>
      </c>
      <c r="S115" s="198">
        <v>161.69999999999999</v>
      </c>
      <c r="T115" s="198">
        <f t="shared" si="3"/>
        <v>269.42003846153841</v>
      </c>
      <c r="U115" s="188"/>
      <c r="V115" s="191" t="s">
        <v>14</v>
      </c>
      <c r="W115" s="201">
        <f>+W117-SUM(W112:W114)</f>
        <v>884.2397077959763</v>
      </c>
      <c r="X115" s="201">
        <f>+X117-SUM(X112:X114)</f>
        <v>1160.0153646972467</v>
      </c>
      <c r="Y115" s="201">
        <f>+Y117-SUM(Y112:Y114)</f>
        <v>1130.2250748015044</v>
      </c>
      <c r="Z115" s="188"/>
      <c r="AA115" s="188"/>
      <c r="AB115" s="188"/>
      <c r="AC115" s="188"/>
      <c r="AD115" s="188"/>
      <c r="AE115" s="188"/>
      <c r="AF115" s="188"/>
      <c r="AG115" s="188"/>
      <c r="AH115" s="188"/>
      <c r="AI115" s="188"/>
      <c r="AJ115" s="171"/>
    </row>
    <row r="116" spans="1:36" x14ac:dyDescent="0.2">
      <c r="A116" s="174">
        <v>2</v>
      </c>
      <c r="B116" s="174"/>
      <c r="C116" s="174">
        <f>252.9-C115</f>
        <v>114.5</v>
      </c>
      <c r="D116" s="174">
        <f>218.1-D115</f>
        <v>98.1</v>
      </c>
      <c r="E116" s="174"/>
      <c r="F116" s="174"/>
      <c r="G116" s="174"/>
      <c r="H116" s="171"/>
      <c r="I116" s="178">
        <v>91.7</v>
      </c>
      <c r="J116" s="171">
        <v>2</v>
      </c>
      <c r="K116" s="171"/>
      <c r="L116" s="179">
        <v>13585</v>
      </c>
      <c r="M116" s="178">
        <v>166.5</v>
      </c>
      <c r="N116" s="178">
        <f t="shared" si="4"/>
        <v>275.29997273718641</v>
      </c>
      <c r="O116" s="179">
        <v>5517</v>
      </c>
      <c r="P116" s="198">
        <v>494.30000000000007</v>
      </c>
      <c r="Q116" s="198">
        <f t="shared" si="2"/>
        <v>817.30196110505267</v>
      </c>
      <c r="R116" s="199">
        <v>13449</v>
      </c>
      <c r="S116" s="198">
        <v>196.2</v>
      </c>
      <c r="T116" s="198">
        <f t="shared" si="3"/>
        <v>324.4075354416575</v>
      </c>
      <c r="U116" s="188"/>
      <c r="V116" s="191"/>
      <c r="W116" s="196"/>
      <c r="X116" s="196"/>
      <c r="Y116" s="196"/>
      <c r="Z116" s="188"/>
      <c r="AA116" s="188"/>
      <c r="AB116" s="188"/>
      <c r="AC116" s="188"/>
      <c r="AD116" s="188"/>
      <c r="AE116" s="188"/>
      <c r="AF116" s="188"/>
      <c r="AG116" s="188"/>
      <c r="AH116" s="188"/>
      <c r="AI116" s="188"/>
      <c r="AJ116" s="171"/>
    </row>
    <row r="117" spans="1:36" x14ac:dyDescent="0.2">
      <c r="A117" s="174">
        <v>3</v>
      </c>
      <c r="B117" s="174"/>
      <c r="C117" s="174">
        <f>365.7-C115-C116</f>
        <v>112.79999999999998</v>
      </c>
      <c r="D117" s="174">
        <f>316.9-D115-D116</f>
        <v>98.799999999999983</v>
      </c>
      <c r="E117" s="174"/>
      <c r="F117" s="174"/>
      <c r="G117" s="174"/>
      <c r="H117" s="171"/>
      <c r="I117" s="178">
        <v>92.1</v>
      </c>
      <c r="J117" s="171">
        <v>3</v>
      </c>
      <c r="K117" s="171"/>
      <c r="L117" s="179">
        <v>13956</v>
      </c>
      <c r="M117" s="178">
        <v>169.89999999999998</v>
      </c>
      <c r="N117" s="178">
        <f t="shared" si="4"/>
        <v>279.70164133188558</v>
      </c>
      <c r="O117" s="179">
        <v>8952</v>
      </c>
      <c r="P117" s="198">
        <v>425.5</v>
      </c>
      <c r="Q117" s="198">
        <f t="shared" si="2"/>
        <v>700.48880745566407</v>
      </c>
      <c r="R117" s="199">
        <v>15669</v>
      </c>
      <c r="S117" s="198">
        <v>219.80000000000007</v>
      </c>
      <c r="T117" s="198">
        <f t="shared" si="3"/>
        <v>361.85062251176265</v>
      </c>
      <c r="U117" s="188"/>
      <c r="V117" s="191" t="s">
        <v>87</v>
      </c>
      <c r="W117" s="196">
        <f>IF('Tab7'!C36="",+'Tab7'!C35+'Tab11'!C35,+'Tab7'!C36+'Tab11'!C36)</f>
        <v>3350.9847416305915</v>
      </c>
      <c r="X117" s="196">
        <f>IF('Tab7'!D36="",+'Tab7'!D35+'Tab11'!D35,+'Tab7'!D36+'Tab11'!D36)</f>
        <v>3713.1176918263654</v>
      </c>
      <c r="Y117" s="196">
        <f>IF('Tab7'!E36="",+'Tab7'!E35+'Tab11'!E35,+'Tab7'!E36+'Tab11'!E36)</f>
        <v>3788.2811563031237</v>
      </c>
      <c r="Z117" s="188"/>
      <c r="AA117" s="188"/>
      <c r="AB117" s="188"/>
      <c r="AC117" s="188"/>
      <c r="AD117" s="188"/>
      <c r="AE117" s="188"/>
      <c r="AF117" s="188"/>
      <c r="AG117" s="188"/>
      <c r="AH117" s="188"/>
      <c r="AI117" s="188"/>
      <c r="AJ117" s="171"/>
    </row>
    <row r="118" spans="1:36" x14ac:dyDescent="0.2">
      <c r="A118" s="174">
        <v>4</v>
      </c>
      <c r="B118" s="174"/>
      <c r="C118" s="174">
        <f>480.2-C115-C116-C117</f>
        <v>114.49999999999997</v>
      </c>
      <c r="D118" s="174">
        <f>417.1-D115-D116-D117</f>
        <v>100.20000000000005</v>
      </c>
      <c r="E118" s="174"/>
      <c r="F118" s="174"/>
      <c r="G118" s="174"/>
      <c r="H118" s="171"/>
      <c r="I118" s="178">
        <v>92.6</v>
      </c>
      <c r="J118" s="171">
        <v>4</v>
      </c>
      <c r="K118" s="171"/>
      <c r="L118" s="179">
        <v>14006</v>
      </c>
      <c r="M118" s="178">
        <v>140.80000000000007</v>
      </c>
      <c r="N118" s="178">
        <f t="shared" si="4"/>
        <v>230.54352771778264</v>
      </c>
      <c r="O118" s="179">
        <v>8189</v>
      </c>
      <c r="P118" s="198">
        <v>390.59999999999991</v>
      </c>
      <c r="Q118" s="198">
        <f t="shared" si="2"/>
        <v>639.56180345572341</v>
      </c>
      <c r="R118" s="199">
        <v>14139</v>
      </c>
      <c r="S118" s="198">
        <v>214.39999999999998</v>
      </c>
      <c r="T118" s="198">
        <f t="shared" si="3"/>
        <v>351.05491720662337</v>
      </c>
      <c r="U118" s="188"/>
      <c r="V118" s="191"/>
      <c r="W118" s="188"/>
      <c r="X118" s="191"/>
      <c r="Y118" s="188"/>
      <c r="Z118" s="188"/>
      <c r="AA118" s="188"/>
      <c r="AB118" s="188"/>
      <c r="AC118" s="188"/>
      <c r="AD118" s="188"/>
      <c r="AE118" s="188"/>
      <c r="AF118" s="188"/>
      <c r="AG118" s="188"/>
      <c r="AH118" s="188"/>
      <c r="AI118" s="188"/>
      <c r="AJ118" s="171"/>
    </row>
    <row r="119" spans="1:36" x14ac:dyDescent="0.2">
      <c r="A119" s="174">
        <v>1</v>
      </c>
      <c r="B119" s="174">
        <v>1995</v>
      </c>
      <c r="C119" s="174">
        <v>137.19999999999999</v>
      </c>
      <c r="D119" s="174">
        <v>119.3</v>
      </c>
      <c r="E119" s="174"/>
      <c r="F119" s="174"/>
      <c r="G119" s="174"/>
      <c r="H119" s="171"/>
      <c r="I119" s="178">
        <v>93.4</v>
      </c>
      <c r="J119" s="171">
        <v>1</v>
      </c>
      <c r="K119" s="171">
        <v>1995</v>
      </c>
      <c r="L119" s="179">
        <v>13188</v>
      </c>
      <c r="M119" s="178">
        <v>171.1</v>
      </c>
      <c r="N119" s="178">
        <f t="shared" si="4"/>
        <v>277.75660778015697</v>
      </c>
      <c r="O119" s="179">
        <v>7699</v>
      </c>
      <c r="P119" s="198">
        <v>543</v>
      </c>
      <c r="Q119" s="198">
        <f t="shared" si="2"/>
        <v>881.48356531049239</v>
      </c>
      <c r="R119" s="199">
        <v>11007</v>
      </c>
      <c r="S119" s="198">
        <v>183.1</v>
      </c>
      <c r="T119" s="198">
        <f t="shared" si="3"/>
        <v>297.23690756602423</v>
      </c>
      <c r="U119" s="188"/>
      <c r="V119" s="190" t="s">
        <v>180</v>
      </c>
      <c r="W119" s="188"/>
      <c r="X119" s="188"/>
      <c r="Y119" s="188"/>
      <c r="Z119" s="188"/>
      <c r="AA119" s="188"/>
      <c r="AB119" s="188"/>
      <c r="AC119" s="188"/>
      <c r="AD119" s="188"/>
      <c r="AE119" s="188"/>
      <c r="AF119" s="188"/>
      <c r="AG119" s="188"/>
      <c r="AH119" s="188"/>
      <c r="AI119" s="188"/>
      <c r="AJ119" s="171"/>
    </row>
    <row r="120" spans="1:36" x14ac:dyDescent="0.2">
      <c r="A120" s="174">
        <v>2</v>
      </c>
      <c r="B120" s="174"/>
      <c r="C120" s="174">
        <f>248.2-C119</f>
        <v>111</v>
      </c>
      <c r="D120" s="174">
        <f>214.7-D119</f>
        <v>95.399999999999991</v>
      </c>
      <c r="E120" s="174"/>
      <c r="F120" s="174"/>
      <c r="G120" s="174"/>
      <c r="H120" s="171"/>
      <c r="I120" s="178">
        <v>94.1</v>
      </c>
      <c r="J120" s="171">
        <v>2</v>
      </c>
      <c r="K120" s="171"/>
      <c r="L120" s="179">
        <v>11077</v>
      </c>
      <c r="M120" s="178">
        <v>148.30000000000004</v>
      </c>
      <c r="N120" s="178">
        <f t="shared" si="4"/>
        <v>238.95316861494868</v>
      </c>
      <c r="O120" s="179">
        <v>5465</v>
      </c>
      <c r="P120" s="198">
        <v>462.40000000000009</v>
      </c>
      <c r="Q120" s="198">
        <f t="shared" si="2"/>
        <v>745.05694651080421</v>
      </c>
      <c r="R120" s="199">
        <v>13915</v>
      </c>
      <c r="S120" s="198">
        <v>213.4</v>
      </c>
      <c r="T120" s="198">
        <f t="shared" si="3"/>
        <v>343.84764789231309</v>
      </c>
      <c r="U120" s="188"/>
      <c r="V120" s="188"/>
      <c r="W120" s="188"/>
      <c r="X120" s="188"/>
      <c r="Y120" s="188"/>
      <c r="Z120" s="188"/>
      <c r="AA120" s="188"/>
      <c r="AB120" s="188"/>
      <c r="AC120" s="188"/>
      <c r="AD120" s="188"/>
      <c r="AE120" s="188"/>
      <c r="AF120" s="188"/>
      <c r="AG120" s="188"/>
      <c r="AH120" s="188"/>
      <c r="AI120" s="188"/>
      <c r="AJ120" s="171"/>
    </row>
    <row r="121" spans="1:36" x14ac:dyDescent="0.2">
      <c r="A121" s="174">
        <v>3</v>
      </c>
      <c r="B121" s="174"/>
      <c r="C121" s="174">
        <f>364.1-C119-C120</f>
        <v>115.90000000000003</v>
      </c>
      <c r="D121" s="174">
        <f>315.7-D119-D120</f>
        <v>100.99999999999999</v>
      </c>
      <c r="E121" s="174"/>
      <c r="F121" s="174"/>
      <c r="G121" s="174"/>
      <c r="H121" s="171"/>
      <c r="I121" s="178">
        <v>94.1</v>
      </c>
      <c r="J121" s="171">
        <v>3</v>
      </c>
      <c r="K121" s="171"/>
      <c r="L121" s="179">
        <v>13937</v>
      </c>
      <c r="M121" s="178">
        <v>180.19999999999993</v>
      </c>
      <c r="N121" s="178">
        <f t="shared" si="4"/>
        <v>290.35307474318085</v>
      </c>
      <c r="O121" s="179">
        <v>9139</v>
      </c>
      <c r="P121" s="198">
        <v>487.89999999999986</v>
      </c>
      <c r="Q121" s="198">
        <f t="shared" si="2"/>
        <v>786.14464576691432</v>
      </c>
      <c r="R121" s="199">
        <v>17436</v>
      </c>
      <c r="S121" s="198">
        <v>224.09999999999991</v>
      </c>
      <c r="T121" s="198">
        <f t="shared" si="3"/>
        <v>361.08836875664167</v>
      </c>
      <c r="U121" s="188"/>
      <c r="V121" s="191"/>
      <c r="W121" s="193" t="str">
        <f>+'Tab3'!C6</f>
        <v>2017</v>
      </c>
      <c r="X121" s="193" t="str">
        <f>+'Tab3'!D6</f>
        <v>2018</v>
      </c>
      <c r="Y121" s="193" t="str">
        <f>+'Tab3'!E6</f>
        <v>2019</v>
      </c>
      <c r="Z121" s="188"/>
      <c r="AA121" s="188"/>
      <c r="AB121" s="188"/>
      <c r="AC121" s="188"/>
      <c r="AD121" s="188"/>
      <c r="AE121" s="188"/>
      <c r="AF121" s="188"/>
      <c r="AG121" s="188"/>
      <c r="AH121" s="188"/>
      <c r="AI121" s="188"/>
      <c r="AJ121" s="171"/>
    </row>
    <row r="122" spans="1:36" x14ac:dyDescent="0.2">
      <c r="A122" s="174">
        <v>4</v>
      </c>
      <c r="B122" s="174"/>
      <c r="C122" s="174">
        <f>482.9-C119-C120-C121</f>
        <v>118.79999999999995</v>
      </c>
      <c r="D122" s="174">
        <f>420.1-D119-D120-D121</f>
        <v>104.40000000000005</v>
      </c>
      <c r="E122" s="174"/>
      <c r="F122" s="174"/>
      <c r="G122" s="174"/>
      <c r="H122" s="171"/>
      <c r="I122" s="178">
        <v>94.6</v>
      </c>
      <c r="J122" s="171">
        <v>4</v>
      </c>
      <c r="K122" s="171"/>
      <c r="L122" s="179">
        <v>13920</v>
      </c>
      <c r="M122" s="178">
        <v>172.00000000000006</v>
      </c>
      <c r="N122" s="178">
        <f t="shared" si="4"/>
        <v>275.67575757575764</v>
      </c>
      <c r="O122" s="179">
        <v>7500</v>
      </c>
      <c r="P122" s="198">
        <v>369.89999999999986</v>
      </c>
      <c r="Q122" s="198">
        <f t="shared" si="2"/>
        <v>592.86315539112024</v>
      </c>
      <c r="R122" s="199">
        <v>15130</v>
      </c>
      <c r="S122" s="198">
        <v>206.30000000000018</v>
      </c>
      <c r="T122" s="198">
        <f t="shared" si="3"/>
        <v>330.65063248766762</v>
      </c>
      <c r="U122" s="188"/>
      <c r="V122" s="191" t="s">
        <v>10</v>
      </c>
      <c r="W122" s="193">
        <f>IF('Tab3'!C22="",'Tab3'!C29,'Tab3'!C30)</f>
        <v>83111</v>
      </c>
      <c r="X122" s="193">
        <f>IF('Tab3'!D22="",'Tab3'!D29,'Tab3'!D30)</f>
        <v>76206</v>
      </c>
      <c r="Y122" s="193">
        <f>IF('Tab3'!E22="",'Tab3'!E29,'Tab3'!E30)</f>
        <v>80844</v>
      </c>
      <c r="Z122" s="188"/>
      <c r="AA122" s="188"/>
      <c r="AB122" s="188"/>
      <c r="AC122" s="188"/>
      <c r="AD122" s="188"/>
      <c r="AE122" s="188"/>
      <c r="AF122" s="188"/>
      <c r="AG122" s="188"/>
      <c r="AH122" s="188"/>
      <c r="AI122" s="188"/>
      <c r="AJ122" s="171"/>
    </row>
    <row r="123" spans="1:36" x14ac:dyDescent="0.2">
      <c r="A123" s="174">
        <v>1</v>
      </c>
      <c r="B123" s="174">
        <v>1996</v>
      </c>
      <c r="C123" s="174">
        <v>143.9</v>
      </c>
      <c r="D123" s="174">
        <v>126.9</v>
      </c>
      <c r="E123" s="174"/>
      <c r="F123" s="174"/>
      <c r="G123" s="174"/>
      <c r="H123" s="171"/>
      <c r="I123" s="178">
        <v>94.2</v>
      </c>
      <c r="J123" s="171">
        <v>1</v>
      </c>
      <c r="K123" s="171">
        <v>1996</v>
      </c>
      <c r="L123" s="179">
        <v>29850</v>
      </c>
      <c r="M123" s="178">
        <v>375.59999999999997</v>
      </c>
      <c r="N123" s="178">
        <f t="shared" si="4"/>
        <v>604.55518046709108</v>
      </c>
      <c r="O123" s="179">
        <v>7239</v>
      </c>
      <c r="P123" s="198">
        <v>479.9</v>
      </c>
      <c r="Q123" s="198">
        <f t="shared" si="2"/>
        <v>772.43352264685052</v>
      </c>
      <c r="R123" s="199">
        <v>11785</v>
      </c>
      <c r="S123" s="198">
        <v>198.60000000000002</v>
      </c>
      <c r="T123" s="198">
        <f t="shared" si="3"/>
        <v>319.66096602972397</v>
      </c>
      <c r="U123" s="188"/>
      <c r="V123" s="188" t="s">
        <v>111</v>
      </c>
      <c r="W123" s="193">
        <f>IF('Tab9'!C8="",'Tab9'!C7,'Tab9'!C8)</f>
        <v>28116.800986039172</v>
      </c>
      <c r="X123" s="193">
        <f>IF('Tab9'!D8="",'Tab9'!D7,'Tab9'!D8)</f>
        <v>33394.176842986446</v>
      </c>
      <c r="Y123" s="193">
        <f>IF('Tab9'!E8="",'Tab9'!E7,'Tab9'!E8)</f>
        <v>31302.909694972008</v>
      </c>
      <c r="Z123" s="188"/>
      <c r="AA123" s="188"/>
      <c r="AB123" s="188"/>
      <c r="AC123" s="188"/>
      <c r="AD123" s="188"/>
      <c r="AE123" s="188"/>
      <c r="AF123" s="188"/>
      <c r="AG123" s="188"/>
      <c r="AH123" s="188"/>
      <c r="AI123" s="188"/>
      <c r="AJ123" s="171"/>
    </row>
    <row r="124" spans="1:36" x14ac:dyDescent="0.2">
      <c r="A124" s="174">
        <v>2</v>
      </c>
      <c r="B124" s="174"/>
      <c r="C124" s="174">
        <f>275.5-C123</f>
        <v>131.6</v>
      </c>
      <c r="D124" s="174">
        <f>242.6-D123</f>
        <v>115.69999999999999</v>
      </c>
      <c r="E124" s="174"/>
      <c r="F124" s="174"/>
      <c r="G124" s="174"/>
      <c r="H124" s="171"/>
      <c r="I124" s="178">
        <v>95.1</v>
      </c>
      <c r="J124" s="171">
        <v>2</v>
      </c>
      <c r="K124" s="171"/>
      <c r="L124" s="179">
        <v>17799</v>
      </c>
      <c r="M124" s="178">
        <v>234.8</v>
      </c>
      <c r="N124" s="178">
        <f t="shared" si="4"/>
        <v>374.35086575534524</v>
      </c>
      <c r="O124" s="179">
        <v>6503</v>
      </c>
      <c r="P124" s="198">
        <v>585.30000000000007</v>
      </c>
      <c r="Q124" s="198">
        <f t="shared" si="2"/>
        <v>933.1667875920084</v>
      </c>
      <c r="R124" s="199">
        <v>14642</v>
      </c>
      <c r="S124" s="198">
        <v>220.09999999999997</v>
      </c>
      <c r="T124" s="198">
        <f t="shared" si="3"/>
        <v>350.91407816333674</v>
      </c>
      <c r="U124" s="188"/>
      <c r="V124" s="188" t="s">
        <v>110</v>
      </c>
      <c r="W124" s="193">
        <f>IF('Tab8'!C8="",'Tab8'!C7,'Tab8'!C8)</f>
        <v>36252.135017270091</v>
      </c>
      <c r="X124" s="193">
        <f>IF('Tab8'!D8="",'Tab8'!D7,'Tab8'!D8)</f>
        <v>34728.323898219358</v>
      </c>
      <c r="Y124" s="193">
        <f>IF('Tab8'!E8="",'Tab8'!E7,'Tab8'!E8)</f>
        <v>46049.703657196675</v>
      </c>
      <c r="Z124" s="188"/>
      <c r="AA124" s="188"/>
      <c r="AB124" s="188"/>
      <c r="AC124" s="188"/>
      <c r="AD124" s="188"/>
      <c r="AE124" s="188"/>
      <c r="AF124" s="188"/>
      <c r="AG124" s="188"/>
      <c r="AH124" s="188"/>
      <c r="AI124" s="188"/>
      <c r="AJ124" s="171"/>
    </row>
    <row r="125" spans="1:36" x14ac:dyDescent="0.2">
      <c r="A125" s="174">
        <v>3</v>
      </c>
      <c r="B125" s="174"/>
      <c r="C125" s="174">
        <f>387.5-C123-C124</f>
        <v>112</v>
      </c>
      <c r="D125" s="174">
        <f>339.3-D123-D124</f>
        <v>96.700000000000017</v>
      </c>
      <c r="E125" s="174"/>
      <c r="F125" s="174"/>
      <c r="G125" s="174"/>
      <c r="H125" s="171"/>
      <c r="I125" s="178">
        <v>95.5</v>
      </c>
      <c r="J125" s="171">
        <v>3</v>
      </c>
      <c r="K125" s="171"/>
      <c r="L125" s="179">
        <v>16263</v>
      </c>
      <c r="M125" s="178">
        <v>240.00000000000011</v>
      </c>
      <c r="N125" s="178">
        <f t="shared" si="4"/>
        <v>381.03874345549752</v>
      </c>
      <c r="O125" s="179">
        <v>8934</v>
      </c>
      <c r="P125" s="198">
        <v>581.89999999999986</v>
      </c>
      <c r="Q125" s="198">
        <f t="shared" si="2"/>
        <v>923.86018673647436</v>
      </c>
      <c r="R125" s="199">
        <v>17198</v>
      </c>
      <c r="S125" s="198">
        <v>233.2</v>
      </c>
      <c r="T125" s="198">
        <f t="shared" si="3"/>
        <v>370.24264572425824</v>
      </c>
      <c r="U125" s="188"/>
      <c r="V125" s="191" t="s">
        <v>169</v>
      </c>
      <c r="W125" s="193">
        <f>IF('Tab3'!C16="",'Tab3'!C15,'Tab3'!C16)</f>
        <v>10382.715628412167</v>
      </c>
      <c r="X125" s="193">
        <f>IF('Tab3'!D16="",'Tab3'!D15,'Tab3'!D16)</f>
        <v>12011.183150183149</v>
      </c>
      <c r="Y125" s="193">
        <f>IF('Tab3'!E16="",'Tab3'!E15,'Tab3'!E16)</f>
        <v>12659.963847746456</v>
      </c>
      <c r="Z125" s="188"/>
      <c r="AA125" s="188"/>
      <c r="AB125" s="188"/>
      <c r="AC125" s="188"/>
      <c r="AD125" s="188"/>
      <c r="AE125" s="188"/>
      <c r="AF125" s="188"/>
      <c r="AG125" s="188"/>
      <c r="AH125" s="188"/>
      <c r="AI125" s="188"/>
      <c r="AJ125" s="171"/>
    </row>
    <row r="126" spans="1:36" x14ac:dyDescent="0.2">
      <c r="A126" s="174">
        <v>4</v>
      </c>
      <c r="B126" s="174"/>
      <c r="C126" s="174">
        <f>520-C123-C124-C125</f>
        <v>132.50000000000003</v>
      </c>
      <c r="D126" s="174">
        <f>452.4-D123-D124-D125</f>
        <v>113.1</v>
      </c>
      <c r="E126" s="174"/>
      <c r="F126" s="174"/>
      <c r="G126" s="174"/>
      <c r="H126" s="171"/>
      <c r="I126" s="178">
        <v>96.3</v>
      </c>
      <c r="J126" s="171">
        <v>4</v>
      </c>
      <c r="K126" s="171"/>
      <c r="L126" s="179">
        <v>16638</v>
      </c>
      <c r="M126" s="178">
        <v>233.40000000000009</v>
      </c>
      <c r="N126" s="178">
        <f t="shared" si="4"/>
        <v>367.48179646936666</v>
      </c>
      <c r="O126" s="179">
        <v>7966</v>
      </c>
      <c r="P126" s="198">
        <v>665.80000000000018</v>
      </c>
      <c r="Q126" s="198">
        <f t="shared" si="2"/>
        <v>1048.2835479404639</v>
      </c>
      <c r="R126" s="199">
        <v>13841</v>
      </c>
      <c r="S126" s="198">
        <v>188.00000000000011</v>
      </c>
      <c r="T126" s="198">
        <f t="shared" si="3"/>
        <v>296.00076150917289</v>
      </c>
      <c r="U126" s="188"/>
      <c r="V126" s="188"/>
      <c r="W126" s="188"/>
      <c r="X126" s="188"/>
      <c r="Y126" s="188"/>
      <c r="Z126" s="188"/>
      <c r="AA126" s="188"/>
      <c r="AB126" s="188"/>
      <c r="AC126" s="188"/>
      <c r="AD126" s="188"/>
      <c r="AE126" s="188"/>
      <c r="AF126" s="188"/>
      <c r="AG126" s="188"/>
      <c r="AH126" s="188"/>
      <c r="AI126" s="188"/>
      <c r="AJ126" s="171"/>
    </row>
    <row r="127" spans="1:36" x14ac:dyDescent="0.2">
      <c r="A127" s="174">
        <v>1</v>
      </c>
      <c r="B127" s="174">
        <v>1997</v>
      </c>
      <c r="C127" s="174">
        <v>142.6</v>
      </c>
      <c r="D127" s="174">
        <v>124.8</v>
      </c>
      <c r="E127" s="174"/>
      <c r="F127" s="174"/>
      <c r="G127" s="174"/>
      <c r="H127" s="171"/>
      <c r="I127" s="178">
        <v>97.3</v>
      </c>
      <c r="J127" s="171">
        <v>1</v>
      </c>
      <c r="K127" s="171">
        <v>1997</v>
      </c>
      <c r="L127" s="179">
        <v>17837</v>
      </c>
      <c r="M127" s="178">
        <v>255.29999999999998</v>
      </c>
      <c r="N127" s="178">
        <f t="shared" si="4"/>
        <v>397.83156731757447</v>
      </c>
      <c r="O127" s="179">
        <v>7574</v>
      </c>
      <c r="P127" s="198">
        <v>625.70000000000005</v>
      </c>
      <c r="Q127" s="198">
        <f t="shared" si="2"/>
        <v>975.0223723878039</v>
      </c>
      <c r="R127" s="199">
        <v>10571</v>
      </c>
      <c r="S127" s="198">
        <v>187.8</v>
      </c>
      <c r="T127" s="198">
        <f t="shared" si="3"/>
        <v>292.64695786228157</v>
      </c>
      <c r="U127" s="188"/>
      <c r="V127" s="190" t="s">
        <v>181</v>
      </c>
      <c r="W127" s="188"/>
      <c r="X127" s="188"/>
      <c r="Y127" s="188"/>
      <c r="Z127" s="188"/>
      <c r="AA127" s="188"/>
      <c r="AB127" s="188"/>
      <c r="AC127" s="188"/>
      <c r="AD127" s="188"/>
      <c r="AE127" s="188"/>
      <c r="AF127" s="188"/>
      <c r="AG127" s="188"/>
      <c r="AH127" s="188"/>
      <c r="AI127" s="188"/>
      <c r="AJ127" s="171"/>
    </row>
    <row r="128" spans="1:36" x14ac:dyDescent="0.2">
      <c r="A128" s="174">
        <v>2</v>
      </c>
      <c r="B128" s="174"/>
      <c r="C128" s="174">
        <f>284.4-C127</f>
        <v>141.79999999999998</v>
      </c>
      <c r="D128" s="174">
        <f>247.3-D127</f>
        <v>122.50000000000001</v>
      </c>
      <c r="E128" s="174"/>
      <c r="F128" s="174"/>
      <c r="G128" s="174"/>
      <c r="H128" s="171"/>
      <c r="I128" s="178">
        <v>97.7</v>
      </c>
      <c r="J128" s="171">
        <v>2</v>
      </c>
      <c r="K128" s="171"/>
      <c r="L128" s="179">
        <v>16872</v>
      </c>
      <c r="M128" s="178">
        <v>281.30000000000007</v>
      </c>
      <c r="N128" s="178">
        <f t="shared" si="4"/>
        <v>436.55245479358587</v>
      </c>
      <c r="O128" s="179">
        <v>7284</v>
      </c>
      <c r="P128" s="198">
        <v>664.39999999999986</v>
      </c>
      <c r="Q128" s="198">
        <f t="shared" si="2"/>
        <v>1031.0894097577614</v>
      </c>
      <c r="R128" s="199">
        <v>14837</v>
      </c>
      <c r="S128" s="198">
        <v>224.59999999999997</v>
      </c>
      <c r="T128" s="198">
        <f t="shared" si="3"/>
        <v>348.55912316615473</v>
      </c>
      <c r="U128" s="188"/>
      <c r="V128" s="188"/>
      <c r="W128" s="193" t="str">
        <f>+'Tab3'!C6</f>
        <v>2017</v>
      </c>
      <c r="X128" s="193" t="str">
        <f>+'Tab3'!D6</f>
        <v>2018</v>
      </c>
      <c r="Y128" s="193" t="str">
        <f>+'Tab3'!E6</f>
        <v>2019</v>
      </c>
      <c r="Z128" s="188"/>
      <c r="AA128" s="188"/>
      <c r="AB128" s="188"/>
      <c r="AC128" s="188"/>
      <c r="AD128" s="188"/>
      <c r="AE128" s="188"/>
      <c r="AF128" s="188"/>
      <c r="AG128" s="188"/>
      <c r="AH128" s="188"/>
      <c r="AI128" s="188"/>
      <c r="AJ128" s="171"/>
    </row>
    <row r="129" spans="1:36" x14ac:dyDescent="0.2">
      <c r="A129" s="174">
        <v>3</v>
      </c>
      <c r="B129" s="174"/>
      <c r="C129" s="174">
        <f>419.8-C127-C128</f>
        <v>135.40000000000006</v>
      </c>
      <c r="D129" s="174">
        <f>364.6-D127-D128</f>
        <v>117.3</v>
      </c>
      <c r="E129" s="174"/>
      <c r="F129" s="174" t="s">
        <v>74</v>
      </c>
      <c r="G129" s="174"/>
      <c r="H129" s="171"/>
      <c r="I129" s="178">
        <v>97.7</v>
      </c>
      <c r="J129" s="171">
        <v>3</v>
      </c>
      <c r="K129" s="171"/>
      <c r="L129" s="179">
        <v>17873</v>
      </c>
      <c r="M129" s="178">
        <v>297.89999999999998</v>
      </c>
      <c r="N129" s="178">
        <f t="shared" si="4"/>
        <v>462.31417093142261</v>
      </c>
      <c r="O129" s="179">
        <v>14581</v>
      </c>
      <c r="P129" s="198">
        <v>720.30000000000018</v>
      </c>
      <c r="Q129" s="198">
        <f t="shared" si="2"/>
        <v>1117.8412128966224</v>
      </c>
      <c r="R129" s="199">
        <v>15670</v>
      </c>
      <c r="S129" s="198">
        <v>198.80000000000007</v>
      </c>
      <c r="T129" s="198">
        <f t="shared" si="3"/>
        <v>308.51982940975785</v>
      </c>
      <c r="U129" s="188"/>
      <c r="V129" s="191" t="s">
        <v>11</v>
      </c>
      <c r="W129" s="193">
        <f>IF('Tab3'!C30="",'Tab3'!C31,'Tab3'!C32)</f>
        <v>1164.4622753117208</v>
      </c>
      <c r="X129" s="193">
        <f>IF('Tab3'!D30="",'Tab3'!D31,'Tab3'!D32)</f>
        <v>1085.2063591022443</v>
      </c>
      <c r="Y129" s="193">
        <f>IF('Tab3'!E30="",'Tab3'!E31,'Tab3'!E32)</f>
        <v>1528.1477556109726</v>
      </c>
      <c r="Z129" s="188"/>
      <c r="AA129" s="188"/>
      <c r="AB129" s="188"/>
      <c r="AC129" s="188"/>
      <c r="AD129" s="188"/>
      <c r="AE129" s="188"/>
      <c r="AF129" s="188"/>
      <c r="AG129" s="188"/>
      <c r="AH129" s="188"/>
      <c r="AI129" s="188"/>
      <c r="AJ129" s="171"/>
    </row>
    <row r="130" spans="1:36" x14ac:dyDescent="0.2">
      <c r="A130" s="174">
        <v>4</v>
      </c>
      <c r="B130" s="174"/>
      <c r="C130" s="174">
        <f>550.4-C127-C128-C129</f>
        <v>130.59999999999994</v>
      </c>
      <c r="D130" s="174">
        <f>478.3-D127-D128-D129</f>
        <v>113.7</v>
      </c>
      <c r="E130" s="174"/>
      <c r="F130" s="174"/>
      <c r="G130" s="174"/>
      <c r="H130" s="171"/>
      <c r="I130" s="178">
        <v>98.4</v>
      </c>
      <c r="J130" s="171">
        <v>4</v>
      </c>
      <c r="K130" s="171"/>
      <c r="L130" s="179">
        <v>15493</v>
      </c>
      <c r="M130" s="178">
        <v>267.70000000000005</v>
      </c>
      <c r="N130" s="178">
        <f t="shared" si="4"/>
        <v>412.49105860433599</v>
      </c>
      <c r="O130" s="179">
        <v>9445</v>
      </c>
      <c r="P130" s="198">
        <v>564</v>
      </c>
      <c r="Q130" s="198">
        <f t="shared" si="2"/>
        <v>869.05101626016244</v>
      </c>
      <c r="R130" s="199">
        <v>13087</v>
      </c>
      <c r="S130" s="198">
        <v>185.09999999999991</v>
      </c>
      <c r="T130" s="198">
        <f t="shared" si="3"/>
        <v>285.21514735772337</v>
      </c>
      <c r="U130" s="188"/>
      <c r="V130" s="191" t="s">
        <v>12</v>
      </c>
      <c r="W130" s="193">
        <f>IF('Tab3'!C32="",'Tab3'!C33,'Tab3'!C34)</f>
        <v>2548.8293733400001</v>
      </c>
      <c r="X130" s="193">
        <f>IF('Tab3'!D32="",'Tab3'!D33,'Tab3'!D34)</f>
        <v>2556.018</v>
      </c>
      <c r="Y130" s="193">
        <f>IF('Tab3'!E32="",'Tab3'!E33,'Tab3'!E34)</f>
        <v>3033.5280000000002</v>
      </c>
      <c r="Z130" s="188"/>
      <c r="AA130" s="188"/>
      <c r="AB130" s="188"/>
      <c r="AC130" s="188"/>
      <c r="AD130" s="188"/>
      <c r="AE130" s="188"/>
      <c r="AF130" s="188"/>
      <c r="AG130" s="188"/>
      <c r="AH130" s="188"/>
      <c r="AI130" s="188"/>
      <c r="AJ130" s="171"/>
    </row>
    <row r="131" spans="1:36" x14ac:dyDescent="0.2">
      <c r="A131" s="174">
        <v>1</v>
      </c>
      <c r="B131" s="174">
        <v>1998</v>
      </c>
      <c r="C131" s="174">
        <v>150</v>
      </c>
      <c r="D131" s="174">
        <v>131.9</v>
      </c>
      <c r="E131" s="174"/>
      <c r="F131" s="174" t="s">
        <v>78</v>
      </c>
      <c r="G131" s="174"/>
      <c r="H131" s="171"/>
      <c r="I131" s="178">
        <v>99.3</v>
      </c>
      <c r="J131" s="171">
        <v>1</v>
      </c>
      <c r="K131" s="171">
        <v>1998</v>
      </c>
      <c r="L131" s="179">
        <v>17629</v>
      </c>
      <c r="M131" s="178">
        <v>285</v>
      </c>
      <c r="N131" s="178">
        <f t="shared" si="4"/>
        <v>435.16792547834837</v>
      </c>
      <c r="O131" s="179">
        <v>7614</v>
      </c>
      <c r="P131" s="198">
        <v>599.6</v>
      </c>
      <c r="Q131" s="198">
        <f t="shared" si="2"/>
        <v>915.53223900637784</v>
      </c>
      <c r="R131" s="199">
        <v>11958</v>
      </c>
      <c r="S131" s="198">
        <v>185.4</v>
      </c>
      <c r="T131" s="198">
        <f t="shared" si="3"/>
        <v>283.08818731117822</v>
      </c>
      <c r="U131" s="188"/>
      <c r="V131" s="191" t="s">
        <v>7</v>
      </c>
      <c r="W131" s="193">
        <f>IF('Tab3'!C18="",'Tab3'!C17,'Tab3'!C18)</f>
        <v>2788.1823510204081</v>
      </c>
      <c r="X131" s="193">
        <f>IF('Tab3'!D18="",'Tab3'!D17,'Tab3'!D18)</f>
        <v>3000.3396244897958</v>
      </c>
      <c r="Y131" s="193">
        <f>IF('Tab3'!E18="",'Tab3'!E17,'Tab3'!E18)</f>
        <v>2645.6721469387758</v>
      </c>
      <c r="Z131" s="188"/>
      <c r="AA131" s="188"/>
      <c r="AB131" s="188"/>
      <c r="AC131" s="188"/>
      <c r="AD131" s="188"/>
      <c r="AE131" s="188"/>
      <c r="AF131" s="188"/>
      <c r="AG131" s="188"/>
      <c r="AH131" s="188"/>
      <c r="AI131" s="188"/>
      <c r="AJ131" s="171"/>
    </row>
    <row r="132" spans="1:36" x14ac:dyDescent="0.2">
      <c r="A132" s="174">
        <v>2</v>
      </c>
      <c r="B132" s="174"/>
      <c r="C132" s="174">
        <f>289.8-C131</f>
        <v>139.80000000000001</v>
      </c>
      <c r="D132" s="174">
        <f>253.9-D131</f>
        <v>122</v>
      </c>
      <c r="E132" s="174"/>
      <c r="F132" s="174" t="s">
        <v>79</v>
      </c>
      <c r="G132" s="174" t="s">
        <v>80</v>
      </c>
      <c r="H132" s="171"/>
      <c r="I132" s="178">
        <v>99.7</v>
      </c>
      <c r="J132" s="171">
        <v>2</v>
      </c>
      <c r="K132" s="171"/>
      <c r="L132" s="179">
        <v>14484</v>
      </c>
      <c r="M132" s="178">
        <v>253.5</v>
      </c>
      <c r="N132" s="178">
        <f t="shared" si="4"/>
        <v>385.5174774322968</v>
      </c>
      <c r="O132" s="179">
        <v>6009</v>
      </c>
      <c r="P132" s="198">
        <v>576.9</v>
      </c>
      <c r="Q132" s="198">
        <f t="shared" si="2"/>
        <v>877.33740722166476</v>
      </c>
      <c r="R132" s="199">
        <v>15060</v>
      </c>
      <c r="S132" s="198">
        <v>204.20000000000002</v>
      </c>
      <c r="T132" s="198">
        <f t="shared" si="3"/>
        <v>310.54307255098627</v>
      </c>
      <c r="U132" s="188"/>
      <c r="V132" s="188" t="s">
        <v>112</v>
      </c>
      <c r="W132" s="193">
        <f>IF('Tab10'!C8="",'Tab10'!C7,'Tab10'!C8)</f>
        <v>3415.9517354156856</v>
      </c>
      <c r="X132" s="193">
        <f>IF('Tab10'!D8="",'Tab10'!D7,'Tab10'!D8)</f>
        <v>4327.0239104274578</v>
      </c>
      <c r="Y132" s="193">
        <f>IF('Tab10'!E8="",'Tab10'!E7,'Tab10'!E8)</f>
        <v>3063.2796002720661</v>
      </c>
      <c r="Z132" s="188"/>
      <c r="AA132" s="188"/>
      <c r="AB132" s="188"/>
      <c r="AC132" s="188"/>
      <c r="AD132" s="188"/>
      <c r="AE132" s="188"/>
      <c r="AF132" s="188"/>
      <c r="AG132" s="188"/>
      <c r="AH132" s="188"/>
      <c r="AI132" s="188"/>
      <c r="AJ132" s="171"/>
    </row>
    <row r="133" spans="1:36" x14ac:dyDescent="0.2">
      <c r="A133" s="174">
        <v>3</v>
      </c>
      <c r="B133" s="174"/>
      <c r="C133" s="174">
        <f>+E133-C131-C132</f>
        <v>128.09999999999997</v>
      </c>
      <c r="D133" s="174">
        <f>+G133-D131-D132</f>
        <v>112.1</v>
      </c>
      <c r="E133" s="174">
        <v>417.9</v>
      </c>
      <c r="F133" s="171"/>
      <c r="G133" s="174">
        <v>366</v>
      </c>
      <c r="H133" s="171"/>
      <c r="I133" s="181">
        <v>99.8</v>
      </c>
      <c r="J133" s="171">
        <v>3</v>
      </c>
      <c r="K133" s="171"/>
      <c r="L133" s="179">
        <v>15693</v>
      </c>
      <c r="M133" s="178">
        <v>257.89999999999998</v>
      </c>
      <c r="N133" s="178">
        <f t="shared" si="4"/>
        <v>391.81591015364052</v>
      </c>
      <c r="O133" s="179">
        <v>8328</v>
      </c>
      <c r="P133" s="198">
        <v>432.80000000000018</v>
      </c>
      <c r="Q133" s="198">
        <f t="shared" si="2"/>
        <v>657.53364061456261</v>
      </c>
      <c r="R133" s="199">
        <v>17098</v>
      </c>
      <c r="S133" s="198">
        <v>209.60000000000002</v>
      </c>
      <c r="T133" s="198">
        <f t="shared" si="3"/>
        <v>318.43588510354039</v>
      </c>
      <c r="U133" s="188"/>
      <c r="V133" s="191" t="s">
        <v>9</v>
      </c>
      <c r="W133" s="193">
        <f>IF('Tab3'!C22="",'Tab3'!C21,'Tab3'!C22)</f>
        <v>7548.8859398833338</v>
      </c>
      <c r="X133" s="193">
        <f>IF('Tab3'!D22="",'Tab3'!D21,'Tab3'!D22)</f>
        <v>6360.0533333333333</v>
      </c>
      <c r="Y133" s="193">
        <f>IF('Tab3'!E22="",'Tab3'!E21,'Tab3'!E22)</f>
        <v>7556.1933333333336</v>
      </c>
      <c r="Z133" s="188"/>
      <c r="AA133" s="188"/>
      <c r="AB133" s="188"/>
      <c r="AC133" s="188"/>
      <c r="AD133" s="188"/>
      <c r="AE133" s="188"/>
      <c r="AF133" s="188"/>
      <c r="AG133" s="188"/>
      <c r="AH133" s="188"/>
      <c r="AI133" s="188"/>
      <c r="AJ133" s="171"/>
    </row>
    <row r="134" spans="1:36" x14ac:dyDescent="0.2">
      <c r="A134" s="174">
        <v>4</v>
      </c>
      <c r="B134" s="174"/>
      <c r="C134" s="174">
        <f>+E134-E133</f>
        <v>141.80000000000007</v>
      </c>
      <c r="D134" s="174">
        <f>+G134-G133</f>
        <v>125.60000000000002</v>
      </c>
      <c r="E134" s="174">
        <v>559.70000000000005</v>
      </c>
      <c r="F134" s="171"/>
      <c r="G134" s="174">
        <v>491.6</v>
      </c>
      <c r="H134" s="171"/>
      <c r="I134" s="181">
        <v>100.7</v>
      </c>
      <c r="J134" s="171">
        <v>4</v>
      </c>
      <c r="K134" s="171"/>
      <c r="L134" s="179">
        <v>16502</v>
      </c>
      <c r="M134" s="178">
        <v>299.10000000000002</v>
      </c>
      <c r="N134" s="178">
        <f t="shared" si="4"/>
        <v>450.3479692154915</v>
      </c>
      <c r="O134" s="179">
        <v>7526</v>
      </c>
      <c r="P134" s="198">
        <v>738.59999999999945</v>
      </c>
      <c r="Q134" s="198">
        <f t="shared" si="2"/>
        <v>1112.0929791459771</v>
      </c>
      <c r="R134" s="199">
        <v>14647</v>
      </c>
      <c r="S134" s="198">
        <v>205.79999999999995</v>
      </c>
      <c r="T134" s="198">
        <f t="shared" si="3"/>
        <v>309.86831181727894</v>
      </c>
      <c r="U134" s="188"/>
      <c r="V134" s="188"/>
      <c r="W134" s="188"/>
      <c r="X134" s="188"/>
      <c r="Y134" s="188"/>
      <c r="Z134" s="188"/>
      <c r="AA134" s="188"/>
      <c r="AB134" s="188"/>
      <c r="AC134" s="188"/>
      <c r="AD134" s="188"/>
      <c r="AE134" s="188"/>
      <c r="AF134" s="188"/>
      <c r="AG134" s="188"/>
      <c r="AH134" s="188"/>
      <c r="AI134" s="188"/>
      <c r="AJ134" s="171"/>
    </row>
    <row r="135" spans="1:36" x14ac:dyDescent="0.2">
      <c r="A135" s="174">
        <v>1</v>
      </c>
      <c r="B135" s="174">
        <v>1999</v>
      </c>
      <c r="C135" s="174">
        <f>+E135</f>
        <v>154.19999999999999</v>
      </c>
      <c r="D135" s="174">
        <f>+G135</f>
        <v>137.1</v>
      </c>
      <c r="E135" s="174">
        <v>154.19999999999999</v>
      </c>
      <c r="F135" s="171"/>
      <c r="G135" s="174">
        <v>137.1</v>
      </c>
      <c r="H135" s="171"/>
      <c r="I135" s="181">
        <v>101.4</v>
      </c>
      <c r="J135" s="171">
        <v>1</v>
      </c>
      <c r="K135" s="171">
        <v>1999</v>
      </c>
      <c r="L135" s="179">
        <v>18095</v>
      </c>
      <c r="M135" s="178">
        <v>328.50000000000006</v>
      </c>
      <c r="N135" s="178">
        <f t="shared" si="4"/>
        <v>491.20036982248519</v>
      </c>
      <c r="O135" s="179">
        <v>8863</v>
      </c>
      <c r="P135" s="198">
        <v>689.1</v>
      </c>
      <c r="Q135" s="198">
        <f t="shared" si="2"/>
        <v>1030.3993145956606</v>
      </c>
      <c r="R135" s="199">
        <v>11175</v>
      </c>
      <c r="S135" s="198">
        <v>162.80000000000001</v>
      </c>
      <c r="T135" s="198">
        <f t="shared" si="3"/>
        <v>243.43202498356339</v>
      </c>
      <c r="U135" s="188"/>
      <c r="V135" s="188"/>
      <c r="W135" s="188"/>
      <c r="X135" s="188"/>
      <c r="Y135" s="188"/>
      <c r="Z135" s="188"/>
      <c r="AA135" s="188"/>
      <c r="AB135" s="188"/>
      <c r="AC135" s="188"/>
      <c r="AD135" s="188"/>
      <c r="AE135" s="188"/>
      <c r="AF135" s="188"/>
      <c r="AG135" s="188"/>
      <c r="AH135" s="188"/>
      <c r="AI135" s="188"/>
      <c r="AJ135" s="171"/>
    </row>
    <row r="136" spans="1:36" x14ac:dyDescent="0.2">
      <c r="A136" s="174">
        <v>2</v>
      </c>
      <c r="B136" s="174"/>
      <c r="C136" s="174">
        <f>+E136-E135</f>
        <v>159.30000000000001</v>
      </c>
      <c r="D136" s="174">
        <f>+G136-G135</f>
        <v>140.70000000000002</v>
      </c>
      <c r="E136" s="174">
        <v>313.5</v>
      </c>
      <c r="F136" s="171"/>
      <c r="G136" s="174">
        <v>277.8</v>
      </c>
      <c r="H136" s="171"/>
      <c r="I136" s="181">
        <v>102.2</v>
      </c>
      <c r="J136" s="171">
        <v>2</v>
      </c>
      <c r="K136" s="171"/>
      <c r="L136" s="179">
        <v>12899</v>
      </c>
      <c r="M136" s="178">
        <v>332.7</v>
      </c>
      <c r="N136" s="178">
        <f t="shared" si="4"/>
        <v>493.58638454011731</v>
      </c>
      <c r="O136" s="179">
        <v>5920</v>
      </c>
      <c r="P136" s="198">
        <v>874.6</v>
      </c>
      <c r="Q136" s="198">
        <f t="shared" si="2"/>
        <v>1297.5372765818654</v>
      </c>
      <c r="R136" s="199">
        <v>12451</v>
      </c>
      <c r="S136" s="198">
        <v>199.09999999999997</v>
      </c>
      <c r="T136" s="198">
        <f t="shared" si="3"/>
        <v>295.38037018917146</v>
      </c>
      <c r="U136" s="188"/>
      <c r="V136" s="188"/>
      <c r="W136" s="188"/>
      <c r="X136" s="188"/>
      <c r="Y136" s="188"/>
      <c r="Z136" s="188"/>
      <c r="AA136" s="188"/>
      <c r="AB136" s="188"/>
      <c r="AC136" s="188"/>
      <c r="AD136" s="188"/>
      <c r="AE136" s="188"/>
      <c r="AF136" s="188"/>
      <c r="AG136" s="188"/>
      <c r="AH136" s="188"/>
      <c r="AI136" s="188"/>
      <c r="AJ136" s="171"/>
    </row>
    <row r="137" spans="1:36" x14ac:dyDescent="0.2">
      <c r="A137" s="174">
        <v>3</v>
      </c>
      <c r="B137" s="174"/>
      <c r="C137" s="174">
        <f>+E137-E136</f>
        <v>146.30000000000001</v>
      </c>
      <c r="D137" s="174">
        <f>+G137-G136</f>
        <v>128.69999999999999</v>
      </c>
      <c r="E137" s="174">
        <v>459.8</v>
      </c>
      <c r="F137" s="171"/>
      <c r="G137" s="174">
        <v>406.5</v>
      </c>
      <c r="H137" s="171"/>
      <c r="I137" s="181">
        <v>101.7</v>
      </c>
      <c r="J137" s="171">
        <v>3</v>
      </c>
      <c r="K137" s="171"/>
      <c r="L137" s="179">
        <v>23305</v>
      </c>
      <c r="M137" s="178">
        <v>445.5</v>
      </c>
      <c r="N137" s="178">
        <f t="shared" si="4"/>
        <v>664.1834070796458</v>
      </c>
      <c r="O137" s="179">
        <v>11181</v>
      </c>
      <c r="P137" s="198">
        <v>566.99999999999977</v>
      </c>
      <c r="Q137" s="198">
        <f t="shared" si="2"/>
        <v>845.32433628318529</v>
      </c>
      <c r="R137" s="199">
        <v>18817</v>
      </c>
      <c r="S137" s="198">
        <v>227.70000000000005</v>
      </c>
      <c r="T137" s="198">
        <f t="shared" si="3"/>
        <v>339.4715191740413</v>
      </c>
      <c r="U137" s="188"/>
      <c r="V137" s="188"/>
      <c r="W137" s="188"/>
      <c r="X137" s="188"/>
      <c r="Y137" s="188"/>
      <c r="Z137" s="188"/>
      <c r="AA137" s="188"/>
      <c r="AB137" s="188"/>
      <c r="AC137" s="188"/>
      <c r="AD137" s="188"/>
      <c r="AE137" s="188"/>
      <c r="AF137" s="188"/>
      <c r="AG137" s="188"/>
      <c r="AH137" s="188"/>
      <c r="AI137" s="188"/>
      <c r="AJ137" s="171"/>
    </row>
    <row r="138" spans="1:36" x14ac:dyDescent="0.2">
      <c r="A138" s="174">
        <v>4</v>
      </c>
      <c r="B138" s="174"/>
      <c r="C138" s="174">
        <f>+E138-E137</f>
        <v>141.90000000000003</v>
      </c>
      <c r="D138" s="174">
        <f>+G138-G137</f>
        <v>126.39999999999998</v>
      </c>
      <c r="E138" s="174">
        <v>601.70000000000005</v>
      </c>
      <c r="F138" s="171"/>
      <c r="G138" s="174">
        <v>532.9</v>
      </c>
      <c r="H138" s="171"/>
      <c r="I138" s="178">
        <v>103.5</v>
      </c>
      <c r="J138" s="171">
        <v>4</v>
      </c>
      <c r="K138" s="171"/>
      <c r="L138" s="179">
        <v>18359</v>
      </c>
      <c r="M138" s="178">
        <v>410.59999999999968</v>
      </c>
      <c r="N138" s="178">
        <f t="shared" si="4"/>
        <v>601.50585829307511</v>
      </c>
      <c r="O138" s="179">
        <v>9544</v>
      </c>
      <c r="P138" s="198">
        <v>935.5</v>
      </c>
      <c r="Q138" s="198">
        <f t="shared" si="2"/>
        <v>1370.4547745571656</v>
      </c>
      <c r="R138" s="199">
        <v>13692</v>
      </c>
      <c r="S138" s="198">
        <v>192.19999999999993</v>
      </c>
      <c r="T138" s="198">
        <f t="shared" si="3"/>
        <v>281.56216747181952</v>
      </c>
      <c r="U138" s="188"/>
      <c r="V138" s="188"/>
      <c r="W138" s="188"/>
      <c r="X138" s="188"/>
      <c r="Y138" s="188"/>
      <c r="Z138" s="188"/>
      <c r="AA138" s="188"/>
      <c r="AB138" s="188"/>
      <c r="AC138" s="188"/>
      <c r="AD138" s="188"/>
      <c r="AE138" s="188"/>
      <c r="AF138" s="188"/>
      <c r="AG138" s="188"/>
      <c r="AH138" s="188"/>
      <c r="AI138" s="188"/>
      <c r="AJ138" s="171"/>
    </row>
    <row r="139" spans="1:36" x14ac:dyDescent="0.2">
      <c r="A139" s="174">
        <v>1</v>
      </c>
      <c r="B139" s="174">
        <v>2000</v>
      </c>
      <c r="C139" s="174">
        <f>+E139</f>
        <v>169.1</v>
      </c>
      <c r="D139" s="174">
        <f>+G139</f>
        <v>150.9</v>
      </c>
      <c r="E139" s="174">
        <v>169.1</v>
      </c>
      <c r="F139" s="171"/>
      <c r="G139" s="174">
        <v>150.9</v>
      </c>
      <c r="H139" s="171"/>
      <c r="I139" s="178">
        <v>104.6</v>
      </c>
      <c r="J139" s="171">
        <v>1</v>
      </c>
      <c r="K139" s="171">
        <v>2000</v>
      </c>
      <c r="L139" s="179">
        <v>17570</v>
      </c>
      <c r="M139" s="178">
        <v>345.9</v>
      </c>
      <c r="N139" s="178">
        <f t="shared" si="4"/>
        <v>501.39516730401522</v>
      </c>
      <c r="O139" s="179">
        <v>9154</v>
      </c>
      <c r="P139" s="198">
        <v>819.9</v>
      </c>
      <c r="Q139" s="198">
        <f t="shared" si="2"/>
        <v>1188.4761424474186</v>
      </c>
      <c r="R139" s="199">
        <v>12421</v>
      </c>
      <c r="S139" s="198">
        <v>198</v>
      </c>
      <c r="T139" s="198">
        <f t="shared" si="3"/>
        <v>287.00850860420644</v>
      </c>
      <c r="U139" s="188"/>
      <c r="V139" s="188"/>
      <c r="W139" s="188"/>
      <c r="X139" s="188"/>
      <c r="Y139" s="188"/>
      <c r="Z139" s="188"/>
      <c r="AA139" s="188"/>
      <c r="AB139" s="188"/>
      <c r="AC139" s="188"/>
      <c r="AD139" s="188"/>
      <c r="AE139" s="188"/>
      <c r="AF139" s="188"/>
      <c r="AG139" s="188"/>
      <c r="AH139" s="188"/>
      <c r="AI139" s="188"/>
      <c r="AJ139" s="171"/>
    </row>
    <row r="140" spans="1:36" x14ac:dyDescent="0.2">
      <c r="A140" s="174">
        <v>2</v>
      </c>
      <c r="B140" s="174"/>
      <c r="C140" s="174">
        <f>+E140-E139</f>
        <v>151.50000000000003</v>
      </c>
      <c r="D140" s="174">
        <f>+G140-G139</f>
        <v>133.4</v>
      </c>
      <c r="E140" s="174">
        <v>320.60000000000002</v>
      </c>
      <c r="F140" s="171"/>
      <c r="G140" s="174">
        <v>284.3</v>
      </c>
      <c r="H140" s="171"/>
      <c r="I140" s="178">
        <v>105.1</v>
      </c>
      <c r="J140" s="171">
        <v>2</v>
      </c>
      <c r="K140" s="171"/>
      <c r="L140" s="179">
        <v>14069</v>
      </c>
      <c r="M140" s="178">
        <v>252.39999999999998</v>
      </c>
      <c r="N140" s="178">
        <f t="shared" si="4"/>
        <v>364.12282270853149</v>
      </c>
      <c r="O140" s="179">
        <v>10238</v>
      </c>
      <c r="P140" s="198">
        <v>674.19999999999993</v>
      </c>
      <c r="Q140" s="198">
        <f t="shared" si="2"/>
        <v>972.62918807484914</v>
      </c>
      <c r="R140" s="199">
        <v>13950</v>
      </c>
      <c r="S140" s="198">
        <v>184.5</v>
      </c>
      <c r="T140" s="198">
        <f t="shared" si="3"/>
        <v>266.16743577545191</v>
      </c>
      <c r="U140" s="188"/>
      <c r="V140" s="188"/>
      <c r="W140" s="188"/>
      <c r="X140" s="188"/>
      <c r="Y140" s="188"/>
      <c r="Z140" s="188"/>
      <c r="AA140" s="188"/>
      <c r="AB140" s="188"/>
      <c r="AC140" s="188"/>
      <c r="AD140" s="188"/>
      <c r="AE140" s="188"/>
      <c r="AF140" s="188"/>
      <c r="AG140" s="188"/>
      <c r="AH140" s="188"/>
      <c r="AI140" s="188"/>
      <c r="AJ140" s="171"/>
    </row>
    <row r="141" spans="1:36" x14ac:dyDescent="0.2">
      <c r="A141" s="174">
        <v>3</v>
      </c>
      <c r="B141" s="174"/>
      <c r="C141" s="174">
        <f>+E141-E140</f>
        <v>139</v>
      </c>
      <c r="D141" s="174">
        <f>+G141-G140</f>
        <v>123.5</v>
      </c>
      <c r="E141" s="174">
        <v>459.6</v>
      </c>
      <c r="F141" s="171"/>
      <c r="G141" s="174">
        <v>407.8</v>
      </c>
      <c r="H141" s="171"/>
      <c r="I141" s="178">
        <v>105.3</v>
      </c>
      <c r="J141" s="171">
        <v>3</v>
      </c>
      <c r="K141" s="171"/>
      <c r="L141" s="179">
        <v>16329</v>
      </c>
      <c r="M141" s="178">
        <v>313.5</v>
      </c>
      <c r="N141" s="178">
        <f t="shared" si="4"/>
        <v>451.40923551756879</v>
      </c>
      <c r="O141" s="179">
        <v>13877</v>
      </c>
      <c r="P141" s="198">
        <v>706.20000000000027</v>
      </c>
      <c r="Q141" s="198">
        <f t="shared" si="2"/>
        <v>1016.8586989553659</v>
      </c>
      <c r="R141" s="199">
        <v>14850</v>
      </c>
      <c r="S141" s="198">
        <v>193.89999999999998</v>
      </c>
      <c r="T141" s="198">
        <f t="shared" si="3"/>
        <v>279.1969721430832</v>
      </c>
      <c r="U141" s="188"/>
      <c r="V141" s="188"/>
      <c r="W141" s="188"/>
      <c r="X141" s="188"/>
      <c r="Y141" s="188"/>
      <c r="Z141" s="188"/>
      <c r="AA141" s="188"/>
      <c r="AB141" s="188"/>
      <c r="AC141" s="188"/>
      <c r="AD141" s="188"/>
      <c r="AE141" s="188"/>
      <c r="AF141" s="188"/>
      <c r="AG141" s="188"/>
      <c r="AH141" s="188"/>
      <c r="AI141" s="188"/>
      <c r="AJ141" s="171"/>
    </row>
    <row r="142" spans="1:36" x14ac:dyDescent="0.2">
      <c r="A142" s="174">
        <v>4</v>
      </c>
      <c r="B142" s="174"/>
      <c r="C142" s="174">
        <f>+E142-E141</f>
        <v>135.10000000000002</v>
      </c>
      <c r="D142" s="174">
        <f>+G142-G141</f>
        <v>121.40000000000003</v>
      </c>
      <c r="E142" s="174">
        <v>594.70000000000005</v>
      </c>
      <c r="F142" s="171"/>
      <c r="G142" s="174">
        <v>529.20000000000005</v>
      </c>
      <c r="H142" s="171"/>
      <c r="I142" s="178">
        <v>106.8</v>
      </c>
      <c r="J142" s="171">
        <v>4</v>
      </c>
      <c r="K142" s="171"/>
      <c r="L142" s="179">
        <v>21735</v>
      </c>
      <c r="M142" s="178">
        <v>484.79999999999995</v>
      </c>
      <c r="N142" s="178">
        <f t="shared" si="4"/>
        <v>688.26014981273386</v>
      </c>
      <c r="O142" s="179">
        <v>9978</v>
      </c>
      <c r="P142" s="198">
        <v>739.19999999999982</v>
      </c>
      <c r="Q142" s="198">
        <f t="shared" si="2"/>
        <v>1049.4263670411981</v>
      </c>
      <c r="R142" s="199">
        <v>13212</v>
      </c>
      <c r="S142" s="198">
        <v>215</v>
      </c>
      <c r="T142" s="198">
        <f t="shared" si="3"/>
        <v>305.23088327091131</v>
      </c>
      <c r="U142" s="188"/>
      <c r="V142" s="188"/>
      <c r="W142" s="188"/>
      <c r="X142" s="188"/>
      <c r="Y142" s="188"/>
      <c r="Z142" s="188"/>
      <c r="AA142" s="188"/>
      <c r="AB142" s="188"/>
      <c r="AC142" s="188"/>
      <c r="AD142" s="188"/>
      <c r="AE142" s="188"/>
      <c r="AF142" s="188"/>
      <c r="AG142" s="188"/>
      <c r="AH142" s="188"/>
      <c r="AI142" s="188"/>
      <c r="AJ142" s="171"/>
    </row>
    <row r="143" spans="1:36" x14ac:dyDescent="0.2">
      <c r="A143" s="174">
        <v>1</v>
      </c>
      <c r="B143" s="174">
        <v>2001</v>
      </c>
      <c r="C143" s="174">
        <f>+E143</f>
        <v>158.5</v>
      </c>
      <c r="D143" s="174">
        <f>+G143</f>
        <v>143.1</v>
      </c>
      <c r="E143" s="174">
        <v>158.5</v>
      </c>
      <c r="F143" s="171"/>
      <c r="G143" s="174">
        <v>143.1</v>
      </c>
      <c r="H143" s="171"/>
      <c r="I143" s="178">
        <v>108.4</v>
      </c>
      <c r="J143" s="171">
        <v>1</v>
      </c>
      <c r="K143" s="171">
        <v>2001</v>
      </c>
      <c r="L143" s="179">
        <v>27280</v>
      </c>
      <c r="M143" s="178">
        <v>675.3</v>
      </c>
      <c r="N143" s="178">
        <f t="shared" si="4"/>
        <v>944.55822416974138</v>
      </c>
      <c r="O143" s="179">
        <v>7776</v>
      </c>
      <c r="P143" s="198">
        <v>877</v>
      </c>
      <c r="Q143" s="198">
        <f t="shared" si="2"/>
        <v>1226.6808271832715</v>
      </c>
      <c r="R143" s="199">
        <v>10538</v>
      </c>
      <c r="S143" s="198">
        <v>164.1</v>
      </c>
      <c r="T143" s="198">
        <f t="shared" si="3"/>
        <v>229.53058579335789</v>
      </c>
      <c r="U143" s="188"/>
      <c r="V143" s="188"/>
      <c r="W143" s="188"/>
      <c r="X143" s="188"/>
      <c r="Y143" s="188"/>
      <c r="Z143" s="188"/>
      <c r="AA143" s="188"/>
      <c r="AB143" s="188"/>
      <c r="AC143" s="188"/>
      <c r="AD143" s="188"/>
      <c r="AE143" s="188"/>
      <c r="AF143" s="188"/>
      <c r="AG143" s="188"/>
      <c r="AH143" s="188"/>
      <c r="AI143" s="188"/>
      <c r="AJ143" s="171"/>
    </row>
    <row r="144" spans="1:36" x14ac:dyDescent="0.2">
      <c r="A144" s="174">
        <v>2</v>
      </c>
      <c r="B144" s="174"/>
      <c r="C144" s="174">
        <f>+E144-E143</f>
        <v>140.45999999999998</v>
      </c>
      <c r="D144" s="174">
        <f>+G144-G143</f>
        <v>125.70000000000002</v>
      </c>
      <c r="E144" s="174">
        <v>298.95999999999998</v>
      </c>
      <c r="F144" s="171"/>
      <c r="G144" s="174">
        <v>268.8</v>
      </c>
      <c r="H144" s="171"/>
      <c r="I144" s="178">
        <v>109.6</v>
      </c>
      <c r="J144" s="171">
        <v>2</v>
      </c>
      <c r="K144" s="171"/>
      <c r="L144" s="179">
        <v>17111</v>
      </c>
      <c r="M144" s="178">
        <v>452</v>
      </c>
      <c r="N144" s="178">
        <f t="shared" si="4"/>
        <v>625.30103406326032</v>
      </c>
      <c r="O144" s="179">
        <v>5711</v>
      </c>
      <c r="P144" s="198">
        <v>923</v>
      </c>
      <c r="Q144" s="198">
        <f t="shared" si="2"/>
        <v>1276.8868461070556</v>
      </c>
      <c r="R144" s="199">
        <v>11841</v>
      </c>
      <c r="S144" s="198">
        <v>190.29999999999998</v>
      </c>
      <c r="T144" s="198">
        <f t="shared" si="3"/>
        <v>263.26280261557173</v>
      </c>
      <c r="U144" s="188"/>
      <c r="V144" s="188"/>
      <c r="W144" s="188"/>
      <c r="X144" s="188"/>
      <c r="Y144" s="188"/>
      <c r="Z144" s="188"/>
      <c r="AA144" s="188"/>
      <c r="AB144" s="188"/>
      <c r="AC144" s="188"/>
      <c r="AD144" s="188"/>
      <c r="AE144" s="188"/>
      <c r="AF144" s="188"/>
      <c r="AG144" s="188"/>
      <c r="AH144" s="188"/>
      <c r="AI144" s="188"/>
      <c r="AJ144" s="171"/>
    </row>
    <row r="145" spans="1:36" x14ac:dyDescent="0.2">
      <c r="A145" s="174">
        <v>3</v>
      </c>
      <c r="B145" s="171"/>
      <c r="C145" s="174">
        <f>+E145-E144</f>
        <v>134.24</v>
      </c>
      <c r="D145" s="174">
        <f>+G145-G144</f>
        <v>119.19999999999999</v>
      </c>
      <c r="E145" s="174">
        <v>433.2</v>
      </c>
      <c r="F145" s="171"/>
      <c r="G145" s="174">
        <v>388</v>
      </c>
      <c r="H145" s="171"/>
      <c r="I145" s="178">
        <v>108.1</v>
      </c>
      <c r="J145" s="171">
        <v>3</v>
      </c>
      <c r="K145" s="171"/>
      <c r="L145" s="179">
        <v>16407</v>
      </c>
      <c r="M145" s="178">
        <v>400.40000000000009</v>
      </c>
      <c r="N145" s="178">
        <f t="shared" si="4"/>
        <v>561.60328707986434</v>
      </c>
      <c r="O145" s="179">
        <v>15359</v>
      </c>
      <c r="P145" s="198">
        <v>1172.1999999999998</v>
      </c>
      <c r="Q145" s="198">
        <f t="shared" si="2"/>
        <v>1644.134298489053</v>
      </c>
      <c r="R145" s="199">
        <v>13534</v>
      </c>
      <c r="S145" s="198">
        <v>158.5</v>
      </c>
      <c r="T145" s="198">
        <f t="shared" si="3"/>
        <v>222.3129895158803</v>
      </c>
      <c r="U145" s="188"/>
      <c r="V145" s="188"/>
      <c r="W145" s="188"/>
      <c r="X145" s="188"/>
      <c r="Y145" s="188"/>
      <c r="Z145" s="188"/>
      <c r="AA145" s="188"/>
      <c r="AB145" s="188"/>
      <c r="AC145" s="188"/>
      <c r="AD145" s="188"/>
      <c r="AE145" s="188"/>
      <c r="AF145" s="188"/>
      <c r="AG145" s="188"/>
      <c r="AH145" s="188"/>
      <c r="AI145" s="188"/>
      <c r="AJ145" s="171"/>
    </row>
    <row r="146" spans="1:36" x14ac:dyDescent="0.2">
      <c r="A146" s="174">
        <v>4</v>
      </c>
      <c r="B146" s="171"/>
      <c r="C146" s="174">
        <f>+E146-E145</f>
        <v>137.49520000000001</v>
      </c>
      <c r="D146" s="174">
        <f>+G146-G145</f>
        <v>124.07220000000007</v>
      </c>
      <c r="E146" s="180">
        <v>570.6952</v>
      </c>
      <c r="F146" s="182"/>
      <c r="G146" s="174">
        <v>512.07220000000007</v>
      </c>
      <c r="H146" s="171"/>
      <c r="I146" s="178">
        <v>108.7</v>
      </c>
      <c r="J146" s="171">
        <v>4</v>
      </c>
      <c r="K146" s="171"/>
      <c r="L146" s="179">
        <v>16945</v>
      </c>
      <c r="M146" s="178">
        <v>509.39999999999986</v>
      </c>
      <c r="N146" s="178">
        <f t="shared" si="4"/>
        <v>710.54348666053318</v>
      </c>
      <c r="O146" s="179">
        <v>9601</v>
      </c>
      <c r="P146" s="198">
        <v>803.30000000000018</v>
      </c>
      <c r="Q146" s="198">
        <f t="shared" si="2"/>
        <v>1120.4938807114384</v>
      </c>
      <c r="R146" s="199">
        <v>12341</v>
      </c>
      <c r="S146" s="198">
        <v>258.5</v>
      </c>
      <c r="T146" s="198">
        <f t="shared" si="3"/>
        <v>360.5722247776755</v>
      </c>
      <c r="U146" s="188"/>
      <c r="V146" s="188"/>
      <c r="W146" s="188"/>
      <c r="X146" s="188"/>
      <c r="Y146" s="188"/>
      <c r="Z146" s="188"/>
      <c r="AA146" s="188"/>
      <c r="AB146" s="188"/>
      <c r="AC146" s="188"/>
      <c r="AD146" s="188"/>
      <c r="AE146" s="188"/>
      <c r="AF146" s="188"/>
      <c r="AG146" s="188"/>
      <c r="AH146" s="188"/>
      <c r="AI146" s="188"/>
      <c r="AJ146" s="171"/>
    </row>
    <row r="147" spans="1:36" x14ac:dyDescent="0.2">
      <c r="A147" s="174">
        <v>1</v>
      </c>
      <c r="B147" s="174">
        <v>2002</v>
      </c>
      <c r="C147" s="174">
        <f>+E147</f>
        <v>155.81399999999999</v>
      </c>
      <c r="D147" s="174">
        <f>+G147</f>
        <v>141.72399999999999</v>
      </c>
      <c r="E147" s="180">
        <v>155.81399999999999</v>
      </c>
      <c r="F147" s="182"/>
      <c r="G147" s="174">
        <v>141.72399999999999</v>
      </c>
      <c r="H147" s="171"/>
      <c r="I147" s="178">
        <v>109.3</v>
      </c>
      <c r="J147" s="171">
        <v>1</v>
      </c>
      <c r="K147" s="171">
        <v>2002</v>
      </c>
      <c r="L147" s="179">
        <v>17523</v>
      </c>
      <c r="M147" s="178">
        <v>466.5</v>
      </c>
      <c r="N147" s="178">
        <f t="shared" si="4"/>
        <v>647.13181610247011</v>
      </c>
      <c r="O147" s="179">
        <v>6856</v>
      </c>
      <c r="P147" s="198">
        <v>820.40000000000009</v>
      </c>
      <c r="Q147" s="198">
        <f t="shared" si="2"/>
        <v>1138.0641842025007</v>
      </c>
      <c r="R147" s="199">
        <v>9371</v>
      </c>
      <c r="S147" s="198">
        <v>197.9</v>
      </c>
      <c r="T147" s="198">
        <f t="shared" si="3"/>
        <v>274.52815949984745</v>
      </c>
      <c r="U147" s="188"/>
      <c r="V147" s="188"/>
      <c r="W147" s="188"/>
      <c r="X147" s="188"/>
      <c r="Y147" s="188"/>
      <c r="Z147" s="188"/>
      <c r="AA147" s="188"/>
      <c r="AB147" s="188"/>
      <c r="AC147" s="188"/>
      <c r="AD147" s="188"/>
      <c r="AE147" s="188"/>
      <c r="AF147" s="188"/>
      <c r="AG147" s="188"/>
      <c r="AH147" s="188"/>
      <c r="AI147" s="188"/>
      <c r="AJ147" s="171"/>
    </row>
    <row r="148" spans="1:36" x14ac:dyDescent="0.2">
      <c r="A148" s="174">
        <v>2</v>
      </c>
      <c r="B148" s="174"/>
      <c r="C148" s="174">
        <f>+E148-E147</f>
        <v>146.54300000000003</v>
      </c>
      <c r="D148" s="174">
        <f>+G148-G147</f>
        <v>133.19</v>
      </c>
      <c r="E148" s="174">
        <v>302.35700000000003</v>
      </c>
      <c r="F148" s="171"/>
      <c r="G148" s="174">
        <v>274.91399999999999</v>
      </c>
      <c r="H148" s="171"/>
      <c r="I148" s="178">
        <v>110</v>
      </c>
      <c r="J148" s="171">
        <v>2</v>
      </c>
      <c r="K148" s="171"/>
      <c r="L148" s="179">
        <v>17469</v>
      </c>
      <c r="M148" s="178">
        <v>408.5</v>
      </c>
      <c r="N148" s="178">
        <f t="shared" si="4"/>
        <v>563.06773484848475</v>
      </c>
      <c r="O148" s="179">
        <v>9323</v>
      </c>
      <c r="P148" s="198">
        <v>689.09999999999991</v>
      </c>
      <c r="Q148" s="198">
        <f t="shared" si="2"/>
        <v>949.84082272727244</v>
      </c>
      <c r="R148" s="199">
        <v>14749</v>
      </c>
      <c r="S148" s="198">
        <v>233.49999999999997</v>
      </c>
      <c r="T148" s="198">
        <f t="shared" si="3"/>
        <v>321.85144696969689</v>
      </c>
      <c r="U148" s="188"/>
      <c r="V148" s="188"/>
      <c r="W148" s="188"/>
      <c r="X148" s="188"/>
      <c r="Y148" s="188"/>
      <c r="Z148" s="188"/>
      <c r="AA148" s="188"/>
      <c r="AB148" s="188"/>
      <c r="AC148" s="188"/>
      <c r="AD148" s="188"/>
      <c r="AE148" s="188"/>
      <c r="AF148" s="188"/>
      <c r="AG148" s="188"/>
      <c r="AH148" s="188"/>
      <c r="AI148" s="188"/>
      <c r="AJ148" s="171"/>
    </row>
    <row r="149" spans="1:36" x14ac:dyDescent="0.2">
      <c r="A149" s="174">
        <v>3</v>
      </c>
      <c r="B149" s="171"/>
      <c r="C149" s="174">
        <f>+E149-E148</f>
        <v>146.23099999999999</v>
      </c>
      <c r="D149" s="174">
        <f>+G149-G148</f>
        <v>127.14100000000002</v>
      </c>
      <c r="E149" s="174">
        <v>448.58800000000002</v>
      </c>
      <c r="F149" s="171"/>
      <c r="G149" s="174">
        <v>402.05500000000001</v>
      </c>
      <c r="H149" s="171"/>
      <c r="I149" s="178">
        <v>109.6</v>
      </c>
      <c r="J149" s="171">
        <v>3</v>
      </c>
      <c r="K149" s="171"/>
      <c r="L149" s="179">
        <v>19641</v>
      </c>
      <c r="M149" s="178">
        <v>503</v>
      </c>
      <c r="N149" s="178">
        <f t="shared" si="4"/>
        <v>695.85491180048655</v>
      </c>
      <c r="O149" s="179">
        <v>17422</v>
      </c>
      <c r="P149" s="198">
        <v>895.90000000000009</v>
      </c>
      <c r="Q149" s="198">
        <f t="shared" si="2"/>
        <v>1239.3964522506083</v>
      </c>
      <c r="R149" s="199">
        <v>14722</v>
      </c>
      <c r="S149" s="198">
        <v>184.5</v>
      </c>
      <c r="T149" s="198">
        <f t="shared" si="3"/>
        <v>255.23902828467152</v>
      </c>
      <c r="U149" s="188"/>
      <c r="V149" s="188"/>
      <c r="W149" s="188"/>
      <c r="X149" s="188"/>
      <c r="Y149" s="188"/>
      <c r="Z149" s="188"/>
      <c r="AA149" s="188"/>
      <c r="AB149" s="188"/>
      <c r="AC149" s="188"/>
      <c r="AD149" s="188"/>
      <c r="AE149" s="188"/>
      <c r="AF149" s="188"/>
      <c r="AG149" s="188"/>
      <c r="AH149" s="188"/>
      <c r="AI149" s="188"/>
      <c r="AJ149" s="171"/>
    </row>
    <row r="150" spans="1:36" x14ac:dyDescent="0.2">
      <c r="A150" s="174">
        <v>4</v>
      </c>
      <c r="B150" s="171"/>
      <c r="C150" s="174">
        <f>+E150-E149</f>
        <v>137.96699999999993</v>
      </c>
      <c r="D150" s="174">
        <f>+G150-G149</f>
        <v>124.64100000000002</v>
      </c>
      <c r="E150" s="180">
        <v>586.55499999999995</v>
      </c>
      <c r="F150" s="182"/>
      <c r="G150" s="174">
        <v>526.69600000000003</v>
      </c>
      <c r="H150" s="171"/>
      <c r="I150" s="178">
        <v>111</v>
      </c>
      <c r="J150" s="171">
        <v>4</v>
      </c>
      <c r="K150" s="171"/>
      <c r="L150" s="179">
        <v>17442</v>
      </c>
      <c r="M150" s="178">
        <v>464.20000000000005</v>
      </c>
      <c r="N150" s="178">
        <f t="shared" si="4"/>
        <v>634.07907807807806</v>
      </c>
      <c r="O150" s="179">
        <v>8123</v>
      </c>
      <c r="P150" s="198">
        <v>938.5</v>
      </c>
      <c r="Q150" s="198">
        <f t="shared" si="2"/>
        <v>1281.9543618618616</v>
      </c>
      <c r="R150" s="199">
        <v>14689</v>
      </c>
      <c r="S150" s="198">
        <v>194.00000000000011</v>
      </c>
      <c r="T150" s="198">
        <f t="shared" si="3"/>
        <v>264.99642642642652</v>
      </c>
      <c r="U150" s="188"/>
      <c r="V150" s="188"/>
      <c r="W150" s="188"/>
      <c r="X150" s="188"/>
      <c r="Y150" s="188"/>
      <c r="Z150" s="188"/>
      <c r="AA150" s="188"/>
      <c r="AB150" s="188"/>
      <c r="AC150" s="188"/>
      <c r="AD150" s="188"/>
      <c r="AE150" s="188"/>
      <c r="AF150" s="188"/>
      <c r="AG150" s="188"/>
      <c r="AH150" s="188"/>
      <c r="AI150" s="188"/>
      <c r="AJ150" s="171"/>
    </row>
    <row r="151" spans="1:36" x14ac:dyDescent="0.2">
      <c r="A151" s="174">
        <v>1</v>
      </c>
      <c r="B151" s="174">
        <v>2003</v>
      </c>
      <c r="C151" s="180">
        <f>+E151</f>
        <v>165.679</v>
      </c>
      <c r="D151" s="174">
        <f>+G151</f>
        <v>150.81100000000001</v>
      </c>
      <c r="E151" s="180">
        <v>165.679</v>
      </c>
      <c r="F151" s="182"/>
      <c r="G151" s="174">
        <v>150.81100000000001</v>
      </c>
      <c r="H151" s="171"/>
      <c r="I151" s="178">
        <v>114.6</v>
      </c>
      <c r="J151" s="171">
        <v>1</v>
      </c>
      <c r="K151" s="171">
        <v>2003</v>
      </c>
      <c r="L151" s="179">
        <v>22781</v>
      </c>
      <c r="M151" s="178">
        <v>626.79999999999995</v>
      </c>
      <c r="N151" s="178">
        <f t="shared" si="4"/>
        <v>829.28848749272811</v>
      </c>
      <c r="O151" s="179">
        <v>6823</v>
      </c>
      <c r="P151" s="198">
        <v>1087.2</v>
      </c>
      <c r="Q151" s="198">
        <f t="shared" si="2"/>
        <v>1438.4212565445025</v>
      </c>
      <c r="R151" s="199">
        <v>10626</v>
      </c>
      <c r="S151" s="198">
        <v>183</v>
      </c>
      <c r="T151" s="198">
        <f t="shared" si="3"/>
        <v>242.11836823734725</v>
      </c>
      <c r="U151" s="188"/>
      <c r="V151" s="188"/>
      <c r="W151" s="188"/>
      <c r="X151" s="188"/>
      <c r="Y151" s="188"/>
      <c r="Z151" s="188"/>
      <c r="AA151" s="188"/>
      <c r="AB151" s="188"/>
      <c r="AC151" s="188"/>
      <c r="AD151" s="188"/>
      <c r="AE151" s="188"/>
      <c r="AF151" s="188"/>
      <c r="AG151" s="188"/>
      <c r="AH151" s="188"/>
      <c r="AI151" s="188"/>
      <c r="AJ151" s="171"/>
    </row>
    <row r="152" spans="1:36" x14ac:dyDescent="0.2">
      <c r="A152" s="174">
        <v>2</v>
      </c>
      <c r="B152" s="174"/>
      <c r="C152" s="180">
        <f>+E152-E151</f>
        <v>135.02099999999999</v>
      </c>
      <c r="D152" s="174">
        <f>+G152-G151</f>
        <v>121.10099999999997</v>
      </c>
      <c r="E152" s="174">
        <v>300.7</v>
      </c>
      <c r="F152" s="171"/>
      <c r="G152" s="174">
        <v>271.91199999999998</v>
      </c>
      <c r="H152" s="171"/>
      <c r="I152" s="178">
        <v>112.3</v>
      </c>
      <c r="J152" s="171">
        <v>2</v>
      </c>
      <c r="K152" s="171"/>
      <c r="L152" s="179">
        <v>15417</v>
      </c>
      <c r="M152" s="178">
        <v>406.10000000000014</v>
      </c>
      <c r="N152" s="178">
        <f t="shared" si="4"/>
        <v>548.29527010982497</v>
      </c>
      <c r="O152" s="179">
        <v>5618</v>
      </c>
      <c r="P152" s="198">
        <v>817.8</v>
      </c>
      <c r="Q152" s="198">
        <f t="shared" si="2"/>
        <v>1104.151371326803</v>
      </c>
      <c r="R152" s="199">
        <v>12719</v>
      </c>
      <c r="S152" s="198">
        <v>203.2</v>
      </c>
      <c r="T152" s="198">
        <f t="shared" si="3"/>
        <v>274.35015731671115</v>
      </c>
      <c r="U152" s="188"/>
      <c r="V152" s="188"/>
      <c r="W152" s="188"/>
      <c r="X152" s="188"/>
      <c r="Y152" s="188"/>
      <c r="Z152" s="188"/>
      <c r="AA152" s="188"/>
      <c r="AB152" s="188"/>
      <c r="AC152" s="188"/>
      <c r="AD152" s="188"/>
      <c r="AE152" s="188"/>
      <c r="AF152" s="188"/>
      <c r="AG152" s="188"/>
      <c r="AH152" s="188"/>
      <c r="AI152" s="188"/>
      <c r="AJ152" s="171"/>
    </row>
    <row r="153" spans="1:36" x14ac:dyDescent="0.2">
      <c r="A153" s="174">
        <v>3</v>
      </c>
      <c r="B153" s="174"/>
      <c r="C153" s="180">
        <f>+E153-E152</f>
        <v>134.11099999999999</v>
      </c>
      <c r="D153" s="174">
        <f>+G153-G152</f>
        <v>119.49100000000004</v>
      </c>
      <c r="E153" s="174">
        <v>434.81099999999998</v>
      </c>
      <c r="F153" s="171"/>
      <c r="G153" s="174">
        <v>391.40300000000002</v>
      </c>
      <c r="H153" s="171"/>
      <c r="I153" s="178">
        <v>111.9</v>
      </c>
      <c r="J153" s="171">
        <v>3</v>
      </c>
      <c r="K153" s="171"/>
      <c r="L153" s="179">
        <v>18848</v>
      </c>
      <c r="M153" s="178">
        <v>430.5</v>
      </c>
      <c r="N153" s="178">
        <f t="shared" si="4"/>
        <v>583.31659964253788</v>
      </c>
      <c r="O153" s="179">
        <v>16056</v>
      </c>
      <c r="P153" s="198">
        <v>860.19999999999982</v>
      </c>
      <c r="Q153" s="198">
        <f t="shared" si="2"/>
        <v>1165.5492195412567</v>
      </c>
      <c r="R153" s="199">
        <v>13690</v>
      </c>
      <c r="S153" s="198">
        <v>188.8</v>
      </c>
      <c r="T153" s="198">
        <f t="shared" si="3"/>
        <v>255.81921954125701</v>
      </c>
      <c r="U153" s="188"/>
      <c r="V153" s="188"/>
      <c r="W153" s="188"/>
      <c r="X153" s="188"/>
      <c r="Y153" s="188"/>
      <c r="Z153" s="188"/>
      <c r="AA153" s="188"/>
      <c r="AB153" s="188"/>
      <c r="AC153" s="188"/>
      <c r="AD153" s="188"/>
      <c r="AE153" s="188"/>
      <c r="AF153" s="188"/>
      <c r="AG153" s="188"/>
      <c r="AH153" s="188"/>
      <c r="AI153" s="188"/>
      <c r="AJ153" s="171"/>
    </row>
    <row r="154" spans="1:36" x14ac:dyDescent="0.2">
      <c r="A154" s="174">
        <v>4</v>
      </c>
      <c r="B154" s="174"/>
      <c r="C154" s="180">
        <f>+E154-E153</f>
        <v>142.01299999999998</v>
      </c>
      <c r="D154" s="174">
        <f>+G154-G153</f>
        <v>125.95899999999995</v>
      </c>
      <c r="E154" s="174">
        <v>576.82399999999996</v>
      </c>
      <c r="F154" s="171"/>
      <c r="G154" s="174">
        <v>517.36199999999997</v>
      </c>
      <c r="H154" s="171"/>
      <c r="I154" s="178">
        <v>112.6</v>
      </c>
      <c r="J154" s="171">
        <v>4</v>
      </c>
      <c r="K154" s="171"/>
      <c r="L154" s="179">
        <v>16096</v>
      </c>
      <c r="M154" s="178">
        <v>471.89999999999986</v>
      </c>
      <c r="N154" s="178">
        <f t="shared" si="4"/>
        <v>635.43751776198906</v>
      </c>
      <c r="O154" s="179">
        <v>7652</v>
      </c>
      <c r="P154" s="198">
        <v>762.30000000000018</v>
      </c>
      <c r="Q154" s="198">
        <f t="shared" si="2"/>
        <v>1026.4759902309058</v>
      </c>
      <c r="R154" s="199">
        <v>11607</v>
      </c>
      <c r="S154" s="198">
        <v>220.90000000000009</v>
      </c>
      <c r="T154" s="198">
        <f t="shared" si="3"/>
        <v>297.45316311426888</v>
      </c>
      <c r="U154" s="188"/>
      <c r="V154" s="188"/>
      <c r="W154" s="188"/>
      <c r="X154" s="188"/>
      <c r="Y154" s="188"/>
      <c r="Z154" s="188"/>
      <c r="AA154" s="188"/>
      <c r="AB154" s="188"/>
      <c r="AC154" s="188"/>
      <c r="AD154" s="188"/>
      <c r="AE154" s="188"/>
      <c r="AF154" s="188"/>
      <c r="AG154" s="188"/>
      <c r="AH154" s="188"/>
      <c r="AI154" s="188"/>
      <c r="AJ154" s="171"/>
    </row>
    <row r="155" spans="1:36" x14ac:dyDescent="0.2">
      <c r="A155" s="174">
        <v>1</v>
      </c>
      <c r="B155" s="174">
        <v>2004</v>
      </c>
      <c r="C155" s="180">
        <f>+E155</f>
        <v>168.309</v>
      </c>
      <c r="D155" s="174">
        <f>+G155</f>
        <v>153.04300000000001</v>
      </c>
      <c r="E155" s="174">
        <v>168.309</v>
      </c>
      <c r="F155" s="171"/>
      <c r="G155" s="174">
        <v>153.04300000000001</v>
      </c>
      <c r="H155" s="171"/>
      <c r="I155" s="178">
        <v>112.6</v>
      </c>
      <c r="J155" s="171">
        <v>1</v>
      </c>
      <c r="K155" s="171">
        <v>2004</v>
      </c>
      <c r="L155" s="179">
        <v>17805</v>
      </c>
      <c r="M155" s="178">
        <v>517.69999999999993</v>
      </c>
      <c r="N155" s="178">
        <f t="shared" si="4"/>
        <v>697.10956335109506</v>
      </c>
      <c r="O155" s="179">
        <v>7033</v>
      </c>
      <c r="P155" s="198">
        <v>735.2</v>
      </c>
      <c r="Q155" s="198">
        <f t="shared" si="2"/>
        <v>989.98445233866187</v>
      </c>
      <c r="R155" s="199">
        <v>8913</v>
      </c>
      <c r="S155" s="198">
        <v>178.89999999999998</v>
      </c>
      <c r="T155" s="198">
        <f t="shared" si="3"/>
        <v>240.8980121373593</v>
      </c>
      <c r="U155" s="188"/>
      <c r="V155" s="188"/>
      <c r="W155" s="188"/>
      <c r="X155" s="188"/>
      <c r="Y155" s="188"/>
      <c r="Z155" s="188"/>
      <c r="AA155" s="188"/>
      <c r="AB155" s="188"/>
      <c r="AC155" s="188"/>
      <c r="AD155" s="188"/>
      <c r="AE155" s="188"/>
      <c r="AF155" s="188"/>
      <c r="AG155" s="188"/>
      <c r="AH155" s="188"/>
      <c r="AI155" s="188"/>
      <c r="AJ155" s="171"/>
    </row>
    <row r="156" spans="1:36" x14ac:dyDescent="0.2">
      <c r="A156" s="174">
        <v>2</v>
      </c>
      <c r="B156" s="174"/>
      <c r="C156" s="180">
        <f>+E156-E155</f>
        <v>140.26700000000002</v>
      </c>
      <c r="D156" s="174">
        <f>+G156-G155</f>
        <v>125.56799999999998</v>
      </c>
      <c r="E156" s="174">
        <v>308.57600000000002</v>
      </c>
      <c r="F156" s="171"/>
      <c r="G156" s="174">
        <v>278.61099999999999</v>
      </c>
      <c r="H156" s="171"/>
      <c r="I156" s="178">
        <v>113.4</v>
      </c>
      <c r="J156" s="171">
        <v>2</v>
      </c>
      <c r="K156" s="171"/>
      <c r="L156" s="179">
        <v>13855</v>
      </c>
      <c r="M156" s="178">
        <v>344.69999999999993</v>
      </c>
      <c r="N156" s="178">
        <f t="shared" si="4"/>
        <v>460.88173280423263</v>
      </c>
      <c r="O156" s="179">
        <v>6436</v>
      </c>
      <c r="P156" s="198">
        <v>708.3</v>
      </c>
      <c r="Q156" s="198">
        <f t="shared" si="2"/>
        <v>947.03374338624315</v>
      </c>
      <c r="R156" s="199">
        <v>10802</v>
      </c>
      <c r="S156" s="198">
        <v>228.40000000000003</v>
      </c>
      <c r="T156" s="198">
        <f t="shared" si="3"/>
        <v>305.38261610817159</v>
      </c>
      <c r="U156" s="188"/>
      <c r="V156" s="188"/>
      <c r="W156" s="188"/>
      <c r="X156" s="188"/>
      <c r="Y156" s="188"/>
      <c r="Z156" s="188"/>
      <c r="AA156" s="188"/>
      <c r="AB156" s="188"/>
      <c r="AC156" s="188"/>
      <c r="AD156" s="188"/>
      <c r="AE156" s="188"/>
      <c r="AF156" s="188"/>
      <c r="AG156" s="188"/>
      <c r="AH156" s="188"/>
      <c r="AI156" s="188"/>
      <c r="AJ156" s="171"/>
    </row>
    <row r="157" spans="1:36" x14ac:dyDescent="0.2">
      <c r="A157" s="174">
        <v>3</v>
      </c>
      <c r="B157" s="174"/>
      <c r="C157" s="180">
        <f>+E157-E156</f>
        <v>137.76999999999998</v>
      </c>
      <c r="D157" s="174">
        <f>+G157-G156</f>
        <v>123.12100000000004</v>
      </c>
      <c r="E157" s="174">
        <v>446.346</v>
      </c>
      <c r="F157" s="171"/>
      <c r="G157" s="174">
        <v>401.73200000000003</v>
      </c>
      <c r="H157" s="171"/>
      <c r="I157" s="178">
        <v>113</v>
      </c>
      <c r="J157" s="171">
        <v>3</v>
      </c>
      <c r="K157" s="171"/>
      <c r="L157" s="179">
        <v>17630</v>
      </c>
      <c r="M157" s="178">
        <v>454.09999999999991</v>
      </c>
      <c r="N157" s="178">
        <f t="shared" si="4"/>
        <v>609.30441445427698</v>
      </c>
      <c r="O157" s="179">
        <v>11805</v>
      </c>
      <c r="P157" s="198">
        <v>652.69999999999982</v>
      </c>
      <c r="Q157" s="198">
        <f t="shared" si="2"/>
        <v>875.78284808259559</v>
      </c>
      <c r="R157" s="199">
        <v>11365</v>
      </c>
      <c r="S157" s="198">
        <v>160.7999999999999</v>
      </c>
      <c r="T157" s="198">
        <f t="shared" si="3"/>
        <v>215.75897345132728</v>
      </c>
      <c r="U157" s="188"/>
      <c r="V157" s="188"/>
      <c r="W157" s="188"/>
      <c r="X157" s="188"/>
      <c r="Y157" s="188"/>
      <c r="Z157" s="188"/>
      <c r="AA157" s="188"/>
      <c r="AB157" s="188"/>
      <c r="AC157" s="188"/>
      <c r="AD157" s="188"/>
      <c r="AE157" s="188"/>
      <c r="AF157" s="188"/>
      <c r="AG157" s="188"/>
      <c r="AH157" s="188"/>
      <c r="AI157" s="188"/>
      <c r="AJ157" s="171"/>
    </row>
    <row r="158" spans="1:36" x14ac:dyDescent="0.2">
      <c r="A158" s="174">
        <v>4</v>
      </c>
      <c r="B158" s="174"/>
      <c r="C158" s="180">
        <f>+E158-E157</f>
        <v>137.68499999999995</v>
      </c>
      <c r="D158" s="174">
        <f>+G158-G157</f>
        <v>124.50600000000003</v>
      </c>
      <c r="E158" s="174">
        <v>584.03099999999995</v>
      </c>
      <c r="F158" s="171"/>
      <c r="G158" s="174">
        <v>526.23800000000006</v>
      </c>
      <c r="H158" s="171"/>
      <c r="I158" s="178">
        <v>114</v>
      </c>
      <c r="J158" s="171">
        <v>4</v>
      </c>
      <c r="K158" s="171"/>
      <c r="L158" s="179">
        <v>16674</v>
      </c>
      <c r="M158" s="178">
        <v>428.20000000000027</v>
      </c>
      <c r="N158" s="178">
        <f t="shared" si="4"/>
        <v>569.51226023391837</v>
      </c>
      <c r="O158" s="179">
        <v>10088</v>
      </c>
      <c r="P158" s="198">
        <v>709.40000000000055</v>
      </c>
      <c r="Q158" s="198">
        <f t="shared" si="2"/>
        <v>943.51237134502981</v>
      </c>
      <c r="R158" s="199">
        <v>9276</v>
      </c>
      <c r="S158" s="198">
        <v>162.90000000000009</v>
      </c>
      <c r="T158" s="198">
        <f t="shared" si="3"/>
        <v>216.65938157894746</v>
      </c>
      <c r="U158" s="188"/>
      <c r="V158" s="188"/>
      <c r="W158" s="188"/>
      <c r="X158" s="188"/>
      <c r="Y158" s="188"/>
      <c r="Z158" s="188"/>
      <c r="AA158" s="188"/>
      <c r="AB158" s="188"/>
      <c r="AC158" s="188"/>
      <c r="AD158" s="188"/>
      <c r="AE158" s="188"/>
      <c r="AF158" s="188"/>
      <c r="AG158" s="188"/>
      <c r="AH158" s="188"/>
      <c r="AI158" s="188"/>
      <c r="AJ158" s="171"/>
    </row>
    <row r="159" spans="1:36" x14ac:dyDescent="0.2">
      <c r="A159" s="174">
        <v>1</v>
      </c>
      <c r="B159" s="174">
        <v>2005</v>
      </c>
      <c r="C159" s="180">
        <f>+E159</f>
        <v>147.31100000000001</v>
      </c>
      <c r="D159" s="174">
        <f>+G159</f>
        <v>133.756</v>
      </c>
      <c r="E159" s="174">
        <v>147.31100000000001</v>
      </c>
      <c r="F159" s="171"/>
      <c r="G159" s="174">
        <v>133.756</v>
      </c>
      <c r="H159" s="171"/>
      <c r="I159" s="178">
        <v>113.7</v>
      </c>
      <c r="J159" s="171">
        <v>1</v>
      </c>
      <c r="K159" s="171">
        <v>2005</v>
      </c>
      <c r="L159" s="179">
        <v>15151</v>
      </c>
      <c r="M159" s="178">
        <v>418</v>
      </c>
      <c r="N159" s="178">
        <f t="shared" si="4"/>
        <v>557.4129873937261</v>
      </c>
      <c r="O159" s="179">
        <v>7287</v>
      </c>
      <c r="P159" s="198">
        <v>715.2</v>
      </c>
      <c r="Q159" s="198">
        <f t="shared" si="2"/>
        <v>953.73628847845191</v>
      </c>
      <c r="R159" s="199">
        <v>7498</v>
      </c>
      <c r="S159" s="198">
        <v>159.69999999999999</v>
      </c>
      <c r="T159" s="198">
        <f t="shared" si="3"/>
        <v>212.96376575784222</v>
      </c>
      <c r="U159" s="188"/>
      <c r="V159" s="188"/>
      <c r="W159" s="188"/>
      <c r="X159" s="188"/>
      <c r="Y159" s="188"/>
      <c r="Z159" s="188"/>
      <c r="AA159" s="188"/>
      <c r="AB159" s="188"/>
      <c r="AC159" s="188"/>
      <c r="AD159" s="188"/>
      <c r="AE159" s="188"/>
      <c r="AF159" s="188"/>
      <c r="AG159" s="188"/>
      <c r="AH159" s="188"/>
      <c r="AI159" s="188"/>
      <c r="AJ159" s="171"/>
    </row>
    <row r="160" spans="1:36" x14ac:dyDescent="0.2">
      <c r="A160" s="174">
        <v>2</v>
      </c>
      <c r="B160" s="174"/>
      <c r="C160" s="180">
        <f>+E160-E159</f>
        <v>143.51699999999997</v>
      </c>
      <c r="D160" s="174">
        <f>+G160-G159</f>
        <v>128.79</v>
      </c>
      <c r="E160" s="174">
        <v>290.82799999999997</v>
      </c>
      <c r="F160" s="171"/>
      <c r="G160" s="174">
        <v>262.54599999999999</v>
      </c>
      <c r="H160" s="171"/>
      <c r="I160" s="178">
        <v>115.2</v>
      </c>
      <c r="J160" s="171">
        <v>2</v>
      </c>
      <c r="K160" s="171"/>
      <c r="L160" s="179">
        <v>14855</v>
      </c>
      <c r="M160" s="178">
        <v>323.20000000000005</v>
      </c>
      <c r="N160" s="178">
        <f t="shared" si="4"/>
        <v>425.38300925925921</v>
      </c>
      <c r="O160" s="179">
        <v>6172</v>
      </c>
      <c r="P160" s="198">
        <v>745.5</v>
      </c>
      <c r="Q160" s="198">
        <f t="shared" si="2"/>
        <v>981.19750434027753</v>
      </c>
      <c r="R160" s="199">
        <v>11610</v>
      </c>
      <c r="S160" s="198">
        <v>152.50000000000006</v>
      </c>
      <c r="T160" s="198">
        <f t="shared" si="3"/>
        <v>200.71444589120375</v>
      </c>
      <c r="U160" s="188"/>
      <c r="V160" s="188"/>
      <c r="W160" s="188"/>
      <c r="X160" s="188"/>
      <c r="Y160" s="188"/>
      <c r="Z160" s="188"/>
      <c r="AA160" s="188"/>
      <c r="AB160" s="188"/>
      <c r="AC160" s="188"/>
      <c r="AD160" s="188"/>
      <c r="AE160" s="188"/>
      <c r="AF160" s="188"/>
      <c r="AG160" s="188"/>
      <c r="AH160" s="188"/>
      <c r="AI160" s="188"/>
      <c r="AJ160" s="171"/>
    </row>
    <row r="161" spans="1:36" x14ac:dyDescent="0.2">
      <c r="A161" s="174">
        <v>3</v>
      </c>
      <c r="B161" s="174"/>
      <c r="C161" s="180">
        <f>+E161-E160</f>
        <v>134.78300000000002</v>
      </c>
      <c r="D161" s="174">
        <f>+G161-G160</f>
        <v>120.57100000000003</v>
      </c>
      <c r="E161" s="174">
        <v>425.61099999999999</v>
      </c>
      <c r="F161" s="171"/>
      <c r="G161" s="174">
        <v>383.11700000000002</v>
      </c>
      <c r="H161" s="171"/>
      <c r="I161" s="178">
        <v>115.1</v>
      </c>
      <c r="J161" s="171">
        <v>3</v>
      </c>
      <c r="K161" s="171"/>
      <c r="L161" s="179">
        <v>13014</v>
      </c>
      <c r="M161" s="178">
        <v>448.29999999999995</v>
      </c>
      <c r="N161" s="178">
        <f t="shared" si="4"/>
        <v>590.54729076165631</v>
      </c>
      <c r="O161" s="179">
        <v>6734</v>
      </c>
      <c r="P161" s="198">
        <v>832.10000000000014</v>
      </c>
      <c r="Q161" s="198">
        <f t="shared" si="2"/>
        <v>1096.1284868230525</v>
      </c>
      <c r="R161" s="199">
        <v>8742</v>
      </c>
      <c r="S161" s="198">
        <v>152.99999999999994</v>
      </c>
      <c r="T161" s="198">
        <f t="shared" si="3"/>
        <v>201.54748045178096</v>
      </c>
      <c r="U161" s="188"/>
      <c r="V161" s="188"/>
      <c r="W161" s="188"/>
      <c r="X161" s="188"/>
      <c r="Y161" s="188"/>
      <c r="Z161" s="188"/>
      <c r="AA161" s="188"/>
      <c r="AB161" s="188"/>
      <c r="AC161" s="188"/>
      <c r="AD161" s="188"/>
      <c r="AE161" s="188"/>
      <c r="AF161" s="188"/>
      <c r="AG161" s="188"/>
      <c r="AH161" s="188"/>
      <c r="AI161" s="188"/>
      <c r="AJ161" s="171"/>
    </row>
    <row r="162" spans="1:36" x14ac:dyDescent="0.2">
      <c r="A162" s="174">
        <v>4</v>
      </c>
      <c r="B162" s="174"/>
      <c r="C162" s="180">
        <f>+E162-E161</f>
        <v>137.37</v>
      </c>
      <c r="D162" s="174">
        <f>+G162-G161</f>
        <v>124.38200000000001</v>
      </c>
      <c r="E162" s="174">
        <v>562.98099999999999</v>
      </c>
      <c r="F162" s="171"/>
      <c r="G162" s="174">
        <v>507.49900000000002</v>
      </c>
      <c r="H162" s="171"/>
      <c r="I162" s="178">
        <v>116</v>
      </c>
      <c r="J162" s="171">
        <v>4</v>
      </c>
      <c r="K162" s="171"/>
      <c r="L162" s="179">
        <v>22745</v>
      </c>
      <c r="M162" s="178">
        <v>478.79999999999995</v>
      </c>
      <c r="N162" s="178">
        <f t="shared" si="4"/>
        <v>625.83149999999989</v>
      </c>
      <c r="O162" s="179">
        <v>8144</v>
      </c>
      <c r="P162" s="198">
        <v>795.79999999999973</v>
      </c>
      <c r="Q162" s="198">
        <f t="shared" si="2"/>
        <v>1040.1769166666661</v>
      </c>
      <c r="R162" s="199">
        <v>11407</v>
      </c>
      <c r="S162" s="198">
        <v>142.00000000000006</v>
      </c>
      <c r="T162" s="198">
        <f t="shared" si="3"/>
        <v>185.60583333333338</v>
      </c>
      <c r="U162" s="188"/>
      <c r="V162" s="188"/>
      <c r="W162" s="188"/>
      <c r="X162" s="188"/>
      <c r="Y162" s="188"/>
      <c r="Z162" s="188"/>
      <c r="AA162" s="188"/>
      <c r="AB162" s="188"/>
      <c r="AC162" s="188"/>
      <c r="AD162" s="188"/>
      <c r="AE162" s="188"/>
      <c r="AF162" s="188"/>
      <c r="AG162" s="188"/>
      <c r="AH162" s="188"/>
      <c r="AI162" s="188"/>
      <c r="AJ162" s="171"/>
    </row>
    <row r="163" spans="1:36" x14ac:dyDescent="0.2">
      <c r="A163" s="174">
        <v>1</v>
      </c>
      <c r="B163" s="174">
        <v>2006</v>
      </c>
      <c r="C163" s="180">
        <f>+E163</f>
        <v>155.21299999999999</v>
      </c>
      <c r="D163" s="174">
        <f>+G163</f>
        <v>139.72800000000001</v>
      </c>
      <c r="E163" s="174">
        <v>155.21299999999999</v>
      </c>
      <c r="F163" s="171"/>
      <c r="G163" s="174">
        <v>139.72800000000001</v>
      </c>
      <c r="H163" s="171"/>
      <c r="I163" s="178">
        <v>116.6</v>
      </c>
      <c r="J163" s="171">
        <v>1</v>
      </c>
      <c r="K163" s="171">
        <v>2006</v>
      </c>
      <c r="L163" s="179">
        <v>18196</v>
      </c>
      <c r="M163" s="178">
        <v>585</v>
      </c>
      <c r="N163" s="178">
        <f t="shared" si="4"/>
        <v>760.70904802744417</v>
      </c>
      <c r="O163" s="179">
        <v>6106</v>
      </c>
      <c r="P163" s="198">
        <v>947.2</v>
      </c>
      <c r="Q163" s="198">
        <f t="shared" si="2"/>
        <v>1231.6984791309319</v>
      </c>
      <c r="R163" s="199">
        <v>7106</v>
      </c>
      <c r="S163" s="198">
        <v>150.6</v>
      </c>
      <c r="T163" s="198">
        <f t="shared" si="3"/>
        <v>195.83381646655229</v>
      </c>
      <c r="U163" s="188"/>
      <c r="V163" s="188"/>
      <c r="W163" s="188"/>
      <c r="X163" s="188"/>
      <c r="Y163" s="188"/>
      <c r="Z163" s="188"/>
      <c r="AA163" s="188"/>
      <c r="AB163" s="188"/>
      <c r="AC163" s="188"/>
      <c r="AD163" s="188"/>
      <c r="AE163" s="188"/>
      <c r="AF163" s="188"/>
      <c r="AG163" s="188"/>
      <c r="AH163" s="188"/>
      <c r="AI163" s="188"/>
      <c r="AJ163" s="171"/>
    </row>
    <row r="164" spans="1:36" x14ac:dyDescent="0.2">
      <c r="A164" s="174">
        <v>2</v>
      </c>
      <c r="B164" s="174"/>
      <c r="C164" s="180">
        <f>+E164-E163</f>
        <v>147.44399999999999</v>
      </c>
      <c r="D164" s="174">
        <f>+G164-G163</f>
        <v>129.572</v>
      </c>
      <c r="E164" s="174">
        <v>302.65699999999998</v>
      </c>
      <c r="F164" s="171"/>
      <c r="G164" s="174">
        <v>269.3</v>
      </c>
      <c r="H164" s="171"/>
      <c r="I164" s="178">
        <v>117.9</v>
      </c>
      <c r="J164" s="171">
        <v>2</v>
      </c>
      <c r="K164" s="171"/>
      <c r="L164" s="179">
        <v>13943</v>
      </c>
      <c r="M164" s="178">
        <v>433.79999999999995</v>
      </c>
      <c r="N164" s="178">
        <f t="shared" si="4"/>
        <v>557.87513994910921</v>
      </c>
      <c r="O164" s="179">
        <v>5246</v>
      </c>
      <c r="P164" s="198">
        <v>811.2</v>
      </c>
      <c r="Q164" s="198">
        <f t="shared" si="2"/>
        <v>1043.2187955894824</v>
      </c>
      <c r="R164" s="199">
        <v>9193</v>
      </c>
      <c r="S164" s="198">
        <v>176.1</v>
      </c>
      <c r="T164" s="198">
        <f t="shared" si="3"/>
        <v>226.46798558100079</v>
      </c>
      <c r="U164" s="188"/>
      <c r="V164" s="188"/>
      <c r="W164" s="188"/>
      <c r="X164" s="188"/>
      <c r="Y164" s="188"/>
      <c r="Z164" s="188"/>
      <c r="AA164" s="188"/>
      <c r="AB164" s="188"/>
      <c r="AC164" s="188"/>
      <c r="AD164" s="188"/>
      <c r="AE164" s="188"/>
      <c r="AF164" s="188"/>
      <c r="AG164" s="188"/>
      <c r="AH164" s="188"/>
      <c r="AI164" s="188"/>
      <c r="AJ164" s="171"/>
    </row>
    <row r="165" spans="1:36" x14ac:dyDescent="0.2">
      <c r="A165" s="174">
        <v>3</v>
      </c>
      <c r="B165" s="174"/>
      <c r="C165" s="180">
        <f>+E165-E164</f>
        <v>143.45100000000002</v>
      </c>
      <c r="D165" s="174">
        <f>+G165-G164</f>
        <v>126.00599999999997</v>
      </c>
      <c r="E165" s="174">
        <v>446.108</v>
      </c>
      <c r="F165" s="171"/>
      <c r="G165" s="174">
        <v>395.30599999999998</v>
      </c>
      <c r="H165" s="171"/>
      <c r="I165" s="181">
        <v>117.3</v>
      </c>
      <c r="J165" s="171">
        <v>3</v>
      </c>
      <c r="K165" s="171"/>
      <c r="L165" s="179">
        <v>13690</v>
      </c>
      <c r="M165" s="178">
        <v>496.59999999999991</v>
      </c>
      <c r="N165" s="178">
        <f t="shared" si="4"/>
        <v>641.90383347541888</v>
      </c>
      <c r="O165" s="179">
        <v>9450</v>
      </c>
      <c r="P165" s="198">
        <v>855.90000000000009</v>
      </c>
      <c r="Q165" s="198">
        <f t="shared" si="2"/>
        <v>1106.3340537084398</v>
      </c>
      <c r="R165" s="199">
        <v>10840</v>
      </c>
      <c r="S165" s="198">
        <v>167.10000000000002</v>
      </c>
      <c r="T165" s="198">
        <f t="shared" si="3"/>
        <v>215.9930136402387</v>
      </c>
      <c r="U165" s="188"/>
      <c r="V165" s="188"/>
      <c r="W165" s="188"/>
      <c r="X165" s="188"/>
      <c r="Y165" s="188"/>
      <c r="Z165" s="188"/>
      <c r="AA165" s="188"/>
      <c r="AB165" s="188"/>
      <c r="AC165" s="188"/>
      <c r="AD165" s="188"/>
      <c r="AE165" s="188"/>
      <c r="AF165" s="188"/>
      <c r="AG165" s="188"/>
      <c r="AH165" s="188"/>
      <c r="AI165" s="188"/>
      <c r="AJ165" s="171"/>
    </row>
    <row r="166" spans="1:36" x14ac:dyDescent="0.2">
      <c r="A166" s="174">
        <v>4</v>
      </c>
      <c r="B166" s="174"/>
      <c r="C166" s="180">
        <f>+E166-E165</f>
        <v>148.56090999999998</v>
      </c>
      <c r="D166" s="174">
        <f>+G166-G165</f>
        <v>131.19532799999996</v>
      </c>
      <c r="E166" s="174">
        <v>594.66890999999998</v>
      </c>
      <c r="F166" s="171"/>
      <c r="G166" s="174">
        <v>526.50132799999994</v>
      </c>
      <c r="H166" s="171"/>
      <c r="I166" s="181">
        <v>119</v>
      </c>
      <c r="J166" s="171">
        <v>4</v>
      </c>
      <c r="K166" s="171"/>
      <c r="L166" s="179">
        <v>16682</v>
      </c>
      <c r="M166" s="178">
        <v>525.60000000000014</v>
      </c>
      <c r="N166" s="178">
        <f t="shared" si="4"/>
        <v>669.68359663865556</v>
      </c>
      <c r="O166" s="179">
        <v>10233</v>
      </c>
      <c r="P166" s="198">
        <v>826</v>
      </c>
      <c r="Q166" s="198">
        <f t="shared" si="2"/>
        <v>1052.432745098039</v>
      </c>
      <c r="R166" s="199">
        <v>9520</v>
      </c>
      <c r="S166" s="198">
        <v>144.09999999999997</v>
      </c>
      <c r="T166" s="198">
        <f t="shared" si="3"/>
        <v>183.6023711484593</v>
      </c>
      <c r="U166" s="188"/>
      <c r="V166" s="188"/>
      <c r="W166" s="188"/>
      <c r="X166" s="188"/>
      <c r="Y166" s="188"/>
      <c r="Z166" s="188"/>
      <c r="AA166" s="188"/>
      <c r="AB166" s="188"/>
      <c r="AC166" s="188"/>
      <c r="AD166" s="188"/>
      <c r="AE166" s="188"/>
      <c r="AF166" s="188"/>
      <c r="AG166" s="188"/>
      <c r="AH166" s="188"/>
      <c r="AI166" s="188"/>
      <c r="AJ166" s="171"/>
    </row>
    <row r="167" spans="1:36" x14ac:dyDescent="0.2">
      <c r="A167" s="174">
        <v>1</v>
      </c>
      <c r="B167" s="174">
        <v>2007</v>
      </c>
      <c r="C167" s="180">
        <f>+E167</f>
        <v>158.09976</v>
      </c>
      <c r="D167" s="174">
        <f>+G167</f>
        <v>141.08400800000001</v>
      </c>
      <c r="E167" s="174">
        <v>158.09976</v>
      </c>
      <c r="F167" s="171"/>
      <c r="G167" s="174">
        <v>141.08400800000001</v>
      </c>
      <c r="H167" s="171"/>
      <c r="I167" s="181">
        <v>117.5</v>
      </c>
      <c r="J167" s="171">
        <v>1</v>
      </c>
      <c r="K167" s="171">
        <v>2007</v>
      </c>
      <c r="L167" s="179">
        <v>18623</v>
      </c>
      <c r="M167" s="178">
        <v>649.6</v>
      </c>
      <c r="N167" s="178">
        <f t="shared" si="4"/>
        <v>838.24199716312035</v>
      </c>
      <c r="O167" s="179">
        <v>7737</v>
      </c>
      <c r="P167" s="198">
        <v>1092.1999999999998</v>
      </c>
      <c r="Q167" s="198">
        <f t="shared" si="2"/>
        <v>1409.3717815602834</v>
      </c>
      <c r="R167" s="199">
        <v>8112</v>
      </c>
      <c r="S167" s="198">
        <v>167.4</v>
      </c>
      <c r="T167" s="198">
        <f t="shared" si="3"/>
        <v>216.01248510638294</v>
      </c>
      <c r="U167" s="188"/>
      <c r="V167" s="188"/>
      <c r="W167" s="188"/>
      <c r="X167" s="188"/>
      <c r="Y167" s="188"/>
      <c r="Z167" s="188"/>
      <c r="AA167" s="188"/>
      <c r="AB167" s="188"/>
      <c r="AC167" s="188"/>
      <c r="AD167" s="188"/>
      <c r="AE167" s="188"/>
      <c r="AF167" s="188"/>
      <c r="AG167" s="188"/>
      <c r="AH167" s="188"/>
      <c r="AI167" s="188"/>
      <c r="AJ167" s="171"/>
    </row>
    <row r="168" spans="1:36" x14ac:dyDescent="0.2">
      <c r="A168" s="174">
        <v>2</v>
      </c>
      <c r="B168" s="174"/>
      <c r="C168" s="180">
        <f>+E168-E167</f>
        <v>161.61276000000004</v>
      </c>
      <c r="D168" s="174">
        <f>+G168-G167</f>
        <v>142.897008</v>
      </c>
      <c r="E168" s="174">
        <v>319.71252000000004</v>
      </c>
      <c r="F168" s="171"/>
      <c r="G168" s="174">
        <v>283.98101600000001</v>
      </c>
      <c r="H168" s="171"/>
      <c r="I168" s="181">
        <v>118.3</v>
      </c>
      <c r="J168" s="171">
        <v>2</v>
      </c>
      <c r="K168" s="171"/>
      <c r="L168" s="179">
        <v>15831</v>
      </c>
      <c r="M168" s="178">
        <v>514.19999999999993</v>
      </c>
      <c r="N168" s="178">
        <f t="shared" si="4"/>
        <v>659.03517328825012</v>
      </c>
      <c r="O168" s="179">
        <v>5067</v>
      </c>
      <c r="P168" s="198">
        <v>1041.6999999999998</v>
      </c>
      <c r="Q168" s="198">
        <f t="shared" ref="Q168:Q189" si="5">P168/I168*$I$69</f>
        <v>1335.1165694561846</v>
      </c>
      <c r="R168" s="199">
        <v>10608</v>
      </c>
      <c r="S168" s="198">
        <v>160.99999999999997</v>
      </c>
      <c r="T168" s="198">
        <f t="shared" ref="T168:T189" si="6">S168/I168*$I$69</f>
        <v>206.34901380670607</v>
      </c>
      <c r="U168" s="188"/>
      <c r="V168" s="188"/>
      <c r="W168" s="188"/>
      <c r="X168" s="188"/>
      <c r="Y168" s="188"/>
      <c r="Z168" s="188"/>
      <c r="AA168" s="188"/>
      <c r="AB168" s="188"/>
      <c r="AC168" s="188"/>
      <c r="AD168" s="188"/>
      <c r="AE168" s="188"/>
      <c r="AF168" s="188"/>
      <c r="AG168" s="188"/>
      <c r="AH168" s="188"/>
      <c r="AI168" s="188"/>
      <c r="AJ168" s="171"/>
    </row>
    <row r="169" spans="1:36" x14ac:dyDescent="0.2">
      <c r="A169" s="174">
        <v>3</v>
      </c>
      <c r="B169" s="174"/>
      <c r="C169" s="180">
        <f>+E169-E168</f>
        <v>135.82058024999998</v>
      </c>
      <c r="D169" s="174">
        <f>+G169-G168</f>
        <v>119.75308425000003</v>
      </c>
      <c r="E169" s="174">
        <v>455.53310025000002</v>
      </c>
      <c r="F169" s="171"/>
      <c r="G169" s="174">
        <v>403.73410025000004</v>
      </c>
      <c r="H169" s="171"/>
      <c r="I169" s="181">
        <v>117.8</v>
      </c>
      <c r="J169" s="171">
        <v>3</v>
      </c>
      <c r="K169" s="171"/>
      <c r="L169" s="179">
        <v>18428</v>
      </c>
      <c r="M169" s="178">
        <v>654.20000000000027</v>
      </c>
      <c r="N169" s="178">
        <f t="shared" si="4"/>
        <v>842.02796547821197</v>
      </c>
      <c r="O169" s="179">
        <v>6417</v>
      </c>
      <c r="P169" s="198">
        <v>679.60000000000036</v>
      </c>
      <c r="Q169" s="198">
        <f t="shared" si="5"/>
        <v>874.72058290888549</v>
      </c>
      <c r="R169" s="199">
        <v>10319</v>
      </c>
      <c r="S169" s="198">
        <v>152.89999999999998</v>
      </c>
      <c r="T169" s="198">
        <f t="shared" si="6"/>
        <v>196.79926004527439</v>
      </c>
      <c r="U169" s="188"/>
      <c r="V169" s="188"/>
      <c r="W169" s="188"/>
      <c r="X169" s="188"/>
      <c r="Y169" s="188"/>
      <c r="Z169" s="188"/>
      <c r="AA169" s="188"/>
      <c r="AB169" s="188"/>
      <c r="AC169" s="188"/>
      <c r="AD169" s="188"/>
      <c r="AE169" s="188"/>
      <c r="AF169" s="188"/>
      <c r="AG169" s="188"/>
      <c r="AH169" s="188"/>
      <c r="AI169" s="188"/>
      <c r="AJ169" s="171"/>
    </row>
    <row r="170" spans="1:36" x14ac:dyDescent="0.2">
      <c r="A170" s="174">
        <v>4</v>
      </c>
      <c r="B170" s="174"/>
      <c r="C170" s="180">
        <f>+E170-E169</f>
        <v>149.79139924999998</v>
      </c>
      <c r="D170" s="174">
        <f>+G170-G169</f>
        <v>133.49839924999998</v>
      </c>
      <c r="E170" s="174">
        <v>605.3244995</v>
      </c>
      <c r="F170" s="171"/>
      <c r="G170" s="174">
        <v>537.23249950000002</v>
      </c>
      <c r="H170" s="171"/>
      <c r="I170" s="181">
        <v>120.8</v>
      </c>
      <c r="J170" s="171">
        <v>4</v>
      </c>
      <c r="K170" s="171"/>
      <c r="L170" s="179">
        <v>15870</v>
      </c>
      <c r="M170" s="178">
        <v>567.19999999999959</v>
      </c>
      <c r="N170" s="178">
        <f t="shared" si="4"/>
        <v>711.91895143487807</v>
      </c>
      <c r="O170" s="179">
        <v>5114</v>
      </c>
      <c r="P170" s="198">
        <v>911.69999999999982</v>
      </c>
      <c r="Q170" s="198">
        <f t="shared" si="5"/>
        <v>1144.316833609271</v>
      </c>
      <c r="R170" s="199">
        <v>8645</v>
      </c>
      <c r="S170" s="198">
        <v>142.80000000000007</v>
      </c>
      <c r="T170" s="198">
        <f t="shared" si="6"/>
        <v>179.23488410596033</v>
      </c>
      <c r="U170" s="188"/>
      <c r="V170" s="188"/>
      <c r="W170" s="188"/>
      <c r="X170" s="188"/>
      <c r="Y170" s="188"/>
      <c r="Z170" s="188"/>
      <c r="AA170" s="188"/>
      <c r="AB170" s="188"/>
      <c r="AC170" s="188"/>
      <c r="AD170" s="188"/>
      <c r="AE170" s="188"/>
      <c r="AF170" s="188"/>
      <c r="AG170" s="188"/>
      <c r="AH170" s="188"/>
      <c r="AI170" s="188"/>
      <c r="AJ170" s="171"/>
    </row>
    <row r="171" spans="1:36" x14ac:dyDescent="0.2">
      <c r="A171" s="174">
        <v>1</v>
      </c>
      <c r="B171" s="174">
        <v>2008</v>
      </c>
      <c r="C171" s="180">
        <f>+E171</f>
        <v>164.64169099999998</v>
      </c>
      <c r="D171" s="174">
        <f>+G171</f>
        <v>148.61369099999999</v>
      </c>
      <c r="E171" s="174">
        <v>164.64169099999998</v>
      </c>
      <c r="F171" s="171"/>
      <c r="G171" s="174">
        <v>148.61369099999999</v>
      </c>
      <c r="H171" s="171"/>
      <c r="I171" s="181">
        <v>121.9</v>
      </c>
      <c r="J171" s="171">
        <v>1</v>
      </c>
      <c r="K171" s="171">
        <v>2008</v>
      </c>
      <c r="L171" s="179">
        <v>17004</v>
      </c>
      <c r="M171" s="178">
        <v>591.9</v>
      </c>
      <c r="N171" s="178">
        <f t="shared" si="4"/>
        <v>736.21710008203422</v>
      </c>
      <c r="O171" s="179">
        <v>6274</v>
      </c>
      <c r="P171" s="198">
        <v>963.6</v>
      </c>
      <c r="Q171" s="198">
        <f t="shared" si="5"/>
        <v>1198.5450205086136</v>
      </c>
      <c r="R171" s="199">
        <v>7939</v>
      </c>
      <c r="S171" s="198">
        <v>160.1</v>
      </c>
      <c r="T171" s="198">
        <f t="shared" si="6"/>
        <v>199.13559338255396</v>
      </c>
      <c r="U171" s="188"/>
      <c r="V171" s="188"/>
      <c r="W171" s="188"/>
      <c r="X171" s="188"/>
      <c r="Y171" s="188"/>
      <c r="Z171" s="188"/>
      <c r="AA171" s="188"/>
      <c r="AB171" s="188"/>
      <c r="AC171" s="188"/>
      <c r="AD171" s="188"/>
      <c r="AE171" s="188"/>
      <c r="AF171" s="188"/>
      <c r="AG171" s="188"/>
      <c r="AH171" s="188"/>
      <c r="AI171" s="188"/>
      <c r="AJ171" s="171"/>
    </row>
    <row r="172" spans="1:36" x14ac:dyDescent="0.2">
      <c r="A172" s="174">
        <v>2</v>
      </c>
      <c r="B172" s="174"/>
      <c r="C172" s="180">
        <f>+E172-E171</f>
        <v>197.28657850000002</v>
      </c>
      <c r="D172" s="174">
        <f>+G172-G171</f>
        <v>175.71357850000001</v>
      </c>
      <c r="E172" s="174">
        <v>361.9282695</v>
      </c>
      <c r="F172" s="171"/>
      <c r="G172" s="174">
        <v>324.3272695</v>
      </c>
      <c r="H172" s="171"/>
      <c r="I172" s="181">
        <v>122</v>
      </c>
      <c r="J172" s="171">
        <v>2</v>
      </c>
      <c r="K172" s="171"/>
      <c r="L172" s="179">
        <v>14987</v>
      </c>
      <c r="M172" s="178">
        <v>548.4</v>
      </c>
      <c r="N172" s="178">
        <f t="shared" ref="N172:N181" si="7">M172/I172*$I$69</f>
        <v>681.55181967213105</v>
      </c>
      <c r="O172" s="179">
        <v>5831</v>
      </c>
      <c r="P172" s="198">
        <v>1153.8000000000002</v>
      </c>
      <c r="Q172" s="198">
        <f t="shared" si="5"/>
        <v>1433.9432704918033</v>
      </c>
      <c r="R172" s="199">
        <v>10207</v>
      </c>
      <c r="S172" s="198">
        <v>188.4</v>
      </c>
      <c r="T172" s="198">
        <f t="shared" si="6"/>
        <v>234.14362295081966</v>
      </c>
      <c r="U172" s="188"/>
      <c r="V172" s="188"/>
      <c r="W172" s="188"/>
      <c r="X172" s="188"/>
      <c r="Y172" s="188"/>
      <c r="Z172" s="188"/>
      <c r="AA172" s="188"/>
      <c r="AB172" s="188"/>
      <c r="AC172" s="188"/>
      <c r="AD172" s="188"/>
      <c r="AE172" s="188"/>
      <c r="AF172" s="188"/>
      <c r="AG172" s="188"/>
      <c r="AH172" s="188"/>
      <c r="AI172" s="188"/>
      <c r="AJ172" s="171"/>
    </row>
    <row r="173" spans="1:36" x14ac:dyDescent="0.2">
      <c r="A173" s="174">
        <v>3</v>
      </c>
      <c r="B173" s="174"/>
      <c r="C173" s="180">
        <f>+E173-E172</f>
        <v>159.71767174999997</v>
      </c>
      <c r="D173" s="174">
        <f>+G173-G172</f>
        <v>141.40667174999999</v>
      </c>
      <c r="E173" s="174">
        <v>521.64594124999996</v>
      </c>
      <c r="F173" s="171"/>
      <c r="G173" s="174">
        <v>465.73394124999999</v>
      </c>
      <c r="H173" s="171"/>
      <c r="I173" s="181">
        <v>123.1</v>
      </c>
      <c r="J173" s="171">
        <v>3</v>
      </c>
      <c r="K173" s="171"/>
      <c r="L173" s="179">
        <v>19290</v>
      </c>
      <c r="M173" s="178">
        <v>722.70000000000027</v>
      </c>
      <c r="N173" s="178">
        <f t="shared" si="7"/>
        <v>890.14604792851367</v>
      </c>
      <c r="O173" s="179">
        <v>12252</v>
      </c>
      <c r="P173" s="198">
        <v>1486.4999999999995</v>
      </c>
      <c r="Q173" s="198">
        <f t="shared" si="5"/>
        <v>1830.9147644191705</v>
      </c>
      <c r="R173" s="199">
        <v>11007</v>
      </c>
      <c r="S173" s="198">
        <v>186.29999999999995</v>
      </c>
      <c r="T173" s="198">
        <f t="shared" si="6"/>
        <v>229.46479691307871</v>
      </c>
      <c r="U173" s="188"/>
      <c r="V173" s="188"/>
      <c r="W173" s="188"/>
      <c r="X173" s="188"/>
      <c r="Y173" s="188"/>
      <c r="Z173" s="188"/>
      <c r="AA173" s="188"/>
      <c r="AB173" s="188"/>
      <c r="AC173" s="188"/>
      <c r="AD173" s="188"/>
      <c r="AE173" s="188"/>
      <c r="AF173" s="188"/>
      <c r="AG173" s="188"/>
      <c r="AH173" s="188"/>
      <c r="AI173" s="188"/>
      <c r="AJ173" s="171"/>
    </row>
    <row r="174" spans="1:36" x14ac:dyDescent="0.2">
      <c r="A174" s="174">
        <v>4</v>
      </c>
      <c r="B174" s="174"/>
      <c r="C174" s="180">
        <f>+E174-E173</f>
        <v>170.05706974999998</v>
      </c>
      <c r="D174" s="174">
        <f>+G174-G173</f>
        <v>152.54014889999991</v>
      </c>
      <c r="E174" s="174">
        <v>691.70301099999995</v>
      </c>
      <c r="F174" s="171"/>
      <c r="G174" s="174">
        <v>618.27409014999989</v>
      </c>
      <c r="H174" s="171"/>
      <c r="I174" s="178">
        <v>124.7</v>
      </c>
      <c r="J174" s="171">
        <v>4</v>
      </c>
      <c r="K174" s="171"/>
      <c r="L174" s="179">
        <v>16976</v>
      </c>
      <c r="M174" s="178">
        <v>703.10000000000014</v>
      </c>
      <c r="N174" s="178">
        <f t="shared" si="7"/>
        <v>854.89329457364352</v>
      </c>
      <c r="O174" s="179">
        <v>7247</v>
      </c>
      <c r="P174" s="198">
        <v>1160</v>
      </c>
      <c r="Q174" s="198">
        <f t="shared" si="5"/>
        <v>1410.4341085271317</v>
      </c>
      <c r="R174" s="199">
        <v>10145</v>
      </c>
      <c r="S174" s="198">
        <v>269.60000000000014</v>
      </c>
      <c r="T174" s="198">
        <f t="shared" si="6"/>
        <v>327.80434108527146</v>
      </c>
      <c r="U174" s="188"/>
      <c r="V174" s="188"/>
      <c r="W174" s="188"/>
      <c r="X174" s="188"/>
      <c r="Y174" s="188"/>
      <c r="Z174" s="188"/>
      <c r="AA174" s="188"/>
      <c r="AB174" s="188"/>
      <c r="AC174" s="188"/>
      <c r="AD174" s="188"/>
      <c r="AE174" s="188"/>
      <c r="AF174" s="188"/>
      <c r="AG174" s="188"/>
      <c r="AH174" s="188"/>
      <c r="AI174" s="188"/>
      <c r="AJ174" s="171"/>
    </row>
    <row r="175" spans="1:36" x14ac:dyDescent="0.2">
      <c r="A175" s="174">
        <v>1</v>
      </c>
      <c r="B175" s="174">
        <v>2009</v>
      </c>
      <c r="C175" s="180">
        <f>+E175</f>
        <v>191.37959499999999</v>
      </c>
      <c r="D175" s="174">
        <f>+G175</f>
        <v>172.55938714999999</v>
      </c>
      <c r="E175" s="174">
        <v>191.37959499999999</v>
      </c>
      <c r="F175" s="171"/>
      <c r="G175" s="174">
        <v>172.55938714999999</v>
      </c>
      <c r="H175" s="171"/>
      <c r="I175" s="178">
        <v>125</v>
      </c>
      <c r="J175" s="171">
        <v>1</v>
      </c>
      <c r="K175" s="171">
        <v>2009</v>
      </c>
      <c r="L175" s="179">
        <v>18865</v>
      </c>
      <c r="M175" s="178">
        <v>739.59999999999991</v>
      </c>
      <c r="N175" s="178">
        <f t="shared" si="7"/>
        <v>897.11507733333315</v>
      </c>
      <c r="O175" s="179">
        <v>6194</v>
      </c>
      <c r="P175" s="198">
        <v>1049.9000000000001</v>
      </c>
      <c r="Q175" s="198">
        <f t="shared" si="5"/>
        <v>1273.5007026666665</v>
      </c>
      <c r="R175" s="199">
        <v>8619</v>
      </c>
      <c r="S175" s="198">
        <v>213.2</v>
      </c>
      <c r="T175" s="198">
        <f t="shared" si="6"/>
        <v>258.60591466666665</v>
      </c>
      <c r="U175" s="188"/>
      <c r="V175" s="188"/>
      <c r="W175" s="188"/>
      <c r="X175" s="188"/>
      <c r="Y175" s="188"/>
      <c r="Z175" s="188"/>
      <c r="AA175" s="188"/>
      <c r="AB175" s="188"/>
      <c r="AC175" s="188"/>
      <c r="AD175" s="188"/>
      <c r="AE175" s="188"/>
      <c r="AF175" s="188"/>
      <c r="AG175" s="188"/>
      <c r="AH175" s="188"/>
      <c r="AI175" s="188"/>
      <c r="AJ175" s="171"/>
    </row>
    <row r="176" spans="1:36" x14ac:dyDescent="0.2">
      <c r="A176" s="174">
        <v>2</v>
      </c>
      <c r="B176" s="174"/>
      <c r="C176" s="180">
        <f>+E176-E175</f>
        <v>178.90604250000001</v>
      </c>
      <c r="D176" s="174">
        <f>+G176-G175</f>
        <v>160.765232725</v>
      </c>
      <c r="E176" s="174">
        <v>370.28563750000001</v>
      </c>
      <c r="F176" s="171"/>
      <c r="G176" s="174">
        <v>333.324619875</v>
      </c>
      <c r="H176" s="171"/>
      <c r="I176" s="178">
        <v>125.7</v>
      </c>
      <c r="J176" s="171">
        <v>2</v>
      </c>
      <c r="K176" s="171"/>
      <c r="L176" s="179">
        <v>14610</v>
      </c>
      <c r="M176" s="178">
        <v>603.80000000000018</v>
      </c>
      <c r="N176" s="178">
        <f t="shared" si="7"/>
        <v>728.31473614425886</v>
      </c>
      <c r="O176" s="179">
        <v>5486</v>
      </c>
      <c r="P176" s="198">
        <v>1077.9000000000001</v>
      </c>
      <c r="Q176" s="198">
        <f t="shared" si="5"/>
        <v>1300.1829315831342</v>
      </c>
      <c r="R176" s="199">
        <v>11296</v>
      </c>
      <c r="S176" s="198">
        <v>235.3</v>
      </c>
      <c r="T176" s="198">
        <f t="shared" si="6"/>
        <v>283.82321532749933</v>
      </c>
      <c r="U176" s="188"/>
      <c r="V176" s="188"/>
      <c r="W176" s="188"/>
      <c r="X176" s="188"/>
      <c r="Y176" s="188"/>
      <c r="Z176" s="188"/>
      <c r="AA176" s="188"/>
      <c r="AB176" s="188"/>
      <c r="AC176" s="188"/>
      <c r="AD176" s="188"/>
      <c r="AE176" s="188"/>
      <c r="AF176" s="188"/>
      <c r="AG176" s="188"/>
      <c r="AH176" s="188"/>
      <c r="AI176" s="188"/>
      <c r="AJ176" s="171"/>
    </row>
    <row r="177" spans="1:36" x14ac:dyDescent="0.2">
      <c r="A177" s="174">
        <v>3</v>
      </c>
      <c r="B177" s="174"/>
      <c r="C177" s="180">
        <f>+E177-E176</f>
        <v>160.23377500000004</v>
      </c>
      <c r="D177" s="174">
        <f>+G177-G176</f>
        <v>142.31202375000004</v>
      </c>
      <c r="E177" s="174">
        <v>530.51941250000004</v>
      </c>
      <c r="F177" s="171"/>
      <c r="G177" s="174">
        <v>475.63664362500003</v>
      </c>
      <c r="H177" s="171"/>
      <c r="I177" s="178">
        <v>125.4</v>
      </c>
      <c r="J177" s="171">
        <v>3</v>
      </c>
      <c r="K177" s="171"/>
      <c r="L177" s="179">
        <v>19220</v>
      </c>
      <c r="M177" s="178">
        <v>795.69999999999982</v>
      </c>
      <c r="N177" s="178">
        <f t="shared" si="7"/>
        <v>962.08421185539567</v>
      </c>
      <c r="O177" s="179">
        <v>13278</v>
      </c>
      <c r="P177" s="198">
        <v>1278.0999999999999</v>
      </c>
      <c r="Q177" s="198">
        <f t="shared" si="5"/>
        <v>1545.3560778841038</v>
      </c>
      <c r="R177" s="199">
        <v>11383</v>
      </c>
      <c r="S177" s="198">
        <v>231.79999999999995</v>
      </c>
      <c r="T177" s="198">
        <f t="shared" si="6"/>
        <v>280.27035353535342</v>
      </c>
      <c r="U177" s="188"/>
      <c r="V177" s="188"/>
      <c r="W177" s="188"/>
      <c r="X177" s="188"/>
      <c r="Y177" s="188"/>
      <c r="Z177" s="188"/>
      <c r="AA177" s="188"/>
      <c r="AB177" s="188"/>
      <c r="AC177" s="188"/>
      <c r="AD177" s="188"/>
      <c r="AE177" s="188"/>
      <c r="AF177" s="188"/>
      <c r="AG177" s="188"/>
      <c r="AH177" s="188"/>
      <c r="AI177" s="188"/>
      <c r="AJ177" s="171"/>
    </row>
    <row r="178" spans="1:36" x14ac:dyDescent="0.2">
      <c r="A178" s="174">
        <v>4</v>
      </c>
      <c r="B178" s="174"/>
      <c r="C178" s="180">
        <f>+E178-E177</f>
        <v>179.8571388695641</v>
      </c>
      <c r="D178" s="174">
        <f>+G178-G177</f>
        <v>163.53199924456408</v>
      </c>
      <c r="E178" s="174">
        <v>710.37655136956414</v>
      </c>
      <c r="F178" s="171"/>
      <c r="G178" s="174">
        <v>639.16864286956411</v>
      </c>
      <c r="H178" s="171"/>
      <c r="I178" s="178">
        <v>126.6</v>
      </c>
      <c r="J178" s="171">
        <v>4</v>
      </c>
      <c r="K178" s="171"/>
      <c r="L178" s="179">
        <v>16838</v>
      </c>
      <c r="M178" s="178">
        <v>759.30000000000018</v>
      </c>
      <c r="N178" s="178">
        <f t="shared" si="7"/>
        <v>909.37070695102693</v>
      </c>
      <c r="O178" s="179">
        <v>6227</v>
      </c>
      <c r="P178" s="198">
        <v>1192.2000000000003</v>
      </c>
      <c r="Q178" s="198">
        <f t="shared" si="5"/>
        <v>1427.8305766192736</v>
      </c>
      <c r="R178" s="199">
        <v>10409</v>
      </c>
      <c r="S178" s="198">
        <v>276.40000000000009</v>
      </c>
      <c r="T178" s="198">
        <f t="shared" si="6"/>
        <v>331.02866245392318</v>
      </c>
      <c r="U178" s="188"/>
      <c r="V178" s="188"/>
      <c r="W178" s="188"/>
      <c r="X178" s="188"/>
      <c r="Y178" s="188"/>
      <c r="Z178" s="188"/>
      <c r="AA178" s="188"/>
      <c r="AB178" s="188"/>
      <c r="AC178" s="188"/>
      <c r="AD178" s="188"/>
      <c r="AE178" s="188"/>
      <c r="AF178" s="188"/>
      <c r="AG178" s="188"/>
      <c r="AH178" s="188"/>
      <c r="AI178" s="188"/>
      <c r="AJ178" s="171"/>
    </row>
    <row r="179" spans="1:36" x14ac:dyDescent="0.2">
      <c r="A179" s="174">
        <v>1</v>
      </c>
      <c r="B179" s="174">
        <v>2010</v>
      </c>
      <c r="C179" s="180">
        <f>+E179</f>
        <v>204.63648875000001</v>
      </c>
      <c r="D179" s="174">
        <f>+G179</f>
        <v>186.506571025</v>
      </c>
      <c r="E179" s="174">
        <v>204.63648875000001</v>
      </c>
      <c r="F179" s="171"/>
      <c r="G179" s="174">
        <v>186.506571025</v>
      </c>
      <c r="H179" s="171"/>
      <c r="I179" s="178">
        <v>128.69999999999999</v>
      </c>
      <c r="J179" s="171">
        <v>1</v>
      </c>
      <c r="K179" s="171">
        <v>2010</v>
      </c>
      <c r="L179" s="179">
        <v>40484.70904761905</v>
      </c>
      <c r="M179" s="178">
        <v>1693.2251146266974</v>
      </c>
      <c r="N179" s="178">
        <f t="shared" si="7"/>
        <v>1994.7910949615971</v>
      </c>
      <c r="O179" s="179">
        <v>6690</v>
      </c>
      <c r="P179" s="198">
        <v>1648.5</v>
      </c>
      <c r="Q179" s="198">
        <f t="shared" si="5"/>
        <v>1942.1003690753689</v>
      </c>
      <c r="R179" s="199">
        <v>7227</v>
      </c>
      <c r="S179" s="198">
        <v>243.10000000000002</v>
      </c>
      <c r="T179" s="198">
        <f t="shared" si="6"/>
        <v>286.39648148148149</v>
      </c>
      <c r="U179" s="188"/>
      <c r="V179" s="188"/>
      <c r="W179" s="188"/>
      <c r="X179" s="188"/>
      <c r="Y179" s="188"/>
      <c r="Z179" s="188"/>
      <c r="AA179" s="188"/>
      <c r="AB179" s="188"/>
      <c r="AC179" s="188"/>
      <c r="AD179" s="188"/>
      <c r="AE179" s="188"/>
      <c r="AF179" s="188"/>
      <c r="AG179" s="188"/>
      <c r="AH179" s="188"/>
      <c r="AI179" s="188"/>
      <c r="AJ179" s="171"/>
    </row>
    <row r="180" spans="1:36" x14ac:dyDescent="0.2">
      <c r="A180" s="174">
        <v>2</v>
      </c>
      <c r="B180" s="174"/>
      <c r="C180" s="180">
        <f>+E180-E179</f>
        <v>188.95691625000001</v>
      </c>
      <c r="D180" s="174">
        <f>+G180-G179</f>
        <v>170.46253197500002</v>
      </c>
      <c r="E180" s="174">
        <v>393.59340500000002</v>
      </c>
      <c r="F180" s="171"/>
      <c r="G180" s="174">
        <v>356.96910300000002</v>
      </c>
      <c r="H180" s="171"/>
      <c r="I180" s="178">
        <v>128.9</v>
      </c>
      <c r="J180" s="171">
        <v>2</v>
      </c>
      <c r="K180" s="171"/>
      <c r="L180" s="179">
        <v>20633.79583333333</v>
      </c>
      <c r="M180" s="178">
        <v>864.97098885712671</v>
      </c>
      <c r="N180" s="178">
        <f t="shared" si="7"/>
        <v>1017.4425364533149</v>
      </c>
      <c r="O180" s="179">
        <v>5716</v>
      </c>
      <c r="P180" s="198">
        <v>1381.6999999999998</v>
      </c>
      <c r="Q180" s="198">
        <f t="shared" si="5"/>
        <v>1625.2572291181789</v>
      </c>
      <c r="R180" s="199">
        <v>10696</v>
      </c>
      <c r="S180" s="198">
        <v>201.60000000000002</v>
      </c>
      <c r="T180" s="198">
        <f t="shared" si="6"/>
        <v>237.13675717610548</v>
      </c>
      <c r="U180" s="188"/>
      <c r="V180" s="188"/>
      <c r="W180" s="188"/>
      <c r="X180" s="188"/>
      <c r="Y180" s="188"/>
      <c r="Z180" s="188"/>
      <c r="AA180" s="188"/>
      <c r="AB180" s="188"/>
      <c r="AC180" s="188"/>
      <c r="AD180" s="188"/>
      <c r="AE180" s="188"/>
      <c r="AF180" s="188"/>
      <c r="AG180" s="188"/>
      <c r="AH180" s="188"/>
      <c r="AI180" s="188"/>
      <c r="AJ180" s="171"/>
    </row>
    <row r="181" spans="1:36" x14ac:dyDescent="0.2">
      <c r="A181" s="174">
        <v>3</v>
      </c>
      <c r="B181" s="174"/>
      <c r="C181" s="180">
        <f>+E181-E180</f>
        <v>172.07737875000004</v>
      </c>
      <c r="D181" s="174">
        <f>+G181-G180</f>
        <v>154.15607493749997</v>
      </c>
      <c r="E181" s="174">
        <v>565.67078375000006</v>
      </c>
      <c r="F181" s="171"/>
      <c r="G181" s="174">
        <v>511.12517793749998</v>
      </c>
      <c r="H181" s="171"/>
      <c r="I181" s="178">
        <v>127.8</v>
      </c>
      <c r="J181" s="171">
        <v>3</v>
      </c>
      <c r="K181" s="171"/>
      <c r="L181" s="179">
        <v>19149.335833333338</v>
      </c>
      <c r="M181" s="178">
        <v>861.71516601647909</v>
      </c>
      <c r="N181" s="178">
        <f t="shared" si="7"/>
        <v>1022.3371648150384</v>
      </c>
      <c r="O181" s="179">
        <v>9089</v>
      </c>
      <c r="P181" s="198">
        <v>1286.1999999999998</v>
      </c>
      <c r="Q181" s="198">
        <f t="shared" si="5"/>
        <v>1525.9451304121019</v>
      </c>
      <c r="R181" s="199">
        <v>11532</v>
      </c>
      <c r="S181" s="198">
        <v>200.69999999999993</v>
      </c>
      <c r="T181" s="198">
        <f t="shared" si="6"/>
        <v>238.11008215962428</v>
      </c>
      <c r="U181" s="188"/>
      <c r="V181" s="188"/>
      <c r="W181" s="188"/>
      <c r="X181" s="188"/>
      <c r="Y181" s="188"/>
      <c r="Z181" s="188"/>
      <c r="AA181" s="188"/>
      <c r="AB181" s="188"/>
      <c r="AC181" s="188"/>
      <c r="AD181" s="188"/>
      <c r="AE181" s="188"/>
      <c r="AF181" s="188"/>
      <c r="AG181" s="188"/>
      <c r="AH181" s="188"/>
      <c r="AI181" s="188"/>
      <c r="AJ181" s="171"/>
    </row>
    <row r="182" spans="1:36" x14ac:dyDescent="0.2">
      <c r="A182" s="174">
        <v>4</v>
      </c>
      <c r="B182" s="174"/>
      <c r="C182" s="180">
        <f>+E182-E181</f>
        <v>192.96143124999992</v>
      </c>
      <c r="D182" s="174">
        <f>+G182-G181</f>
        <v>174.39946771249993</v>
      </c>
      <c r="E182" s="174">
        <v>758.63221499999997</v>
      </c>
      <c r="F182" s="171"/>
      <c r="G182" s="174">
        <v>685.52464564999991</v>
      </c>
      <c r="H182" s="171"/>
      <c r="I182" s="178">
        <v>129</v>
      </c>
      <c r="J182" s="171">
        <v>4</v>
      </c>
      <c r="K182" s="171"/>
      <c r="L182" s="179">
        <v>22322.361666666664</v>
      </c>
      <c r="M182" s="178">
        <v>889.84894905372039</v>
      </c>
      <c r="N182" s="178">
        <f t="shared" ref="N182" si="8">M182/I182*$I$69</f>
        <v>1045.8944243186575</v>
      </c>
      <c r="O182" s="179">
        <v>5858</v>
      </c>
      <c r="P182" s="198">
        <v>1310.8000000000011</v>
      </c>
      <c r="Q182" s="198">
        <f t="shared" si="5"/>
        <v>1540.6641912144712</v>
      </c>
      <c r="R182" s="199">
        <v>9548</v>
      </c>
      <c r="S182" s="198">
        <v>205</v>
      </c>
      <c r="T182" s="198">
        <f t="shared" si="6"/>
        <v>240.94916020671829</v>
      </c>
      <c r="U182" s="188"/>
      <c r="V182" s="188"/>
      <c r="W182" s="188"/>
      <c r="X182" s="188"/>
      <c r="Y182" s="188"/>
      <c r="Z182" s="188"/>
      <c r="AA182" s="188"/>
      <c r="AB182" s="188"/>
      <c r="AC182" s="188"/>
      <c r="AD182" s="188"/>
      <c r="AE182" s="188"/>
      <c r="AF182" s="188"/>
      <c r="AG182" s="188"/>
      <c r="AH182" s="188"/>
      <c r="AI182" s="188"/>
      <c r="AJ182" s="171"/>
    </row>
    <row r="183" spans="1:36" x14ac:dyDescent="0.2">
      <c r="A183" s="174">
        <v>1</v>
      </c>
      <c r="B183" s="174">
        <v>2011</v>
      </c>
      <c r="C183" s="180">
        <f>+E183</f>
        <v>204.00503875000001</v>
      </c>
      <c r="D183" s="174">
        <f>+G183</f>
        <v>184.8599929625</v>
      </c>
      <c r="E183" s="174">
        <v>204.00503875000001</v>
      </c>
      <c r="F183" s="171"/>
      <c r="G183" s="174">
        <v>184.8599929625</v>
      </c>
      <c r="H183" s="171"/>
      <c r="I183" s="178">
        <v>130.19999999999999</v>
      </c>
      <c r="J183" s="171">
        <v>1</v>
      </c>
      <c r="K183" s="171">
        <v>2011</v>
      </c>
      <c r="L183" s="179">
        <v>26141.662648809524</v>
      </c>
      <c r="M183" s="178">
        <v>1061.4209517567813</v>
      </c>
      <c r="N183" s="178">
        <f t="shared" ref="N183:N186" si="9">M183/I183*$I$69</f>
        <v>1236.0554050712963</v>
      </c>
      <c r="O183" s="179">
        <v>5959</v>
      </c>
      <c r="P183" s="198">
        <v>1698.7</v>
      </c>
      <c r="Q183" s="198">
        <f t="shared" si="5"/>
        <v>1978.1852931387607</v>
      </c>
      <c r="R183" s="199">
        <v>6732</v>
      </c>
      <c r="S183" s="198">
        <v>156.5</v>
      </c>
      <c r="T183" s="198">
        <f t="shared" si="6"/>
        <v>182.24877752176138</v>
      </c>
      <c r="U183" s="188"/>
      <c r="V183" s="188"/>
      <c r="W183" s="188"/>
      <c r="X183" s="188"/>
      <c r="Y183" s="188"/>
      <c r="Z183" s="188"/>
      <c r="AA183" s="188"/>
      <c r="AB183" s="188"/>
      <c r="AC183" s="188"/>
      <c r="AD183" s="188"/>
      <c r="AE183" s="188"/>
      <c r="AF183" s="188"/>
      <c r="AG183" s="188"/>
      <c r="AH183" s="188"/>
      <c r="AI183" s="188"/>
      <c r="AJ183" s="171"/>
    </row>
    <row r="184" spans="1:36" x14ac:dyDescent="0.2">
      <c r="A184" s="174">
        <v>2</v>
      </c>
      <c r="B184" s="174"/>
      <c r="C184" s="180">
        <f>+E184-E183</f>
        <v>188.74104374999999</v>
      </c>
      <c r="D184" s="174">
        <f>+G184-G183</f>
        <v>171.33320521249996</v>
      </c>
      <c r="E184" s="171">
        <v>392.7460825</v>
      </c>
      <c r="F184" s="171"/>
      <c r="G184" s="171">
        <v>356.19319817499996</v>
      </c>
      <c r="H184" s="171"/>
      <c r="I184" s="178">
        <v>131</v>
      </c>
      <c r="J184" s="171">
        <v>2</v>
      </c>
      <c r="K184" s="171"/>
      <c r="L184" s="183">
        <v>18851.951101190472</v>
      </c>
      <c r="M184" s="184">
        <v>776.58308820124375</v>
      </c>
      <c r="N184" s="178">
        <f t="shared" si="9"/>
        <v>898.83070334518754</v>
      </c>
      <c r="O184" s="179">
        <v>7524</v>
      </c>
      <c r="P184" s="198">
        <v>1533.4000000000003</v>
      </c>
      <c r="Q184" s="198">
        <f t="shared" si="5"/>
        <v>1774.7836921119592</v>
      </c>
      <c r="R184" s="199">
        <v>10017</v>
      </c>
      <c r="S184" s="198">
        <v>197.79999999999995</v>
      </c>
      <c r="T184" s="198">
        <f t="shared" si="6"/>
        <v>228.93714249363856</v>
      </c>
      <c r="U184" s="188"/>
      <c r="V184" s="188"/>
      <c r="W184" s="188"/>
      <c r="X184" s="188"/>
      <c r="Y184" s="188"/>
      <c r="Z184" s="188"/>
      <c r="AA184" s="188"/>
      <c r="AB184" s="188"/>
      <c r="AC184" s="188"/>
      <c r="AD184" s="188"/>
      <c r="AE184" s="188"/>
      <c r="AF184" s="188"/>
      <c r="AG184" s="188"/>
      <c r="AH184" s="188"/>
      <c r="AI184" s="188"/>
      <c r="AJ184" s="171"/>
    </row>
    <row r="185" spans="1:36" x14ac:dyDescent="0.2">
      <c r="A185" s="174">
        <v>3</v>
      </c>
      <c r="B185" s="171"/>
      <c r="C185" s="180">
        <f>+E185-E184</f>
        <v>169.93391749999995</v>
      </c>
      <c r="D185" s="174">
        <f>+G185-G184</f>
        <v>151.69380182500004</v>
      </c>
      <c r="E185" s="171">
        <v>562.67999999999995</v>
      </c>
      <c r="F185" s="171"/>
      <c r="G185" s="171">
        <v>507.887</v>
      </c>
      <c r="H185" s="171"/>
      <c r="I185" s="178">
        <v>129.4</v>
      </c>
      <c r="J185" s="171">
        <v>3</v>
      </c>
      <c r="K185" s="171"/>
      <c r="L185" s="183">
        <v>24107.386250000007</v>
      </c>
      <c r="M185" s="184">
        <v>914.64669811090494</v>
      </c>
      <c r="N185" s="178">
        <f t="shared" si="9"/>
        <v>1071.7175948897905</v>
      </c>
      <c r="O185" s="179">
        <v>10171</v>
      </c>
      <c r="P185" s="198">
        <v>1285.3999999999996</v>
      </c>
      <c r="Q185" s="198">
        <f t="shared" si="5"/>
        <v>1506.1398016486341</v>
      </c>
      <c r="R185" s="199">
        <v>10339</v>
      </c>
      <c r="S185" s="198">
        <v>167.29999999999995</v>
      </c>
      <c r="T185" s="198">
        <f t="shared" si="6"/>
        <v>196.03017645543522</v>
      </c>
      <c r="U185" s="188"/>
      <c r="V185" s="188"/>
      <c r="W185" s="188"/>
      <c r="X185" s="188"/>
      <c r="Y185" s="188"/>
      <c r="Z185" s="188"/>
      <c r="AA185" s="188"/>
      <c r="AB185" s="188"/>
      <c r="AC185" s="188"/>
      <c r="AD185" s="188"/>
      <c r="AE185" s="188"/>
      <c r="AF185" s="188"/>
      <c r="AG185" s="188"/>
      <c r="AH185" s="188"/>
      <c r="AI185" s="188"/>
      <c r="AJ185" s="171"/>
    </row>
    <row r="186" spans="1:36" x14ac:dyDescent="0.2">
      <c r="A186" s="171">
        <v>4</v>
      </c>
      <c r="B186" s="171"/>
      <c r="C186" s="180">
        <f>+E186-E185</f>
        <v>202.17554500000006</v>
      </c>
      <c r="D186" s="174">
        <f>+G186-G185</f>
        <v>178.91908595000001</v>
      </c>
      <c r="E186" s="171">
        <v>764.85554500000001</v>
      </c>
      <c r="F186" s="171"/>
      <c r="G186" s="171">
        <v>686.80608595000001</v>
      </c>
      <c r="H186" s="171"/>
      <c r="I186" s="171">
        <v>130.5</v>
      </c>
      <c r="J186" s="171">
        <v>4</v>
      </c>
      <c r="K186" s="171"/>
      <c r="L186" s="183">
        <v>18022.572976190484</v>
      </c>
      <c r="M186" s="178">
        <v>777.38419736292576</v>
      </c>
      <c r="N186" s="178">
        <f t="shared" si="9"/>
        <v>903.20526930648066</v>
      </c>
      <c r="O186" s="183">
        <v>8775.7956028314002</v>
      </c>
      <c r="P186" s="198">
        <v>1286.8626975018997</v>
      </c>
      <c r="Q186" s="198">
        <f t="shared" si="5"/>
        <v>1495.1438081716512</v>
      </c>
      <c r="R186" s="202">
        <v>9645.4866500746648</v>
      </c>
      <c r="S186" s="198">
        <v>181.103452008619</v>
      </c>
      <c r="T186" s="198">
        <f t="shared" si="6"/>
        <v>210.41538109297693</v>
      </c>
      <c r="U186" s="188"/>
      <c r="V186" s="188"/>
      <c r="W186" s="188"/>
      <c r="X186" s="188"/>
      <c r="Y186" s="188"/>
      <c r="Z186" s="188"/>
      <c r="AA186" s="188"/>
      <c r="AB186" s="188"/>
      <c r="AC186" s="188"/>
      <c r="AD186" s="188"/>
      <c r="AE186" s="188"/>
      <c r="AF186" s="188"/>
      <c r="AG186" s="188"/>
      <c r="AH186" s="188"/>
      <c r="AI186" s="188"/>
      <c r="AJ186" s="171"/>
    </row>
    <row r="187" spans="1:36" x14ac:dyDescent="0.2">
      <c r="A187" s="171">
        <v>1</v>
      </c>
      <c r="B187" s="171">
        <v>2012</v>
      </c>
      <c r="C187" s="180">
        <f>+E187</f>
        <v>195.82938625</v>
      </c>
      <c r="D187" s="174">
        <f>+G187</f>
        <v>177.0717714875</v>
      </c>
      <c r="E187" s="171">
        <v>195.82938625</v>
      </c>
      <c r="F187" s="171"/>
      <c r="G187" s="171">
        <v>177.0717714875</v>
      </c>
      <c r="H187" s="171"/>
      <c r="I187" s="171">
        <v>131.69999999999999</v>
      </c>
      <c r="J187" s="171">
        <v>1</v>
      </c>
      <c r="K187" s="171">
        <v>2012</v>
      </c>
      <c r="L187" s="183">
        <v>18517.39324404762</v>
      </c>
      <c r="M187" s="178">
        <v>869.15461769403078</v>
      </c>
      <c r="N187" s="178">
        <f t="shared" ref="N187:N193" si="10">M187/I187*$I$69</f>
        <v>1000.6277276066699</v>
      </c>
      <c r="O187" s="179">
        <v>6822.44890070785</v>
      </c>
      <c r="P187" s="198">
        <v>1150.314057295883</v>
      </c>
      <c r="Q187" s="198">
        <f t="shared" si="5"/>
        <v>1324.316891095651</v>
      </c>
      <c r="R187" s="199">
        <v>7564.3716625186662</v>
      </c>
      <c r="S187" s="198">
        <v>175.73767321176348</v>
      </c>
      <c r="T187" s="198">
        <f t="shared" si="6"/>
        <v>202.32072064153073</v>
      </c>
      <c r="U187" s="188"/>
      <c r="V187" s="188"/>
      <c r="W187" s="188"/>
      <c r="X187" s="188"/>
      <c r="Y187" s="188"/>
      <c r="Z187" s="188"/>
      <c r="AA187" s="188"/>
      <c r="AB187" s="188"/>
      <c r="AC187" s="188"/>
      <c r="AD187" s="188"/>
      <c r="AE187" s="188"/>
      <c r="AF187" s="188"/>
      <c r="AG187" s="188"/>
      <c r="AH187" s="188"/>
      <c r="AI187" s="188"/>
      <c r="AJ187" s="171"/>
    </row>
    <row r="188" spans="1:36" x14ac:dyDescent="0.2">
      <c r="A188" s="171">
        <v>2</v>
      </c>
      <c r="B188" s="171"/>
      <c r="C188" s="180">
        <f>+E188-E187</f>
        <v>182.75061374999999</v>
      </c>
      <c r="D188" s="174">
        <f>+G188-G187</f>
        <v>165.12822851249999</v>
      </c>
      <c r="E188" s="185">
        <v>378.58</v>
      </c>
      <c r="F188" s="171"/>
      <c r="G188" s="171">
        <v>342.2</v>
      </c>
      <c r="H188" s="171"/>
      <c r="I188" s="171">
        <v>131.69999999999999</v>
      </c>
      <c r="J188" s="171">
        <v>2</v>
      </c>
      <c r="K188" s="171"/>
      <c r="L188" s="183">
        <v>14087.60675595238</v>
      </c>
      <c r="M188" s="178">
        <v>635.43152402028181</v>
      </c>
      <c r="N188" s="178">
        <f t="shared" si="10"/>
        <v>731.55039274483795</v>
      </c>
      <c r="O188" s="179">
        <v>4838.55109929215</v>
      </c>
      <c r="P188" s="198">
        <v>1037.7970664905204</v>
      </c>
      <c r="Q188" s="198">
        <f t="shared" si="5"/>
        <v>1194.779961147078</v>
      </c>
      <c r="R188" s="199">
        <v>10002.628337481334</v>
      </c>
      <c r="S188" s="198">
        <v>184.20744441885319</v>
      </c>
      <c r="T188" s="198">
        <f t="shared" si="6"/>
        <v>212.07167604551165</v>
      </c>
      <c r="U188" s="188"/>
      <c r="V188" s="188"/>
      <c r="W188" s="188"/>
      <c r="X188" s="188"/>
      <c r="Y188" s="188"/>
      <c r="Z188" s="188"/>
      <c r="AA188" s="188"/>
      <c r="AB188" s="188"/>
      <c r="AC188" s="188"/>
      <c r="AD188" s="188"/>
      <c r="AE188" s="188"/>
      <c r="AF188" s="188"/>
      <c r="AG188" s="188"/>
      <c r="AH188" s="188"/>
      <c r="AI188" s="188"/>
      <c r="AJ188" s="171"/>
    </row>
    <row r="189" spans="1:36" x14ac:dyDescent="0.2">
      <c r="A189" s="174">
        <v>3</v>
      </c>
      <c r="B189" s="171"/>
      <c r="C189" s="180">
        <f>+E189-E188</f>
        <v>165.72960875000007</v>
      </c>
      <c r="D189" s="174">
        <f>+G189-G188</f>
        <v>148.24155396250001</v>
      </c>
      <c r="E189" s="171">
        <v>544.30960875000005</v>
      </c>
      <c r="F189" s="171"/>
      <c r="G189" s="171">
        <v>490.4415539625</v>
      </c>
      <c r="H189" s="171"/>
      <c r="I189" s="171">
        <v>130</v>
      </c>
      <c r="J189" s="171">
        <v>3</v>
      </c>
      <c r="K189" s="171"/>
      <c r="L189" s="186">
        <v>20999.460714285713</v>
      </c>
      <c r="M189" s="187">
        <v>864.77367174435972</v>
      </c>
      <c r="N189" s="178">
        <f t="shared" si="10"/>
        <v>1008.6032723025593</v>
      </c>
      <c r="O189" s="186">
        <v>6828.0536397386386</v>
      </c>
      <c r="P189" s="203">
        <v>1132.0609213635664</v>
      </c>
      <c r="Q189" s="198">
        <f t="shared" si="5"/>
        <v>1320.3458743488168</v>
      </c>
      <c r="R189" s="204">
        <v>10877.781177428844</v>
      </c>
      <c r="S189" s="203">
        <v>190.02859425457928</v>
      </c>
      <c r="T189" s="198">
        <f t="shared" si="6"/>
        <v>221.63424750156202</v>
      </c>
      <c r="U189" s="188"/>
      <c r="V189" s="188"/>
      <c r="W189" s="188"/>
      <c r="X189" s="188"/>
      <c r="Y189" s="188"/>
      <c r="Z189" s="188"/>
      <c r="AA189" s="188"/>
      <c r="AB189" s="188"/>
      <c r="AC189" s="188"/>
      <c r="AD189" s="188"/>
      <c r="AE189" s="188"/>
      <c r="AF189" s="188"/>
      <c r="AG189" s="188"/>
      <c r="AH189" s="188"/>
      <c r="AI189" s="188"/>
      <c r="AJ189" s="171"/>
    </row>
    <row r="190" spans="1:36" x14ac:dyDescent="0.2">
      <c r="A190" s="174">
        <v>4</v>
      </c>
      <c r="B190" s="171"/>
      <c r="C190" s="180">
        <f>+E190-E189</f>
        <v>166.80539124999996</v>
      </c>
      <c r="D190" s="174">
        <f>+G190-G189</f>
        <v>151.72844603749996</v>
      </c>
      <c r="E190" s="171">
        <v>711.11500000000001</v>
      </c>
      <c r="F190" s="171"/>
      <c r="G190" s="171">
        <v>642.16999999999996</v>
      </c>
      <c r="H190" s="171"/>
      <c r="I190" s="171">
        <v>132</v>
      </c>
      <c r="J190" s="171">
        <v>4</v>
      </c>
      <c r="K190" s="171"/>
      <c r="L190" s="186">
        <v>17946.539285714287</v>
      </c>
      <c r="M190" s="187">
        <v>826.79347775776318</v>
      </c>
      <c r="N190" s="178">
        <f t="shared" si="10"/>
        <v>949.69549308152739</v>
      </c>
      <c r="O190" s="186">
        <v>5621.9463602613596</v>
      </c>
      <c r="P190" s="203">
        <v>1071.0118577206574</v>
      </c>
      <c r="Q190" s="198">
        <f t="shared" ref="Q190:Q215" si="11">P190/I190*$I$69</f>
        <v>1230.2166885406734</v>
      </c>
      <c r="R190" s="204">
        <v>8525.2188225711561</v>
      </c>
      <c r="S190" s="203">
        <v>190.41732478586363</v>
      </c>
      <c r="T190" s="198">
        <f t="shared" ref="T190:T215" si="12">S190/I190*$I$69</f>
        <v>218.7226677745501</v>
      </c>
      <c r="U190" s="188"/>
      <c r="V190" s="188"/>
      <c r="W190" s="188"/>
      <c r="X190" s="188"/>
      <c r="Y190" s="188"/>
      <c r="Z190" s="188"/>
      <c r="AA190" s="188"/>
      <c r="AB190" s="188"/>
      <c r="AC190" s="188"/>
      <c r="AD190" s="188"/>
      <c r="AE190" s="188"/>
      <c r="AF190" s="188"/>
      <c r="AG190" s="188"/>
      <c r="AH190" s="188"/>
      <c r="AI190" s="188"/>
      <c r="AJ190" s="171"/>
    </row>
    <row r="191" spans="1:36" x14ac:dyDescent="0.2">
      <c r="A191" s="171">
        <v>1</v>
      </c>
      <c r="B191" s="171">
        <v>2013</v>
      </c>
      <c r="C191" s="180">
        <f>+E191</f>
        <v>199.180995</v>
      </c>
      <c r="D191" s="174">
        <f>+G191</f>
        <v>183.65288545000001</v>
      </c>
      <c r="E191" s="171">
        <v>199.180995</v>
      </c>
      <c r="F191" s="171"/>
      <c r="G191" s="171">
        <v>183.65288545000001</v>
      </c>
      <c r="H191" s="171"/>
      <c r="I191" s="171">
        <v>133</v>
      </c>
      <c r="J191" s="171">
        <v>1</v>
      </c>
      <c r="K191" s="171">
        <f>B191</f>
        <v>2013</v>
      </c>
      <c r="L191" s="186">
        <v>21974.571815476189</v>
      </c>
      <c r="M191" s="187">
        <v>1023.0812127444322</v>
      </c>
      <c r="N191" s="178">
        <f t="shared" si="10"/>
        <v>1166.3254030952282</v>
      </c>
      <c r="O191" s="186">
        <v>5520.4451678348678</v>
      </c>
      <c r="P191" s="203">
        <v>1148.1840804128565</v>
      </c>
      <c r="Q191" s="198">
        <f t="shared" si="11"/>
        <v>1308.9442399423406</v>
      </c>
      <c r="R191" s="204">
        <v>5958.3970505452735</v>
      </c>
      <c r="S191" s="203">
        <v>167.84779905693762</v>
      </c>
      <c r="T191" s="198">
        <f t="shared" si="12"/>
        <v>191.34859428078676</v>
      </c>
      <c r="U191" s="188"/>
      <c r="V191" s="188"/>
      <c r="W191" s="188"/>
      <c r="X191" s="188"/>
      <c r="Y191" s="188"/>
      <c r="Z191" s="188"/>
      <c r="AA191" s="188"/>
      <c r="AB191" s="188"/>
      <c r="AC191" s="188"/>
      <c r="AD191" s="188"/>
      <c r="AE191" s="188"/>
      <c r="AF191" s="188"/>
      <c r="AG191" s="188"/>
      <c r="AH191" s="188"/>
      <c r="AI191" s="188"/>
      <c r="AJ191" s="171"/>
    </row>
    <row r="192" spans="1:36" x14ac:dyDescent="0.2">
      <c r="A192" s="171">
        <v>2</v>
      </c>
      <c r="B192" s="171"/>
      <c r="C192" s="180">
        <f>+E192-E191</f>
        <v>205.01500500000003</v>
      </c>
      <c r="D192" s="174">
        <f>+G192-G191</f>
        <v>185.63411454999996</v>
      </c>
      <c r="E192" s="171">
        <v>404.19600000000003</v>
      </c>
      <c r="F192" s="171"/>
      <c r="G192" s="171">
        <v>369.28699999999998</v>
      </c>
      <c r="H192" s="171"/>
      <c r="I192" s="171">
        <v>134.30000000000001</v>
      </c>
      <c r="J192" s="171">
        <v>2</v>
      </c>
      <c r="K192" s="171"/>
      <c r="L192" s="186">
        <v>23960.428184523811</v>
      </c>
      <c r="M192" s="187">
        <v>1011.581560458749</v>
      </c>
      <c r="N192" s="178">
        <f t="shared" si="10"/>
        <v>1142.0527339242212</v>
      </c>
      <c r="O192" s="186">
        <v>6388.5548321651322</v>
      </c>
      <c r="P192" s="203">
        <v>1133.7065185307133</v>
      </c>
      <c r="Q192" s="198">
        <f t="shared" si="11"/>
        <v>1279.9290532426726</v>
      </c>
      <c r="R192" s="204">
        <v>10154.602949454726</v>
      </c>
      <c r="S192" s="203">
        <v>176.1673175310234</v>
      </c>
      <c r="T192" s="198">
        <f t="shared" si="12"/>
        <v>198.88892253350443</v>
      </c>
      <c r="U192" s="188"/>
      <c r="V192" s="188"/>
      <c r="W192" s="188"/>
      <c r="X192" s="188"/>
      <c r="Y192" s="188"/>
      <c r="Z192" s="188"/>
      <c r="AA192" s="188"/>
      <c r="AB192" s="188"/>
      <c r="AC192" s="188"/>
      <c r="AD192" s="188"/>
      <c r="AE192" s="188"/>
      <c r="AF192" s="188"/>
      <c r="AG192" s="188"/>
      <c r="AH192" s="188"/>
      <c r="AI192" s="188"/>
      <c r="AJ192" s="171"/>
    </row>
    <row r="193" spans="1:36" x14ac:dyDescent="0.2">
      <c r="A193" s="171">
        <v>3</v>
      </c>
      <c r="B193" s="171"/>
      <c r="C193" s="180">
        <f>+E193-E192</f>
        <v>172.04383408071794</v>
      </c>
      <c r="D193" s="174">
        <f>+G193-G192</f>
        <v>153.21019910313902</v>
      </c>
      <c r="E193" s="171">
        <v>576.23983408071797</v>
      </c>
      <c r="F193" s="171"/>
      <c r="G193" s="171">
        <v>522.497199103139</v>
      </c>
      <c r="H193" s="171"/>
      <c r="I193" s="171">
        <v>134.19999999999999</v>
      </c>
      <c r="J193" s="171">
        <v>3</v>
      </c>
      <c r="K193" s="171"/>
      <c r="L193" s="186">
        <v>18388.581422924897</v>
      </c>
      <c r="M193" s="187">
        <v>735.52528494140915</v>
      </c>
      <c r="N193" s="178">
        <f t="shared" si="10"/>
        <v>831.01020550142584</v>
      </c>
      <c r="O193" s="186">
        <v>11492.955434782609</v>
      </c>
      <c r="P193" s="203">
        <v>1323.3889549928699</v>
      </c>
      <c r="Q193" s="198">
        <f t="shared" si="11"/>
        <v>1495.1895603895471</v>
      </c>
      <c r="R193" s="204">
        <v>11786.02326086957</v>
      </c>
      <c r="S193" s="203">
        <v>172.41802435151402</v>
      </c>
      <c r="T193" s="198">
        <f t="shared" si="12"/>
        <v>194.80110443778298</v>
      </c>
      <c r="U193" s="188"/>
      <c r="V193" s="188"/>
      <c r="W193" s="188"/>
      <c r="X193" s="188"/>
      <c r="Y193" s="188"/>
      <c r="Z193" s="188"/>
      <c r="AA193" s="188"/>
      <c r="AB193" s="188"/>
      <c r="AC193" s="188"/>
      <c r="AD193" s="188"/>
      <c r="AE193" s="188"/>
      <c r="AF193" s="188"/>
      <c r="AG193" s="188"/>
      <c r="AH193" s="188"/>
      <c r="AI193" s="188"/>
      <c r="AJ193" s="171"/>
    </row>
    <row r="194" spans="1:36" x14ac:dyDescent="0.2">
      <c r="A194" s="174">
        <v>4</v>
      </c>
      <c r="B194" s="171"/>
      <c r="C194" s="180">
        <f>+E194-E193</f>
        <v>204.099832585949</v>
      </c>
      <c r="D194" s="174">
        <f>+G194-G193</f>
        <v>188.07946756352794</v>
      </c>
      <c r="E194" s="171">
        <v>780.33966666666697</v>
      </c>
      <c r="F194" s="171"/>
      <c r="G194" s="171">
        <v>710.57666666666694</v>
      </c>
      <c r="H194" s="171"/>
      <c r="I194" s="171">
        <v>135.30000000000001</v>
      </c>
      <c r="J194" s="171">
        <v>4</v>
      </c>
      <c r="K194" s="171"/>
      <c r="L194" s="186">
        <v>18420.418577075106</v>
      </c>
      <c r="M194" s="186">
        <v>895.71090498583999</v>
      </c>
      <c r="N194" s="178">
        <f>M194/I194*$I$69</f>
        <v>1003.7633426863365</v>
      </c>
      <c r="O194" s="186">
        <v>7745.0445652173912</v>
      </c>
      <c r="P194" s="204">
        <v>1212.6630411771803</v>
      </c>
      <c r="Q194" s="198">
        <f t="shared" si="11"/>
        <v>1358.9504169131756</v>
      </c>
      <c r="R194" s="204">
        <v>11621.97673913043</v>
      </c>
      <c r="S194" s="204">
        <v>180.100371437175</v>
      </c>
      <c r="T194" s="198">
        <f t="shared" si="12"/>
        <v>201.82644851877453</v>
      </c>
      <c r="U194" s="188"/>
      <c r="V194" s="188"/>
      <c r="W194" s="188"/>
      <c r="X194" s="188"/>
      <c r="Y194" s="188"/>
      <c r="Z194" s="188"/>
      <c r="AA194" s="188"/>
      <c r="AB194" s="188"/>
      <c r="AC194" s="188"/>
      <c r="AD194" s="188"/>
      <c r="AE194" s="188"/>
      <c r="AF194" s="188"/>
      <c r="AG194" s="188"/>
      <c r="AH194" s="188"/>
      <c r="AI194" s="188"/>
      <c r="AJ194" s="171"/>
    </row>
    <row r="195" spans="1:36" x14ac:dyDescent="0.2">
      <c r="A195" s="174">
        <v>1</v>
      </c>
      <c r="B195" s="171">
        <v>2014</v>
      </c>
      <c r="C195" s="180">
        <f>E195</f>
        <v>196.17699999999999</v>
      </c>
      <c r="D195" s="174">
        <f>G195</f>
        <v>179.55199999999999</v>
      </c>
      <c r="E195" s="171">
        <v>196.17699999999999</v>
      </c>
      <c r="F195" s="171"/>
      <c r="G195" s="171">
        <v>179.55199999999999</v>
      </c>
      <c r="H195" s="171"/>
      <c r="I195" s="171">
        <v>135.80000000000001</v>
      </c>
      <c r="J195" s="171">
        <f>A195</f>
        <v>1</v>
      </c>
      <c r="K195" s="171">
        <f>B195</f>
        <v>2014</v>
      </c>
      <c r="L195" s="186">
        <v>19713</v>
      </c>
      <c r="M195" s="186">
        <v>886.67647724495987</v>
      </c>
      <c r="N195" s="178">
        <f>M195/I195*$I$69</f>
        <v>989.98059848313346</v>
      </c>
      <c r="O195" s="186">
        <v>7032</v>
      </c>
      <c r="P195" s="204">
        <v>1484.9150299297401</v>
      </c>
      <c r="Q195" s="198">
        <f t="shared" ref="Q195" si="13">P195/I195*$I$69</f>
        <v>1657.9182010039053</v>
      </c>
      <c r="R195" s="204">
        <v>8004</v>
      </c>
      <c r="S195" s="204">
        <v>165.16263465729782</v>
      </c>
      <c r="T195" s="198">
        <f t="shared" ref="T195" si="14">S195/I195*$I$69</f>
        <v>184.40525727391199</v>
      </c>
      <c r="U195" s="188"/>
      <c r="V195" s="188"/>
      <c r="W195" s="188"/>
      <c r="X195" s="188"/>
      <c r="Y195" s="188"/>
      <c r="Z195" s="188"/>
      <c r="AA195" s="188"/>
      <c r="AB195" s="188"/>
      <c r="AC195" s="188"/>
      <c r="AD195" s="188"/>
      <c r="AE195" s="188"/>
      <c r="AF195" s="188"/>
      <c r="AG195" s="188"/>
      <c r="AH195" s="188"/>
      <c r="AI195" s="188"/>
      <c r="AJ195" s="171"/>
    </row>
    <row r="196" spans="1:36" x14ac:dyDescent="0.2">
      <c r="A196" s="171">
        <v>2</v>
      </c>
      <c r="B196" s="171"/>
      <c r="C196" s="180">
        <f>+E196-E195</f>
        <v>197.965</v>
      </c>
      <c r="D196" s="174">
        <f>+G196-G195</f>
        <v>179.76700000000002</v>
      </c>
      <c r="E196" s="171">
        <v>394.142</v>
      </c>
      <c r="F196" s="171"/>
      <c r="G196" s="171">
        <v>359.31900000000002</v>
      </c>
      <c r="H196" s="171"/>
      <c r="I196" s="171">
        <v>136.69999999999999</v>
      </c>
      <c r="J196" s="171">
        <v>2</v>
      </c>
      <c r="K196" s="171"/>
      <c r="L196" s="186">
        <v>16691</v>
      </c>
      <c r="M196" s="186">
        <v>732.96206934555016</v>
      </c>
      <c r="N196" s="178">
        <f t="shared" ref="N196:N215" si="15">M196/I196*$I$69</f>
        <v>812.96949932422251</v>
      </c>
      <c r="O196" s="186">
        <v>6228</v>
      </c>
      <c r="P196" s="204">
        <v>1158.7677611998799</v>
      </c>
      <c r="Q196" s="198">
        <f t="shared" si="11"/>
        <v>1285.2545664427782</v>
      </c>
      <c r="R196" s="204">
        <v>11579</v>
      </c>
      <c r="S196" s="204">
        <v>167.32102845142202</v>
      </c>
      <c r="T196" s="198">
        <f t="shared" si="12"/>
        <v>185.58517338833471</v>
      </c>
      <c r="U196" s="188"/>
      <c r="V196" s="188"/>
      <c r="W196" s="188"/>
      <c r="X196" s="188"/>
      <c r="Y196" s="188"/>
      <c r="Z196" s="188"/>
      <c r="AA196" s="188"/>
      <c r="AB196" s="188"/>
      <c r="AC196" s="188"/>
      <c r="AD196" s="188"/>
      <c r="AE196" s="188"/>
      <c r="AF196" s="188"/>
      <c r="AG196" s="188"/>
      <c r="AH196" s="188"/>
      <c r="AI196" s="188"/>
      <c r="AJ196" s="171"/>
    </row>
    <row r="197" spans="1:36" x14ac:dyDescent="0.2">
      <c r="A197" s="171">
        <v>3</v>
      </c>
      <c r="B197" s="171"/>
      <c r="C197" s="180">
        <f>+E197-E196</f>
        <v>192.10452006852</v>
      </c>
      <c r="D197" s="174">
        <f>+G197-G196</f>
        <v>173.47352006851992</v>
      </c>
      <c r="E197" s="171">
        <v>586.24652006852</v>
      </c>
      <c r="F197" s="171"/>
      <c r="G197" s="171">
        <v>532.79252006851993</v>
      </c>
      <c r="H197" s="171"/>
      <c r="I197" s="171">
        <v>137</v>
      </c>
      <c r="J197" s="171">
        <v>3</v>
      </c>
      <c r="K197" s="171"/>
      <c r="L197" s="186">
        <v>21817</v>
      </c>
      <c r="M197" s="186">
        <v>1080.59231996894</v>
      </c>
      <c r="N197" s="178">
        <f t="shared" si="15"/>
        <v>1195.9212302254789</v>
      </c>
      <c r="O197" s="186">
        <v>20407</v>
      </c>
      <c r="P197" s="204">
        <v>1259.8740491119995</v>
      </c>
      <c r="Q197" s="198">
        <f t="shared" si="11"/>
        <v>1394.3372490251329</v>
      </c>
      <c r="R197" s="204">
        <v>11684</v>
      </c>
      <c r="S197" s="204">
        <v>177.03184293206914</v>
      </c>
      <c r="T197" s="198">
        <f t="shared" si="12"/>
        <v>195.92600787176548</v>
      </c>
      <c r="U197" s="188"/>
      <c r="V197" s="188"/>
      <c r="W197" s="188"/>
      <c r="X197" s="188"/>
      <c r="Y197" s="188"/>
      <c r="Z197" s="188"/>
      <c r="AA197" s="188"/>
      <c r="AB197" s="188"/>
      <c r="AC197" s="188"/>
      <c r="AD197" s="188"/>
      <c r="AE197" s="188"/>
      <c r="AF197" s="188"/>
      <c r="AG197" s="188"/>
      <c r="AH197" s="188"/>
      <c r="AI197" s="188"/>
      <c r="AJ197" s="171"/>
    </row>
    <row r="198" spans="1:36" x14ac:dyDescent="0.2">
      <c r="A198" s="171">
        <v>4</v>
      </c>
      <c r="B198" s="171"/>
      <c r="C198" s="180">
        <f>+E198-E197</f>
        <v>196.808833167682</v>
      </c>
      <c r="D198" s="174">
        <f>+G198-G197</f>
        <v>184.73883316768206</v>
      </c>
      <c r="E198" s="171">
        <v>783.055353236202</v>
      </c>
      <c r="F198" s="171"/>
      <c r="G198" s="171">
        <v>717.53135323620199</v>
      </c>
      <c r="H198" s="171"/>
      <c r="I198" s="171">
        <v>137.9</v>
      </c>
      <c r="J198" s="171">
        <v>4</v>
      </c>
      <c r="K198" s="171"/>
      <c r="L198" s="186">
        <v>20183</v>
      </c>
      <c r="M198" s="186">
        <v>869.67426416194962</v>
      </c>
      <c r="N198" s="178">
        <f t="shared" si="15"/>
        <v>956.21074248978766</v>
      </c>
      <c r="O198" s="186">
        <v>12863</v>
      </c>
      <c r="P198" s="204">
        <v>1106.850761909501</v>
      </c>
      <c r="Q198" s="198">
        <f t="shared" si="11"/>
        <v>1216.9873623784506</v>
      </c>
      <c r="R198" s="204">
        <v>9690</v>
      </c>
      <c r="S198" s="204">
        <v>175.42101671448501</v>
      </c>
      <c r="T198" s="198">
        <f t="shared" si="12"/>
        <v>192.87619233220741</v>
      </c>
      <c r="U198" s="188"/>
      <c r="V198" s="188"/>
      <c r="W198" s="188"/>
      <c r="X198" s="188"/>
      <c r="Y198" s="188"/>
      <c r="Z198" s="188"/>
      <c r="AA198" s="188"/>
      <c r="AB198" s="188"/>
      <c r="AC198" s="188"/>
      <c r="AD198" s="188"/>
      <c r="AE198" s="188"/>
      <c r="AF198" s="188"/>
      <c r="AG198" s="188"/>
      <c r="AH198" s="188"/>
      <c r="AI198" s="188"/>
      <c r="AJ198" s="171"/>
    </row>
    <row r="199" spans="1:36" x14ac:dyDescent="0.2">
      <c r="A199" s="171">
        <v>1</v>
      </c>
      <c r="B199" s="171">
        <v>2015</v>
      </c>
      <c r="C199" s="180">
        <f>E199</f>
        <v>219.418599054541</v>
      </c>
      <c r="D199" s="174">
        <f>G199</f>
        <v>202.59159905454101</v>
      </c>
      <c r="E199" s="171">
        <v>219.418599054541</v>
      </c>
      <c r="F199" s="171"/>
      <c r="G199" s="171">
        <v>202.59159905454101</v>
      </c>
      <c r="H199" s="171"/>
      <c r="I199" s="171">
        <v>138.4</v>
      </c>
      <c r="J199" s="171">
        <v>1</v>
      </c>
      <c r="K199" s="171">
        <v>2015</v>
      </c>
      <c r="L199" s="186">
        <v>19630</v>
      </c>
      <c r="M199" s="186">
        <v>957.60520650282388</v>
      </c>
      <c r="N199" s="178">
        <f t="shared" si="15"/>
        <v>1049.0874090941882</v>
      </c>
      <c r="O199" s="186">
        <v>9848</v>
      </c>
      <c r="P199" s="204">
        <v>1279.8360091262539</v>
      </c>
      <c r="Q199" s="198">
        <f t="shared" si="11"/>
        <v>1402.1016529171804</v>
      </c>
      <c r="R199" s="204">
        <v>7135</v>
      </c>
      <c r="S199" s="204">
        <v>155.36971992416409</v>
      </c>
      <c r="T199" s="198">
        <f t="shared" si="12"/>
        <v>170.21254251759368</v>
      </c>
      <c r="U199" s="188"/>
      <c r="V199" s="188"/>
      <c r="W199" s="188"/>
      <c r="X199" s="188"/>
      <c r="Y199" s="188"/>
      <c r="Z199" s="188"/>
      <c r="AA199" s="188"/>
      <c r="AB199" s="188"/>
      <c r="AC199" s="188"/>
      <c r="AD199" s="188"/>
      <c r="AE199" s="188"/>
      <c r="AF199" s="188"/>
      <c r="AG199" s="188"/>
      <c r="AH199" s="188"/>
      <c r="AI199" s="188"/>
      <c r="AJ199" s="171"/>
    </row>
    <row r="200" spans="1:36" x14ac:dyDescent="0.2">
      <c r="A200" s="171">
        <v>2</v>
      </c>
      <c r="B200" s="171"/>
      <c r="C200" s="180">
        <f>+E200-E199</f>
        <v>188.69592411436798</v>
      </c>
      <c r="D200" s="174">
        <f>+G200-G199</f>
        <v>171.45081948058601</v>
      </c>
      <c r="E200" s="171">
        <v>408.11452316890899</v>
      </c>
      <c r="F200" s="171"/>
      <c r="G200" s="171">
        <v>374.04241853512701</v>
      </c>
      <c r="H200" s="171"/>
      <c r="I200" s="171">
        <v>139.6</v>
      </c>
      <c r="J200" s="171">
        <v>2</v>
      </c>
      <c r="K200" s="171"/>
      <c r="L200" s="186">
        <v>15703.949675889351</v>
      </c>
      <c r="M200" s="186">
        <v>739.71582874915612</v>
      </c>
      <c r="N200" s="178">
        <f t="shared" si="15"/>
        <v>803.41652446032674</v>
      </c>
      <c r="O200" s="186">
        <v>5422.7168724637304</v>
      </c>
      <c r="P200" s="204">
        <v>1206.7408437095464</v>
      </c>
      <c r="Q200" s="198">
        <f t="shared" si="11"/>
        <v>1310.6594409597487</v>
      </c>
      <c r="R200" s="204">
        <v>9988.3050621118018</v>
      </c>
      <c r="S200" s="204">
        <v>168.85276765034422</v>
      </c>
      <c r="T200" s="198">
        <f t="shared" si="12"/>
        <v>183.39353905748283</v>
      </c>
      <c r="U200" s="188"/>
      <c r="V200" s="188"/>
      <c r="W200" s="188"/>
      <c r="X200" s="188"/>
      <c r="Y200" s="188"/>
      <c r="Z200" s="188"/>
      <c r="AA200" s="188"/>
      <c r="AB200" s="188"/>
      <c r="AC200" s="188"/>
      <c r="AD200" s="188"/>
      <c r="AE200" s="188"/>
      <c r="AF200" s="188"/>
      <c r="AG200" s="188"/>
      <c r="AH200" s="188"/>
      <c r="AI200" s="188"/>
      <c r="AJ200" s="171"/>
    </row>
    <row r="201" spans="1:36" x14ac:dyDescent="0.2">
      <c r="A201" s="171">
        <v>3</v>
      </c>
      <c r="B201" s="171"/>
      <c r="C201" s="180">
        <f>+E201-E200</f>
        <v>180.38826158445403</v>
      </c>
      <c r="D201" s="174">
        <f>+G201-G200</f>
        <v>162.29720926756397</v>
      </c>
      <c r="E201" s="171">
        <v>588.50278475336302</v>
      </c>
      <c r="F201" s="171"/>
      <c r="G201" s="171">
        <v>536.33962780269098</v>
      </c>
      <c r="H201" s="171"/>
      <c r="I201" s="171">
        <v>139.69999999999999</v>
      </c>
      <c r="J201" s="171">
        <v>3</v>
      </c>
      <c r="K201" s="171"/>
      <c r="L201" s="186">
        <v>22728.974837944646</v>
      </c>
      <c r="M201" s="186">
        <v>979.87465749478997</v>
      </c>
      <c r="N201" s="178">
        <f t="shared" si="15"/>
        <v>1063.49483674867</v>
      </c>
      <c r="O201" s="186">
        <v>8619.8584362319707</v>
      </c>
      <c r="P201" s="204">
        <v>1341.1049733657396</v>
      </c>
      <c r="Q201" s="198">
        <f t="shared" si="11"/>
        <v>1455.5516910284111</v>
      </c>
      <c r="R201" s="204">
        <v>10649.652531055901</v>
      </c>
      <c r="S201" s="204">
        <v>131.16322330640469</v>
      </c>
      <c r="T201" s="198">
        <f t="shared" si="12"/>
        <v>142.35638169713138</v>
      </c>
      <c r="U201" s="188"/>
      <c r="V201" s="188"/>
      <c r="W201" s="188"/>
      <c r="X201" s="188"/>
      <c r="Y201" s="188"/>
      <c r="Z201" s="188"/>
      <c r="AA201" s="188"/>
      <c r="AB201" s="188"/>
      <c r="AC201" s="188"/>
      <c r="AD201" s="188"/>
      <c r="AE201" s="188"/>
      <c r="AF201" s="188"/>
      <c r="AG201" s="188"/>
      <c r="AH201" s="188"/>
      <c r="AI201" s="188"/>
      <c r="AJ201" s="171"/>
    </row>
    <row r="202" spans="1:36" x14ac:dyDescent="0.2">
      <c r="A202" s="171">
        <v>4</v>
      </c>
      <c r="B202" s="171"/>
      <c r="C202" s="180">
        <f>+E202-E201</f>
        <v>195.22963867497901</v>
      </c>
      <c r="D202" s="174">
        <f>+G202-G201</f>
        <v>179.89113138755602</v>
      </c>
      <c r="E202" s="171">
        <v>783.73242342834203</v>
      </c>
      <c r="F202" s="171"/>
      <c r="G202" s="171">
        <v>716.230759190247</v>
      </c>
      <c r="H202" s="171"/>
      <c r="I202" s="171">
        <v>141.69999999999999</v>
      </c>
      <c r="J202" s="171">
        <v>4</v>
      </c>
      <c r="K202" s="171"/>
      <c r="L202" s="186">
        <v>17661.404213438705</v>
      </c>
      <c r="M202" s="186">
        <v>882.4718984768997</v>
      </c>
      <c r="N202" s="178">
        <f t="shared" si="15"/>
        <v>944.2615386984121</v>
      </c>
      <c r="O202" s="186">
        <v>7193.856491304301</v>
      </c>
      <c r="P202" s="204">
        <v>1425.3376484527203</v>
      </c>
      <c r="Q202" s="198">
        <f t="shared" si="11"/>
        <v>1525.1381074181288</v>
      </c>
      <c r="R202" s="204">
        <v>9159.825978260902</v>
      </c>
      <c r="S202" s="204">
        <v>158.55842389179503</v>
      </c>
      <c r="T202" s="198">
        <f t="shared" si="12"/>
        <v>169.66049749127581</v>
      </c>
      <c r="U202" s="188"/>
      <c r="V202" s="188"/>
      <c r="W202" s="188"/>
      <c r="X202" s="188"/>
      <c r="Y202" s="188"/>
      <c r="Z202" s="188"/>
      <c r="AA202" s="188"/>
      <c r="AB202" s="188"/>
      <c r="AC202" s="188"/>
      <c r="AD202" s="188"/>
      <c r="AE202" s="188"/>
      <c r="AF202" s="188"/>
      <c r="AG202" s="188"/>
      <c r="AH202" s="188"/>
      <c r="AI202" s="188"/>
      <c r="AJ202" s="171"/>
    </row>
    <row r="203" spans="1:36" x14ac:dyDescent="0.2">
      <c r="A203" s="171">
        <v>1</v>
      </c>
      <c r="B203" s="171">
        <v>2016</v>
      </c>
      <c r="C203" s="180">
        <f>E203</f>
        <v>217.297581707322</v>
      </c>
      <c r="D203" s="174">
        <f>G203</f>
        <v>201.19677375494101</v>
      </c>
      <c r="E203" s="171">
        <v>217.297581707322</v>
      </c>
      <c r="F203" s="171"/>
      <c r="G203" s="171">
        <v>201.19677375494101</v>
      </c>
      <c r="H203" s="171"/>
      <c r="I203" s="171">
        <v>142.69999999999999</v>
      </c>
      <c r="J203" s="171">
        <v>1</v>
      </c>
      <c r="K203" s="171">
        <v>2016</v>
      </c>
      <c r="L203" s="186">
        <v>20668.165818181998</v>
      </c>
      <c r="M203" s="186">
        <v>1021.6300324660001</v>
      </c>
      <c r="N203" s="178">
        <f t="shared" si="15"/>
        <v>1085.5027907443286</v>
      </c>
      <c r="O203" s="186">
        <v>6682.5362000000005</v>
      </c>
      <c r="P203" s="204">
        <v>1267.176908724</v>
      </c>
      <c r="Q203" s="198">
        <f t="shared" si="11"/>
        <v>1346.4013655378233</v>
      </c>
      <c r="R203" s="204">
        <v>6340.7358571430004</v>
      </c>
      <c r="S203" s="204">
        <v>128.592957756</v>
      </c>
      <c r="T203" s="198">
        <f t="shared" si="12"/>
        <v>136.63264594646796</v>
      </c>
      <c r="U203" s="188"/>
      <c r="V203" s="188"/>
      <c r="W203" s="188"/>
      <c r="X203" s="188"/>
      <c r="Y203" s="188"/>
      <c r="Z203" s="188"/>
      <c r="AA203" s="188"/>
      <c r="AB203" s="188"/>
      <c r="AC203" s="188"/>
      <c r="AD203" s="188"/>
      <c r="AE203" s="188"/>
      <c r="AF203" s="188"/>
      <c r="AG203" s="188"/>
      <c r="AH203" s="188"/>
      <c r="AI203" s="188"/>
      <c r="AJ203" s="171"/>
    </row>
    <row r="204" spans="1:36" x14ac:dyDescent="0.2">
      <c r="A204" s="171">
        <v>2</v>
      </c>
      <c r="B204" s="171"/>
      <c r="C204" s="180">
        <f>+E204-E203</f>
        <v>210.94903078835901</v>
      </c>
      <c r="D204" s="174">
        <f>+G204-G203</f>
        <v>192.89311593057502</v>
      </c>
      <c r="E204" s="171">
        <v>428.24661249568101</v>
      </c>
      <c r="F204" s="171"/>
      <c r="G204" s="171">
        <v>394.08988968551603</v>
      </c>
      <c r="H204" s="171"/>
      <c r="I204" s="171">
        <v>144.30000000000001</v>
      </c>
      <c r="J204" s="171">
        <v>2</v>
      </c>
      <c r="K204" s="171"/>
      <c r="L204" s="186">
        <v>19039.287573122998</v>
      </c>
      <c r="M204" s="186">
        <v>795.20392340999979</v>
      </c>
      <c r="N204" s="178">
        <f t="shared" si="15"/>
        <v>835.55193490849956</v>
      </c>
      <c r="O204" s="186">
        <v>5385.3991579709982</v>
      </c>
      <c r="P204" s="204">
        <v>991.5183596400002</v>
      </c>
      <c r="Q204" s="198">
        <f t="shared" si="11"/>
        <v>1041.827208726377</v>
      </c>
      <c r="R204" s="204">
        <v>10107.700518632999</v>
      </c>
      <c r="S204" s="204">
        <v>152.61472035099999</v>
      </c>
      <c r="T204" s="198">
        <f t="shared" si="12"/>
        <v>160.35826928264632</v>
      </c>
      <c r="U204" s="188"/>
      <c r="V204" s="188"/>
      <c r="W204" s="188"/>
      <c r="X204" s="188"/>
      <c r="Y204" s="188"/>
      <c r="Z204" s="188"/>
      <c r="AA204" s="188"/>
      <c r="AB204" s="188"/>
      <c r="AC204" s="188"/>
      <c r="AD204" s="188"/>
      <c r="AE204" s="188"/>
      <c r="AF204" s="188"/>
      <c r="AG204" s="188"/>
      <c r="AH204" s="188"/>
      <c r="AI204" s="188"/>
      <c r="AJ204" s="171"/>
    </row>
    <row r="205" spans="1:36" x14ac:dyDescent="0.2">
      <c r="A205" s="171">
        <v>3</v>
      </c>
      <c r="B205" s="171"/>
      <c r="C205" s="180">
        <f>+E205-E204</f>
        <v>193.64755294266695</v>
      </c>
      <c r="D205" s="174">
        <f>+G205-G204</f>
        <v>175.641874720337</v>
      </c>
      <c r="E205" s="171">
        <v>621.89416543834795</v>
      </c>
      <c r="F205" s="171"/>
      <c r="G205" s="171">
        <v>569.73176440585303</v>
      </c>
      <c r="H205" s="171"/>
      <c r="I205" s="171">
        <v>145.30000000000001</v>
      </c>
      <c r="J205" s="171">
        <v>3</v>
      </c>
      <c r="K205" s="171"/>
      <c r="L205" s="186">
        <v>25325.005330874006</v>
      </c>
      <c r="M205" s="186">
        <v>1404.3111468839998</v>
      </c>
      <c r="N205" s="178">
        <f t="shared" si="15"/>
        <v>1465.4094742541645</v>
      </c>
      <c r="O205" s="186">
        <v>9666.7747891530034</v>
      </c>
      <c r="P205" s="204">
        <v>1492.4533452979995</v>
      </c>
      <c r="Q205" s="198">
        <f t="shared" si="11"/>
        <v>1557.3865356939077</v>
      </c>
      <c r="R205" s="204">
        <v>10325.156290487997</v>
      </c>
      <c r="S205" s="204">
        <v>149.15188867200001</v>
      </c>
      <c r="T205" s="198">
        <f t="shared" si="12"/>
        <v>155.64114209862186</v>
      </c>
      <c r="U205" s="188"/>
      <c r="V205" s="188"/>
      <c r="W205" s="188"/>
      <c r="X205" s="188"/>
      <c r="Y205" s="188"/>
      <c r="Z205" s="188"/>
      <c r="AA205" s="188"/>
      <c r="AB205" s="188"/>
      <c r="AC205" s="188"/>
      <c r="AD205" s="188"/>
      <c r="AE205" s="188"/>
      <c r="AF205" s="188"/>
      <c r="AG205" s="188"/>
      <c r="AH205" s="188"/>
      <c r="AI205" s="188"/>
      <c r="AJ205" s="171"/>
    </row>
    <row r="206" spans="1:36" x14ac:dyDescent="0.2">
      <c r="A206" s="171">
        <v>4</v>
      </c>
      <c r="B206" s="171"/>
      <c r="C206" s="180">
        <f>+E206-E205</f>
        <v>194.66297676649504</v>
      </c>
      <c r="D206" s="174">
        <f>+G206-G205</f>
        <v>178.45454935802093</v>
      </c>
      <c r="E206" s="171">
        <v>816.55714220484299</v>
      </c>
      <c r="F206" s="171"/>
      <c r="G206" s="171">
        <v>748.18631376387395</v>
      </c>
      <c r="H206" s="171"/>
      <c r="I206" s="171">
        <v>146.69999999999999</v>
      </c>
      <c r="J206" s="171">
        <v>4</v>
      </c>
      <c r="K206" s="171"/>
      <c r="L206" s="186">
        <v>18369.446222722992</v>
      </c>
      <c r="M206" s="186">
        <v>962.00640138500057</v>
      </c>
      <c r="N206" s="178">
        <f t="shared" si="15"/>
        <v>994.2809401635725</v>
      </c>
      <c r="O206" s="186">
        <v>6575.4640743699983</v>
      </c>
      <c r="P206" s="204">
        <v>1222.1149542560006</v>
      </c>
      <c r="Q206" s="198">
        <f t="shared" si="11"/>
        <v>1263.1159251707695</v>
      </c>
      <c r="R206" s="204">
        <v>7957.0224983410008</v>
      </c>
      <c r="S206" s="204">
        <v>147.86469469900001</v>
      </c>
      <c r="T206" s="198">
        <f t="shared" si="12"/>
        <v>152.82543593333477</v>
      </c>
      <c r="U206" s="188"/>
      <c r="V206" s="188"/>
      <c r="W206" s="188"/>
      <c r="X206" s="188"/>
      <c r="Y206" s="188"/>
      <c r="Z206" s="188"/>
      <c r="AA206" s="188"/>
      <c r="AB206" s="188"/>
      <c r="AC206" s="188"/>
      <c r="AD206" s="188"/>
      <c r="AE206" s="188"/>
      <c r="AF206" s="188"/>
      <c r="AG206" s="188"/>
      <c r="AH206" s="188"/>
      <c r="AI206" s="188"/>
      <c r="AJ206" s="171"/>
    </row>
    <row r="207" spans="1:36" x14ac:dyDescent="0.2">
      <c r="A207" s="171">
        <v>1</v>
      </c>
      <c r="B207" s="171">
        <v>2017</v>
      </c>
      <c r="C207" s="180">
        <f>E207</f>
        <v>227.02914608932699</v>
      </c>
      <c r="D207" s="174">
        <f>G207</f>
        <v>210.737716871462</v>
      </c>
      <c r="E207" s="171">
        <v>227.02914608932699</v>
      </c>
      <c r="F207" s="171"/>
      <c r="G207" s="171">
        <v>210.737716871462</v>
      </c>
      <c r="H207" s="171"/>
      <c r="I207" s="171">
        <v>146.4</v>
      </c>
      <c r="J207" s="171">
        <v>1</v>
      </c>
      <c r="K207" s="171">
        <v>2017</v>
      </c>
      <c r="L207" s="186">
        <v>20188.970584052</v>
      </c>
      <c r="M207" s="186">
        <v>1029.1484993670001</v>
      </c>
      <c r="N207" s="178">
        <f t="shared" si="15"/>
        <v>1065.8552644912804</v>
      </c>
      <c r="O207" s="186">
        <v>7124.2571060979999</v>
      </c>
      <c r="P207" s="204">
        <v>1296.4468783369998</v>
      </c>
      <c r="Q207" s="198">
        <f t="shared" si="11"/>
        <v>1342.687407365117</v>
      </c>
      <c r="R207" s="204">
        <v>6121.3819215860003</v>
      </c>
      <c r="S207" s="204">
        <v>141.149656131</v>
      </c>
      <c r="T207" s="198">
        <f t="shared" si="12"/>
        <v>146.18405814213867</v>
      </c>
      <c r="U207" s="188"/>
      <c r="V207" s="188"/>
      <c r="W207" s="188"/>
      <c r="X207" s="188"/>
      <c r="Y207" s="188"/>
      <c r="Z207" s="188"/>
      <c r="AA207" s="188"/>
      <c r="AB207" s="188"/>
      <c r="AC207" s="188"/>
      <c r="AD207" s="188"/>
      <c r="AE207" s="188"/>
      <c r="AF207" s="188"/>
      <c r="AG207" s="188"/>
      <c r="AH207" s="188"/>
      <c r="AI207" s="188"/>
      <c r="AJ207" s="171"/>
    </row>
    <row r="208" spans="1:36" x14ac:dyDescent="0.2">
      <c r="A208" s="171">
        <v>2</v>
      </c>
      <c r="B208" s="171"/>
      <c r="C208" s="171">
        <f>+E208-E207</f>
        <v>200.76722202181199</v>
      </c>
      <c r="D208" s="171">
        <f>+G208-G207</f>
        <v>183.70797761744905</v>
      </c>
      <c r="E208" s="171">
        <v>427.79636811113897</v>
      </c>
      <c r="F208" s="171"/>
      <c r="G208" s="171">
        <v>394.44569448891104</v>
      </c>
      <c r="H208" s="171"/>
      <c r="I208" s="171">
        <v>147.4</v>
      </c>
      <c r="J208" s="171">
        <v>2</v>
      </c>
      <c r="K208" s="171"/>
      <c r="L208" s="171">
        <v>16357.538075795001</v>
      </c>
      <c r="M208" s="171">
        <v>768.50776898899994</v>
      </c>
      <c r="N208" s="171">
        <f t="shared" si="15"/>
        <v>790.51851275708145</v>
      </c>
      <c r="O208" s="171">
        <v>5007.3623026510004</v>
      </c>
      <c r="P208" s="188">
        <v>1681.8190342150001</v>
      </c>
      <c r="Q208" s="188">
        <f t="shared" si="11"/>
        <v>1729.9878222483173</v>
      </c>
      <c r="R208" s="188">
        <v>7194.9193664359991</v>
      </c>
      <c r="S208" s="188">
        <v>119.946167266</v>
      </c>
      <c r="T208" s="188">
        <f t="shared" si="12"/>
        <v>123.38153182598164</v>
      </c>
      <c r="U208" s="188"/>
      <c r="V208" s="188"/>
      <c r="W208" s="188"/>
      <c r="X208" s="188"/>
      <c r="Y208" s="188"/>
      <c r="Z208" s="188"/>
      <c r="AA208" s="188"/>
      <c r="AB208" s="188"/>
      <c r="AC208" s="188"/>
      <c r="AD208" s="188"/>
      <c r="AE208" s="188"/>
      <c r="AF208" s="188"/>
      <c r="AG208" s="188"/>
      <c r="AH208" s="188"/>
      <c r="AI208" s="188"/>
      <c r="AJ208" s="171"/>
    </row>
    <row r="209" spans="1:36" x14ac:dyDescent="0.2">
      <c r="A209" s="171">
        <v>3</v>
      </c>
      <c r="B209" s="171"/>
      <c r="C209" s="171">
        <f>+E209-E208</f>
        <v>195.05863188886104</v>
      </c>
      <c r="D209" s="171">
        <f>+G209-G208</f>
        <v>176.76630551108894</v>
      </c>
      <c r="E209" s="171">
        <v>622.85500000000002</v>
      </c>
      <c r="F209" s="171"/>
      <c r="G209" s="171">
        <v>571.21199999999999</v>
      </c>
      <c r="H209" s="171"/>
      <c r="I209" s="171">
        <v>147.30000000000001</v>
      </c>
      <c r="J209" s="171">
        <v>3</v>
      </c>
      <c r="K209" s="171"/>
      <c r="L209" s="171">
        <v>19399</v>
      </c>
      <c r="M209" s="171">
        <v>907</v>
      </c>
      <c r="N209" s="171">
        <f t="shared" si="15"/>
        <v>933.61066983480407</v>
      </c>
      <c r="O209" s="171">
        <v>8892</v>
      </c>
      <c r="P209" s="188">
        <v>954</v>
      </c>
      <c r="Q209" s="188">
        <f t="shared" si="11"/>
        <v>981.98961303462295</v>
      </c>
      <c r="R209" s="188">
        <v>8727</v>
      </c>
      <c r="S209" s="188">
        <v>128</v>
      </c>
      <c r="T209" s="188">
        <f t="shared" si="12"/>
        <v>131.75541977823033</v>
      </c>
      <c r="U209" s="188"/>
      <c r="V209" s="188"/>
      <c r="W209" s="188"/>
      <c r="X209" s="188"/>
      <c r="Y209" s="188"/>
      <c r="Z209" s="188"/>
      <c r="AA209" s="188"/>
      <c r="AB209" s="188"/>
      <c r="AC209" s="188"/>
      <c r="AD209" s="188"/>
      <c r="AE209" s="188"/>
      <c r="AF209" s="188"/>
      <c r="AG209" s="188"/>
      <c r="AH209" s="188"/>
      <c r="AI209" s="188"/>
      <c r="AJ209" s="171"/>
    </row>
    <row r="210" spans="1:36" x14ac:dyDescent="0.2">
      <c r="A210" s="171">
        <v>4</v>
      </c>
      <c r="B210" s="171"/>
      <c r="C210" s="171">
        <f>+E210-E209</f>
        <v>225.423</v>
      </c>
      <c r="D210" s="171">
        <f>+G210-G209</f>
        <v>208.21799999999996</v>
      </c>
      <c r="E210" s="171">
        <v>848.27800000000002</v>
      </c>
      <c r="F210" s="171"/>
      <c r="G210" s="171">
        <v>779.43</v>
      </c>
      <c r="H210" s="171"/>
      <c r="I210" s="171">
        <v>148.4</v>
      </c>
      <c r="J210" s="171">
        <v>4</v>
      </c>
      <c r="K210" s="171"/>
      <c r="L210" s="171">
        <v>23333</v>
      </c>
      <c r="M210" s="171">
        <v>1141</v>
      </c>
      <c r="N210" s="171">
        <f t="shared" si="15"/>
        <v>1165.7703616352198</v>
      </c>
      <c r="O210" s="171">
        <v>6366</v>
      </c>
      <c r="P210" s="188">
        <v>1205</v>
      </c>
      <c r="Q210" s="188">
        <f t="shared" si="11"/>
        <v>1231.15975965858</v>
      </c>
      <c r="R210" s="188">
        <v>7520</v>
      </c>
      <c r="S210" s="188">
        <v>124</v>
      </c>
      <c r="T210" s="188">
        <f t="shared" si="12"/>
        <v>126.69195867026053</v>
      </c>
      <c r="U210" s="188"/>
      <c r="V210" s="188"/>
      <c r="W210" s="188"/>
      <c r="X210" s="188"/>
      <c r="Y210" s="188"/>
      <c r="Z210" s="188"/>
      <c r="AA210" s="188"/>
      <c r="AB210" s="188"/>
      <c r="AC210" s="188"/>
      <c r="AD210" s="188"/>
      <c r="AE210" s="188"/>
      <c r="AF210" s="188"/>
      <c r="AG210" s="188"/>
      <c r="AH210" s="188"/>
      <c r="AI210" s="188"/>
      <c r="AJ210" s="171"/>
    </row>
    <row r="211" spans="1:36" x14ac:dyDescent="0.2">
      <c r="A211" s="171">
        <v>1</v>
      </c>
      <c r="B211" s="171">
        <v>2018</v>
      </c>
      <c r="C211" s="171">
        <f>E211</f>
        <v>241.52799999999999</v>
      </c>
      <c r="D211" s="171">
        <f>G211</f>
        <v>222.678</v>
      </c>
      <c r="E211" s="171">
        <v>241.52799999999999</v>
      </c>
      <c r="F211" s="171"/>
      <c r="G211" s="171">
        <v>222.678</v>
      </c>
      <c r="H211" s="171"/>
      <c r="I211" s="171">
        <v>149.69999999999999</v>
      </c>
      <c r="J211" s="171">
        <v>1</v>
      </c>
      <c r="K211" s="171">
        <v>2018</v>
      </c>
      <c r="L211" s="171">
        <v>25111</v>
      </c>
      <c r="M211" s="171">
        <v>1175</v>
      </c>
      <c r="N211" s="171">
        <f t="shared" si="15"/>
        <v>1190.0832219995546</v>
      </c>
      <c r="O211" s="171">
        <v>6317</v>
      </c>
      <c r="P211" s="188">
        <v>1262</v>
      </c>
      <c r="Q211" s="188">
        <f t="shared" si="11"/>
        <v>1278.2000222667557</v>
      </c>
      <c r="R211" s="188">
        <v>5433</v>
      </c>
      <c r="S211" s="188">
        <v>116</v>
      </c>
      <c r="T211" s="188">
        <f t="shared" si="12"/>
        <v>117.48906702293475</v>
      </c>
      <c r="U211" s="188"/>
      <c r="V211" s="188"/>
      <c r="W211" s="188"/>
      <c r="X211" s="188"/>
      <c r="Y211" s="188"/>
      <c r="Z211" s="188"/>
      <c r="AA211" s="188"/>
      <c r="AB211" s="188"/>
      <c r="AC211" s="188"/>
      <c r="AD211" s="188"/>
      <c r="AE211" s="188"/>
      <c r="AF211" s="188"/>
      <c r="AG211" s="188"/>
      <c r="AH211" s="188"/>
      <c r="AI211" s="188"/>
      <c r="AJ211" s="171"/>
    </row>
    <row r="212" spans="1:36" x14ac:dyDescent="0.2">
      <c r="A212" s="171">
        <v>2</v>
      </c>
      <c r="B212" s="171"/>
      <c r="C212" s="171">
        <f>+E212-E211</f>
        <v>226.77080239162902</v>
      </c>
      <c r="D212" s="171">
        <f>+G212-G211</f>
        <v>208.83864191330298</v>
      </c>
      <c r="E212" s="171">
        <v>468.29880239162901</v>
      </c>
      <c r="F212" s="171"/>
      <c r="G212" s="171">
        <v>431.51664191330298</v>
      </c>
      <c r="H212" s="171"/>
      <c r="I212" s="171">
        <v>150.80000000000001</v>
      </c>
      <c r="J212" s="171">
        <v>2</v>
      </c>
      <c r="K212" s="171"/>
      <c r="L212" s="171">
        <v>20973.437462450995</v>
      </c>
      <c r="M212" s="171">
        <v>1076.7915513600001</v>
      </c>
      <c r="N212" s="171">
        <f t="shared" si="15"/>
        <v>1082.658684812923</v>
      </c>
      <c r="O212" s="171">
        <v>5869.5992710140017</v>
      </c>
      <c r="P212" s="188">
        <v>1471.9660798479999</v>
      </c>
      <c r="Q212" s="188">
        <f t="shared" si="11"/>
        <v>1479.9864078471712</v>
      </c>
      <c r="R212" s="188">
        <v>9319.6839472049996</v>
      </c>
      <c r="S212" s="188">
        <v>135.61776245999999</v>
      </c>
      <c r="T212" s="188">
        <f t="shared" si="12"/>
        <v>136.35670539648072</v>
      </c>
      <c r="U212" s="188"/>
      <c r="V212" s="188"/>
      <c r="W212" s="188"/>
      <c r="X212" s="188"/>
      <c r="Y212" s="188"/>
      <c r="Z212" s="188"/>
      <c r="AA212" s="188"/>
      <c r="AB212" s="188"/>
      <c r="AC212" s="188"/>
      <c r="AD212" s="188"/>
      <c r="AE212" s="188"/>
      <c r="AF212" s="188"/>
      <c r="AG212" s="188"/>
      <c r="AH212" s="188"/>
      <c r="AI212" s="188"/>
      <c r="AJ212" s="171"/>
    </row>
    <row r="213" spans="1:36" x14ac:dyDescent="0.2">
      <c r="A213" s="171">
        <v>3</v>
      </c>
      <c r="B213" s="171"/>
      <c r="C213" s="171">
        <f>+E213-E212</f>
        <v>230.04425590433516</v>
      </c>
      <c r="D213" s="171">
        <f>G213-G212</f>
        <v>207.39460472346803</v>
      </c>
      <c r="E213" s="171">
        <v>698.34305829596417</v>
      </c>
      <c r="F213" s="171"/>
      <c r="G213" s="171">
        <v>638.91124663677101</v>
      </c>
      <c r="H213" s="171"/>
      <c r="I213" s="171">
        <v>152.30000000000001</v>
      </c>
      <c r="J213" s="171">
        <v>3</v>
      </c>
      <c r="K213" s="171"/>
      <c r="L213" s="171">
        <v>22635.655438734771</v>
      </c>
      <c r="M213" s="171">
        <v>1212.1884087902995</v>
      </c>
      <c r="N213" s="171">
        <f t="shared" si="15"/>
        <v>1206.7894081076811</v>
      </c>
      <c r="O213" s="171">
        <v>10333.380031159912</v>
      </c>
      <c r="P213" s="188">
        <v>1822.4517080118057</v>
      </c>
      <c r="Q213" s="188">
        <f t="shared" si="11"/>
        <v>1814.3346381369879</v>
      </c>
      <c r="R213" s="188">
        <v>9726.2967189440697</v>
      </c>
      <c r="S213" s="188">
        <v>150.27129325880639</v>
      </c>
      <c r="T213" s="188">
        <f t="shared" si="12"/>
        <v>149.60199564054926</v>
      </c>
      <c r="U213" s="188"/>
      <c r="V213" s="188"/>
      <c r="W213" s="188"/>
      <c r="X213" s="188"/>
      <c r="Y213" s="188"/>
      <c r="Z213" s="188"/>
      <c r="AA213" s="188"/>
      <c r="AB213" s="188"/>
      <c r="AC213" s="188"/>
      <c r="AD213" s="188"/>
      <c r="AE213" s="188"/>
      <c r="AF213" s="188"/>
      <c r="AG213" s="188"/>
      <c r="AH213" s="188"/>
      <c r="AI213" s="188"/>
      <c r="AJ213" s="171"/>
    </row>
    <row r="214" spans="1:36" x14ac:dyDescent="0.2">
      <c r="A214" s="171">
        <v>4</v>
      </c>
      <c r="B214" s="171"/>
      <c r="C214" s="171">
        <f>+E214-E213</f>
        <v>212.66674917787782</v>
      </c>
      <c r="D214" s="171">
        <f>+G214-G213</f>
        <v>195.66619934230232</v>
      </c>
      <c r="E214" s="171">
        <v>911.00980747384199</v>
      </c>
      <c r="F214" s="171"/>
      <c r="G214" s="171">
        <v>834.57744597907333</v>
      </c>
      <c r="H214" s="171"/>
      <c r="I214" s="171">
        <v>153.6</v>
      </c>
      <c r="J214" s="171">
        <v>4</v>
      </c>
      <c r="K214" s="171"/>
      <c r="L214" s="171">
        <v>22335.438371541502</v>
      </c>
      <c r="M214" s="171">
        <v>1078.6341079945755</v>
      </c>
      <c r="N214" s="171">
        <f t="shared" si="15"/>
        <v>1064.7415441253311</v>
      </c>
      <c r="O214" s="171">
        <v>7362.2217963768126</v>
      </c>
      <c r="P214" s="188">
        <v>1452.0805351783911</v>
      </c>
      <c r="Q214" s="188">
        <f t="shared" si="11"/>
        <v>1433.3780656118029</v>
      </c>
      <c r="R214" s="188">
        <v>8182.2589673913026</v>
      </c>
      <c r="S214" s="188">
        <v>116.53210966099653</v>
      </c>
      <c r="T214" s="188">
        <f t="shared" si="12"/>
        <v>115.03120238921264</v>
      </c>
      <c r="U214" s="188"/>
      <c r="V214" s="188"/>
      <c r="W214" s="188"/>
      <c r="X214" s="188"/>
      <c r="Y214" s="188"/>
      <c r="Z214" s="188"/>
      <c r="AA214" s="188"/>
      <c r="AB214" s="188"/>
      <c r="AC214" s="188"/>
      <c r="AD214" s="188"/>
      <c r="AE214" s="188"/>
      <c r="AF214" s="188"/>
      <c r="AG214" s="188"/>
      <c r="AH214" s="188"/>
      <c r="AI214" s="188"/>
      <c r="AJ214" s="171"/>
    </row>
    <row r="215" spans="1:36" x14ac:dyDescent="0.2">
      <c r="A215" s="171">
        <v>1</v>
      </c>
      <c r="B215" s="171">
        <v>2019</v>
      </c>
      <c r="C215" s="171">
        <f>E215</f>
        <v>242.05576995515696</v>
      </c>
      <c r="D215" s="171">
        <f>+G215</f>
        <v>223.58363596412556</v>
      </c>
      <c r="E215" s="171">
        <v>242.05576995515696</v>
      </c>
      <c r="F215" s="171"/>
      <c r="G215" s="171">
        <v>223.58363596412556</v>
      </c>
      <c r="H215" s="171"/>
      <c r="I215" s="171">
        <v>154.13</v>
      </c>
      <c r="J215" s="171">
        <v>1</v>
      </c>
      <c r="K215" s="171">
        <v>2019</v>
      </c>
      <c r="L215" s="171">
        <v>22394.924612648225</v>
      </c>
      <c r="M215" s="171">
        <v>1151.1138601930163</v>
      </c>
      <c r="N215" s="171">
        <f t="shared" si="15"/>
        <v>1132.3804710670565</v>
      </c>
      <c r="O215" s="171">
        <v>6179.0660115942028</v>
      </c>
      <c r="P215" s="188">
        <v>1384.5030606846908</v>
      </c>
      <c r="Q215" s="188">
        <f t="shared" si="11"/>
        <v>1361.9714628308177</v>
      </c>
      <c r="R215" s="188">
        <v>6840.1016739130437</v>
      </c>
      <c r="S215" s="188">
        <v>122.43916062391185</v>
      </c>
      <c r="T215" s="188">
        <f t="shared" si="12"/>
        <v>120.44656847508737</v>
      </c>
      <c r="U215" s="188"/>
      <c r="V215" s="188"/>
      <c r="W215" s="188"/>
      <c r="X215" s="188"/>
      <c r="Y215" s="188"/>
      <c r="Z215" s="188"/>
      <c r="AA215" s="188"/>
      <c r="AB215" s="188"/>
      <c r="AC215" s="188"/>
      <c r="AD215" s="188"/>
      <c r="AE215" s="188"/>
      <c r="AF215" s="188"/>
      <c r="AG215" s="188"/>
      <c r="AH215" s="188"/>
      <c r="AI215" s="188"/>
      <c r="AJ215" s="171"/>
    </row>
    <row r="216" spans="1:36" x14ac:dyDescent="0.2">
      <c r="A216" s="171"/>
      <c r="B216" s="171"/>
      <c r="C216" s="171"/>
      <c r="D216" s="171"/>
      <c r="E216" s="171" t="s">
        <v>241</v>
      </c>
      <c r="F216" s="171"/>
      <c r="G216" s="171"/>
      <c r="H216" s="171"/>
      <c r="I216" s="171"/>
      <c r="J216" s="171"/>
      <c r="K216" s="171" t="s">
        <v>160</v>
      </c>
      <c r="L216" s="171">
        <f>+L217-L211-L212-L213</f>
        <v>14420.772533540556</v>
      </c>
      <c r="M216" s="171">
        <f>+M217-M211-M212-M213</f>
        <v>941.12533271461098</v>
      </c>
      <c r="N216" s="171" t="s">
        <v>174</v>
      </c>
      <c r="O216" s="171">
        <f>+O217-O211-O212-O213</f>
        <v>4844.2111563022336</v>
      </c>
      <c r="P216" s="188">
        <f>+P217-P211-P212-P213</f>
        <v>1865.7860261353317</v>
      </c>
      <c r="Q216" s="188" t="s">
        <v>174</v>
      </c>
      <c r="R216" s="188">
        <f>+R217-R211-R212-R213</f>
        <v>13981.026628082354</v>
      </c>
      <c r="S216" s="188">
        <f>+S217-S211-S212-S213</f>
        <v>105.38717308539003</v>
      </c>
      <c r="T216" s="188" t="s">
        <v>174</v>
      </c>
      <c r="U216" s="188"/>
      <c r="V216" s="188"/>
      <c r="W216" s="188"/>
      <c r="X216" s="188"/>
      <c r="Y216" s="188"/>
      <c r="Z216" s="188"/>
      <c r="AA216" s="188"/>
      <c r="AB216" s="188"/>
      <c r="AC216" s="188"/>
      <c r="AD216" s="188"/>
      <c r="AE216" s="188"/>
      <c r="AF216" s="188"/>
      <c r="AG216" s="188"/>
      <c r="AH216" s="188"/>
      <c r="AI216" s="188"/>
      <c r="AJ216" s="171"/>
    </row>
    <row r="217" spans="1:36" x14ac:dyDescent="0.2">
      <c r="A217" s="171"/>
      <c r="B217" s="171"/>
      <c r="C217" s="171"/>
      <c r="D217" s="171"/>
      <c r="E217" s="171">
        <f>IF('Tab5'!E8="",'Tab5'!E7,'Tab5'!E8)/1000</f>
        <v>242.05576995515696</v>
      </c>
      <c r="F217" s="171"/>
      <c r="G217" s="171">
        <f>IF('Tab5'!E10="",'Tab5'!E9,'Tab5'!E10)/1000</f>
        <v>223.58363596412556</v>
      </c>
      <c r="H217" s="171"/>
      <c r="I217" s="171"/>
      <c r="J217" s="171"/>
      <c r="K217" s="171" t="s">
        <v>188</v>
      </c>
      <c r="L217" s="171">
        <f>SUM('Tab7'!E11,'Tab11'!E11)</f>
        <v>83140.865434726322</v>
      </c>
      <c r="M217" s="171">
        <f>SUM('Tab7'!E39,'Tab11'!E39)</f>
        <v>4405.1052928649106</v>
      </c>
      <c r="N217" s="171" t="s">
        <v>173</v>
      </c>
      <c r="O217" s="171">
        <f>SUM('Tab7'!E9,'Tab11'!E9)</f>
        <v>27364.190458476147</v>
      </c>
      <c r="P217" s="188">
        <f>SUM('Tab7'!E37,'Tab11'!E37)</f>
        <v>6422.2038139951374</v>
      </c>
      <c r="Q217" s="188" t="s">
        <v>173</v>
      </c>
      <c r="R217" s="188">
        <f>SUM('Tab7'!E13,'Tab11'!E13)</f>
        <v>38460.007294231422</v>
      </c>
      <c r="S217" s="188">
        <f>SUM('Tab7'!E41,'Tab11'!E41)</f>
        <v>507.27622880419642</v>
      </c>
      <c r="T217" s="188" t="s">
        <v>173</v>
      </c>
      <c r="U217" s="188"/>
      <c r="V217" s="188"/>
      <c r="W217" s="188"/>
      <c r="X217" s="188"/>
      <c r="Y217" s="188"/>
      <c r="Z217" s="188"/>
      <c r="AA217" s="188"/>
      <c r="AB217" s="188"/>
      <c r="AC217" s="188"/>
      <c r="AD217" s="188"/>
      <c r="AE217" s="188"/>
      <c r="AF217" s="188"/>
      <c r="AG217" s="188"/>
      <c r="AH217" s="188"/>
      <c r="AI217" s="188"/>
      <c r="AJ217" s="171"/>
    </row>
    <row r="218" spans="1:36" x14ac:dyDescent="0.2">
      <c r="A218" s="171"/>
      <c r="B218" s="171"/>
      <c r="C218" s="171"/>
      <c r="D218" s="171"/>
      <c r="E218" s="171"/>
      <c r="F218" s="171"/>
      <c r="G218" s="171"/>
      <c r="H218" s="171"/>
      <c r="I218" s="171"/>
      <c r="J218" s="171"/>
      <c r="K218" s="171" t="s">
        <v>187</v>
      </c>
      <c r="L218" s="171">
        <f>SUM('Tab7'!E12,'Tab11'!E12)</f>
        <v>22394.924612648225</v>
      </c>
      <c r="M218" s="171">
        <f>SUM('Tab7'!E40,'Tab11'!E40)</f>
        <v>1151.1138601930163</v>
      </c>
      <c r="N218" s="171" t="s">
        <v>173</v>
      </c>
      <c r="O218" s="171">
        <f>SUM('Tab7'!E10,'Tab11'!E10)</f>
        <v>6179.0660115942028</v>
      </c>
      <c r="P218" s="188">
        <f>SUM('Tab7'!E38,'Tab11'!E38)</f>
        <v>1384.5030606846908</v>
      </c>
      <c r="Q218" s="188" t="s">
        <v>173</v>
      </c>
      <c r="R218" s="188">
        <f>SUM('Tab7'!E14,'Tab11'!E14)</f>
        <v>6840.1016739130437</v>
      </c>
      <c r="S218" s="188">
        <f>SUM('Tab7'!E42,'Tab11'!E42)</f>
        <v>122.43916062391185</v>
      </c>
      <c r="T218" s="188" t="s">
        <v>173</v>
      </c>
      <c r="U218" s="188"/>
      <c r="V218" s="188"/>
      <c r="W218" s="188"/>
      <c r="X218" s="188"/>
      <c r="Y218" s="188"/>
      <c r="Z218" s="188"/>
      <c r="AA218" s="188"/>
      <c r="AB218" s="188"/>
      <c r="AC218" s="188"/>
      <c r="AD218" s="188"/>
      <c r="AE218" s="188"/>
      <c r="AF218" s="188"/>
      <c r="AG218" s="188"/>
      <c r="AH218" s="188"/>
      <c r="AI218" s="188"/>
      <c r="AJ218" s="171"/>
    </row>
    <row r="219" spans="1:36" x14ac:dyDescent="0.2">
      <c r="A219" s="171"/>
      <c r="B219" s="171"/>
      <c r="C219" s="171"/>
      <c r="D219" s="171"/>
      <c r="E219" s="171"/>
      <c r="F219" s="171"/>
      <c r="G219" s="171"/>
      <c r="H219" s="171"/>
      <c r="I219" s="171"/>
      <c r="J219" s="171"/>
      <c r="K219" s="171"/>
      <c r="L219" s="171"/>
      <c r="M219" s="171"/>
      <c r="N219" s="171"/>
      <c r="O219" s="171"/>
      <c r="P219" s="188"/>
      <c r="Q219" s="188"/>
      <c r="R219" s="188"/>
      <c r="S219" s="188"/>
      <c r="T219" s="188"/>
      <c r="U219" s="188"/>
      <c r="V219" s="188"/>
      <c r="W219" s="188"/>
      <c r="X219" s="188"/>
      <c r="Y219" s="188"/>
      <c r="Z219" s="188"/>
      <c r="AA219" s="188"/>
      <c r="AB219" s="188"/>
      <c r="AC219" s="188"/>
      <c r="AD219" s="188"/>
      <c r="AE219" s="205"/>
      <c r="AF219" s="205"/>
      <c r="AG219" s="205"/>
      <c r="AH219" s="205"/>
      <c r="AI219" s="205"/>
    </row>
    <row r="220" spans="1:36" x14ac:dyDescent="0.2">
      <c r="A220" s="171"/>
      <c r="B220" s="171"/>
      <c r="C220" s="171"/>
      <c r="D220" s="171"/>
      <c r="E220" s="171"/>
      <c r="F220" s="171"/>
      <c r="G220" s="171"/>
      <c r="H220" s="171"/>
      <c r="I220" s="171"/>
      <c r="J220" s="171"/>
      <c r="K220" s="171"/>
      <c r="L220" s="171"/>
      <c r="M220" s="171"/>
      <c r="N220" s="171"/>
      <c r="O220" s="171"/>
      <c r="P220" s="188"/>
      <c r="Q220" s="188"/>
      <c r="R220" s="188"/>
      <c r="S220" s="188"/>
      <c r="T220" s="188"/>
      <c r="U220" s="188"/>
      <c r="V220" s="188"/>
      <c r="W220" s="188"/>
      <c r="X220" s="188"/>
      <c r="Y220" s="188"/>
      <c r="Z220" s="188"/>
      <c r="AA220" s="188"/>
      <c r="AB220" s="188"/>
      <c r="AC220" s="188"/>
      <c r="AD220" s="188"/>
      <c r="AE220" s="205"/>
      <c r="AF220" s="205"/>
      <c r="AG220" s="205"/>
      <c r="AH220" s="205"/>
      <c r="AI220" s="205"/>
    </row>
    <row r="221" spans="1:36" x14ac:dyDescent="0.2">
      <c r="A221" s="171"/>
      <c r="B221" s="171"/>
      <c r="C221" s="171"/>
      <c r="D221" s="171"/>
      <c r="E221" s="171"/>
      <c r="F221" s="171"/>
      <c r="G221" s="171"/>
      <c r="H221" s="171"/>
      <c r="I221" s="171"/>
      <c r="J221" s="171"/>
      <c r="K221" s="171"/>
      <c r="L221" s="171"/>
      <c r="M221" s="171"/>
      <c r="N221" s="171"/>
      <c r="O221" s="171"/>
      <c r="P221" s="188"/>
      <c r="Q221" s="188"/>
      <c r="R221" s="188"/>
      <c r="S221" s="188"/>
      <c r="T221" s="188"/>
      <c r="U221" s="188"/>
      <c r="V221" s="188"/>
      <c r="W221" s="188"/>
      <c r="X221" s="188"/>
      <c r="Y221" s="188"/>
      <c r="Z221" s="188"/>
      <c r="AA221" s="188"/>
      <c r="AB221" s="188"/>
      <c r="AC221" s="188"/>
      <c r="AD221" s="188"/>
      <c r="AE221" s="205"/>
      <c r="AF221" s="205"/>
      <c r="AG221" s="205"/>
      <c r="AH221" s="205"/>
      <c r="AI221" s="205"/>
    </row>
    <row r="222" spans="1:36" x14ac:dyDescent="0.2">
      <c r="A222" s="171"/>
      <c r="B222" s="171"/>
      <c r="C222" s="171"/>
      <c r="D222" s="171"/>
      <c r="E222" s="171"/>
      <c r="F222" s="171"/>
      <c r="G222" s="171"/>
      <c r="H222" s="171"/>
      <c r="I222" s="171"/>
      <c r="J222" s="171"/>
      <c r="K222" s="171"/>
      <c r="L222" s="171"/>
      <c r="M222" s="171"/>
      <c r="N222" s="171"/>
      <c r="O222" s="171"/>
      <c r="P222" s="188"/>
      <c r="Q222" s="188"/>
      <c r="R222" s="188"/>
      <c r="S222" s="188"/>
      <c r="T222" s="188"/>
      <c r="U222" s="188"/>
      <c r="V222" s="188"/>
      <c r="W222" s="188"/>
      <c r="X222" s="188"/>
      <c r="Y222" s="188"/>
      <c r="Z222" s="188"/>
      <c r="AA222" s="188"/>
      <c r="AB222" s="188"/>
      <c r="AC222" s="188"/>
      <c r="AD222" s="188"/>
      <c r="AE222" s="205"/>
      <c r="AF222" s="205"/>
      <c r="AG222" s="205"/>
      <c r="AH222" s="205"/>
      <c r="AI222" s="205"/>
    </row>
    <row r="223" spans="1:36" x14ac:dyDescent="0.2">
      <c r="A223" s="171"/>
      <c r="B223" s="171"/>
      <c r="C223" s="171"/>
      <c r="D223" s="171"/>
      <c r="E223" s="171"/>
      <c r="F223" s="171"/>
      <c r="G223" s="171"/>
      <c r="H223" s="171"/>
      <c r="I223" s="171"/>
      <c r="J223" s="171"/>
      <c r="K223" s="171"/>
      <c r="L223" s="171"/>
      <c r="M223" s="171"/>
      <c r="N223" s="171"/>
      <c r="O223" s="171"/>
      <c r="P223" s="188"/>
      <c r="Q223" s="188"/>
      <c r="R223" s="188"/>
      <c r="S223" s="188"/>
      <c r="T223" s="188"/>
      <c r="U223" s="188"/>
      <c r="V223" s="188"/>
      <c r="W223" s="188"/>
      <c r="X223" s="188"/>
      <c r="Y223" s="188"/>
      <c r="Z223" s="188"/>
      <c r="AA223" s="188"/>
      <c r="AB223" s="188"/>
      <c r="AC223" s="188"/>
      <c r="AD223" s="188"/>
      <c r="AE223" s="205"/>
      <c r="AF223" s="205"/>
      <c r="AG223" s="205"/>
      <c r="AH223" s="205"/>
      <c r="AI223" s="205"/>
    </row>
    <row r="224" spans="1:36" x14ac:dyDescent="0.2">
      <c r="A224" s="171"/>
      <c r="B224" s="171"/>
      <c r="C224" s="171"/>
      <c r="D224" s="171"/>
      <c r="E224" s="171"/>
      <c r="F224" s="171"/>
      <c r="G224" s="171"/>
      <c r="H224" s="171"/>
      <c r="I224" s="171"/>
      <c r="J224" s="171"/>
      <c r="K224" s="171"/>
      <c r="L224" s="171"/>
      <c r="M224" s="171"/>
      <c r="N224" s="171"/>
      <c r="O224" s="171"/>
      <c r="P224" s="188"/>
      <c r="Q224" s="188"/>
      <c r="R224" s="188"/>
      <c r="S224" s="188"/>
      <c r="T224" s="188"/>
      <c r="U224" s="188"/>
      <c r="V224" s="188"/>
      <c r="W224" s="188"/>
      <c r="X224" s="188"/>
      <c r="Y224" s="188"/>
      <c r="Z224" s="188"/>
      <c r="AA224" s="188"/>
      <c r="AB224" s="188"/>
      <c r="AC224" s="188"/>
      <c r="AD224" s="188"/>
      <c r="AE224" s="205"/>
      <c r="AF224" s="205"/>
      <c r="AG224" s="205"/>
      <c r="AH224" s="205"/>
      <c r="AI224" s="205"/>
    </row>
    <row r="225" spans="1:30" x14ac:dyDescent="0.2">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row>
    <row r="226" spans="1:30" x14ac:dyDescent="0.2">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row>
    <row r="227" spans="1:30" x14ac:dyDescent="0.2">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row>
    <row r="228" spans="1:30" x14ac:dyDescent="0.2">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row>
    <row r="229" spans="1:30" x14ac:dyDescent="0.2">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row>
    <row r="230" spans="1:30" x14ac:dyDescent="0.2">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row>
    <row r="231" spans="1:30" x14ac:dyDescent="0.2">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row>
    <row r="232" spans="1:30" x14ac:dyDescent="0.2">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171"/>
      <c r="AD232" s="171"/>
    </row>
    <row r="233" spans="1:30" x14ac:dyDescent="0.2">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row>
    <row r="234" spans="1:30" x14ac:dyDescent="0.2">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row>
    <row r="235" spans="1:30" x14ac:dyDescent="0.2">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row>
    <row r="236" spans="1:30" x14ac:dyDescent="0.2">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row>
    <row r="237" spans="1:30" x14ac:dyDescent="0.2">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c r="AA237" s="171"/>
      <c r="AB237" s="171"/>
      <c r="AC237" s="171"/>
      <c r="AD237" s="171"/>
    </row>
    <row r="238" spans="1:30" x14ac:dyDescent="0.2">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c r="AB238" s="171"/>
      <c r="AC238" s="171"/>
      <c r="AD238" s="171"/>
    </row>
    <row r="239" spans="1:30" x14ac:dyDescent="0.2">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row>
    <row r="240" spans="1:30" x14ac:dyDescent="0.2">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c r="AA240" s="171"/>
      <c r="AB240" s="171"/>
      <c r="AC240" s="171"/>
      <c r="AD240" s="171"/>
    </row>
    <row r="241" spans="1:30" x14ac:dyDescent="0.2">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row>
    <row r="242" spans="1:30" x14ac:dyDescent="0.2">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row>
    <row r="243" spans="1:30" x14ac:dyDescent="0.2">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row>
    <row r="244" spans="1:30" x14ac:dyDescent="0.2">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row>
    <row r="245" spans="1:30" x14ac:dyDescent="0.2">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row>
    <row r="246" spans="1:30" x14ac:dyDescent="0.2">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row>
    <row r="247" spans="1:30" x14ac:dyDescent="0.2">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row>
    <row r="248" spans="1:30" x14ac:dyDescent="0.2">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row>
    <row r="249" spans="1:30" x14ac:dyDescent="0.2">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row>
    <row r="250" spans="1:30" x14ac:dyDescent="0.2">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row>
    <row r="251" spans="1:30" x14ac:dyDescent="0.2">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row>
    <row r="252" spans="1:30" x14ac:dyDescent="0.2">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row>
    <row r="253" spans="1:30" x14ac:dyDescent="0.2">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row>
    <row r="254" spans="1:30" x14ac:dyDescent="0.2">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c r="AA254" s="171"/>
      <c r="AB254" s="171"/>
      <c r="AC254" s="171"/>
      <c r="AD254" s="171"/>
    </row>
    <row r="255" spans="1:30" x14ac:dyDescent="0.2">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c r="AA255" s="171"/>
      <c r="AB255" s="171"/>
      <c r="AC255" s="171"/>
      <c r="AD255" s="171"/>
    </row>
    <row r="256" spans="1:30" x14ac:dyDescent="0.2">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row>
    <row r="257" spans="1:30" x14ac:dyDescent="0.2">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c r="AA257" s="171"/>
      <c r="AB257" s="171"/>
      <c r="AC257" s="171"/>
      <c r="AD257" s="171"/>
    </row>
    <row r="258" spans="1:30" x14ac:dyDescent="0.2">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c r="AB258" s="171"/>
      <c r="AC258" s="171"/>
      <c r="AD258" s="171"/>
    </row>
    <row r="259" spans="1:30" x14ac:dyDescent="0.2">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row>
    <row r="260" spans="1:30" x14ac:dyDescent="0.2">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c r="AA260" s="171"/>
      <c r="AB260" s="171"/>
      <c r="AC260" s="171"/>
      <c r="AD260" s="171"/>
    </row>
    <row r="261" spans="1:30" x14ac:dyDescent="0.2">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c r="AA261" s="171"/>
      <c r="AB261" s="171"/>
      <c r="AC261" s="171"/>
      <c r="AD261" s="171"/>
    </row>
    <row r="262" spans="1:30" x14ac:dyDescent="0.2">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row>
    <row r="263" spans="1:30" x14ac:dyDescent="0.2">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c r="AB263" s="171"/>
      <c r="AC263" s="171"/>
      <c r="AD263" s="171"/>
    </row>
    <row r="264" spans="1:30" x14ac:dyDescent="0.2">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c r="AA264" s="171"/>
      <c r="AB264" s="171"/>
      <c r="AC264" s="171"/>
      <c r="AD264" s="171"/>
    </row>
    <row r="265" spans="1:30" x14ac:dyDescent="0.2">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c r="AB265" s="171"/>
      <c r="AC265" s="171"/>
      <c r="AD265" s="171"/>
    </row>
    <row r="266" spans="1:30" x14ac:dyDescent="0.2">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c r="AB266" s="171"/>
      <c r="AC266" s="171"/>
      <c r="AD266" s="171"/>
    </row>
    <row r="267" spans="1:30" x14ac:dyDescent="0.2">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c r="AA267" s="171"/>
      <c r="AB267" s="171"/>
      <c r="AC267" s="171"/>
      <c r="AD267" s="171"/>
    </row>
    <row r="268" spans="1:30" x14ac:dyDescent="0.2">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row>
    <row r="269" spans="1:30" x14ac:dyDescent="0.2">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row>
    <row r="270" spans="1:30" x14ac:dyDescent="0.2">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1"/>
      <c r="AB270" s="171"/>
      <c r="AC270" s="171"/>
      <c r="AD270" s="171"/>
    </row>
    <row r="271" spans="1:30" x14ac:dyDescent="0.2">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c r="AA271" s="171"/>
      <c r="AB271" s="171"/>
      <c r="AC271" s="171"/>
      <c r="AD271" s="171"/>
    </row>
    <row r="272" spans="1:30" x14ac:dyDescent="0.2">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c r="AA272" s="171"/>
      <c r="AB272" s="171"/>
      <c r="AC272" s="171"/>
      <c r="AD272" s="171"/>
    </row>
    <row r="273" spans="1:30" x14ac:dyDescent="0.2">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c r="AA273" s="171"/>
      <c r="AB273" s="171"/>
      <c r="AC273" s="171"/>
      <c r="AD273" s="171"/>
    </row>
    <row r="274" spans="1:30" x14ac:dyDescent="0.2">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c r="AA274" s="171"/>
      <c r="AB274" s="171"/>
      <c r="AC274" s="171"/>
      <c r="AD274" s="171"/>
    </row>
    <row r="275" spans="1:30" x14ac:dyDescent="0.2">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c r="AA275" s="171"/>
      <c r="AB275" s="171"/>
      <c r="AC275" s="171"/>
      <c r="AD275" s="171"/>
    </row>
    <row r="276" spans="1:30" x14ac:dyDescent="0.2">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c r="AA276" s="171"/>
      <c r="AB276" s="171"/>
      <c r="AC276" s="171"/>
      <c r="AD276" s="171"/>
    </row>
    <row r="277" spans="1:30" x14ac:dyDescent="0.2">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c r="AA277" s="171"/>
      <c r="AB277" s="171"/>
      <c r="AC277" s="171"/>
      <c r="AD277" s="171"/>
    </row>
    <row r="278" spans="1:30" x14ac:dyDescent="0.2">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c r="AA278" s="171"/>
      <c r="AB278" s="171"/>
      <c r="AC278" s="171"/>
      <c r="AD278" s="171"/>
    </row>
    <row r="279" spans="1:30" x14ac:dyDescent="0.2">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c r="AA279" s="171"/>
      <c r="AB279" s="171"/>
      <c r="AC279" s="171"/>
      <c r="AD279" s="171"/>
    </row>
    <row r="280" spans="1:30" x14ac:dyDescent="0.2">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c r="AA280" s="171"/>
      <c r="AB280" s="171"/>
      <c r="AC280" s="171"/>
      <c r="AD280" s="171"/>
    </row>
    <row r="281" spans="1:30" x14ac:dyDescent="0.2">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c r="AA281" s="171"/>
      <c r="AB281" s="171"/>
      <c r="AC281" s="171"/>
      <c r="AD281" s="171"/>
    </row>
    <row r="282" spans="1:30" x14ac:dyDescent="0.2">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c r="AA282" s="171"/>
      <c r="AB282" s="171"/>
      <c r="AC282" s="171"/>
      <c r="AD282" s="171"/>
    </row>
    <row r="283" spans="1:30" x14ac:dyDescent="0.2">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row>
    <row r="284" spans="1:30" x14ac:dyDescent="0.2">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c r="AA284" s="171"/>
      <c r="AB284" s="171"/>
      <c r="AC284" s="171"/>
      <c r="AD284" s="171"/>
    </row>
    <row r="285" spans="1:30" x14ac:dyDescent="0.2">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c r="AA285" s="171"/>
      <c r="AB285" s="171"/>
      <c r="AC285" s="171"/>
      <c r="AD285" s="171"/>
    </row>
    <row r="286" spans="1:30" x14ac:dyDescent="0.2">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row>
    <row r="287" spans="1:30" x14ac:dyDescent="0.2">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c r="AA287" s="171"/>
      <c r="AB287" s="171"/>
      <c r="AC287" s="171"/>
      <c r="AD287" s="171"/>
    </row>
    <row r="288" spans="1:30" x14ac:dyDescent="0.2">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c r="AB288" s="171"/>
      <c r="AC288" s="171"/>
      <c r="AD288" s="171"/>
    </row>
    <row r="289" spans="1:30" x14ac:dyDescent="0.2">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c r="AA289" s="171"/>
      <c r="AB289" s="171"/>
      <c r="AC289" s="171"/>
      <c r="AD289" s="171"/>
    </row>
    <row r="290" spans="1:30" x14ac:dyDescent="0.2">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c r="AB290" s="171"/>
      <c r="AC290" s="171"/>
      <c r="AD290" s="171"/>
    </row>
    <row r="291" spans="1:30" x14ac:dyDescent="0.2">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c r="AA291" s="171"/>
      <c r="AB291" s="171"/>
      <c r="AC291" s="171"/>
      <c r="AD291" s="171"/>
    </row>
    <row r="292" spans="1:30" x14ac:dyDescent="0.2">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c r="AA292" s="171"/>
      <c r="AB292" s="171"/>
      <c r="AC292" s="171"/>
      <c r="AD292" s="171"/>
    </row>
    <row r="293" spans="1:30" x14ac:dyDescent="0.2">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c r="AA293" s="171"/>
      <c r="AB293" s="171"/>
      <c r="AC293" s="171"/>
      <c r="AD293" s="171"/>
    </row>
    <row r="294" spans="1:30" x14ac:dyDescent="0.2">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c r="AA294" s="171"/>
      <c r="AB294" s="171"/>
      <c r="AC294" s="171"/>
      <c r="AD294" s="171"/>
    </row>
    <row r="295" spans="1:30" x14ac:dyDescent="0.2">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c r="AA295" s="171"/>
      <c r="AB295" s="171"/>
      <c r="AC295" s="171"/>
      <c r="AD295" s="171"/>
    </row>
    <row r="296" spans="1:30" x14ac:dyDescent="0.2">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c r="AA296" s="171"/>
      <c r="AB296" s="171"/>
      <c r="AC296" s="171"/>
      <c r="AD296" s="171"/>
    </row>
    <row r="297" spans="1:30" x14ac:dyDescent="0.2">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c r="AA297" s="171"/>
      <c r="AB297" s="171"/>
      <c r="AC297" s="171"/>
      <c r="AD297" s="171"/>
    </row>
    <row r="298" spans="1:30" x14ac:dyDescent="0.2">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row>
    <row r="299" spans="1:30" x14ac:dyDescent="0.2">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c r="AA299" s="171"/>
      <c r="AB299" s="171"/>
      <c r="AC299" s="171"/>
      <c r="AD299" s="171"/>
    </row>
    <row r="300" spans="1:30" x14ac:dyDescent="0.2">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c r="AA300" s="171"/>
      <c r="AB300" s="171"/>
      <c r="AC300" s="171"/>
      <c r="AD300" s="171"/>
    </row>
    <row r="301" spans="1:30" x14ac:dyDescent="0.2">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c r="AA301" s="171"/>
      <c r="AB301" s="171"/>
      <c r="AC301" s="171"/>
      <c r="AD301" s="171"/>
    </row>
    <row r="302" spans="1:30" x14ac:dyDescent="0.2">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c r="AA302" s="171"/>
      <c r="AB302" s="171"/>
      <c r="AC302" s="171"/>
      <c r="AD302" s="171"/>
    </row>
    <row r="303" spans="1:30" x14ac:dyDescent="0.2">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row>
    <row r="304" spans="1:30" x14ac:dyDescent="0.2">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c r="AA304" s="171"/>
      <c r="AB304" s="171"/>
      <c r="AC304" s="171"/>
      <c r="AD304" s="171"/>
    </row>
    <row r="305" spans="1:30" x14ac:dyDescent="0.2">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c r="AA305" s="171"/>
      <c r="AB305" s="171"/>
      <c r="AC305" s="171"/>
      <c r="AD305" s="171"/>
    </row>
    <row r="306" spans="1:30" x14ac:dyDescent="0.2">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c r="AA306" s="171"/>
      <c r="AB306" s="171"/>
      <c r="AC306" s="171"/>
      <c r="AD306" s="171"/>
    </row>
    <row r="307" spans="1:30" x14ac:dyDescent="0.2">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c r="AA307" s="171"/>
      <c r="AB307" s="171"/>
      <c r="AC307" s="171"/>
      <c r="AD307" s="171"/>
    </row>
    <row r="308" spans="1:30" x14ac:dyDescent="0.2">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c r="AA308" s="171"/>
      <c r="AB308" s="171"/>
      <c r="AC308" s="171"/>
      <c r="AD308" s="171"/>
    </row>
    <row r="309" spans="1:30" x14ac:dyDescent="0.2">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c r="AA309" s="171"/>
      <c r="AB309" s="171"/>
      <c r="AC309" s="171"/>
      <c r="AD309" s="171"/>
    </row>
    <row r="310" spans="1:30" x14ac:dyDescent="0.2">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c r="AA310" s="171"/>
      <c r="AB310" s="171"/>
      <c r="AC310" s="171"/>
      <c r="AD310" s="171"/>
    </row>
    <row r="311" spans="1:30" x14ac:dyDescent="0.2">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c r="AA311" s="171"/>
      <c r="AB311" s="171"/>
      <c r="AC311" s="171"/>
      <c r="AD311" s="171"/>
    </row>
    <row r="312" spans="1:30" x14ac:dyDescent="0.2">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c r="AA312" s="171"/>
      <c r="AB312" s="171"/>
      <c r="AC312" s="171"/>
      <c r="AD312" s="171"/>
    </row>
    <row r="313" spans="1:30" x14ac:dyDescent="0.2">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c r="AA313" s="171"/>
      <c r="AB313" s="171"/>
      <c r="AC313" s="171"/>
      <c r="AD313" s="171"/>
    </row>
    <row r="314" spans="1:30" x14ac:dyDescent="0.2">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row>
    <row r="315" spans="1:30" x14ac:dyDescent="0.2">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c r="AA315" s="171"/>
      <c r="AB315" s="171"/>
      <c r="AC315" s="171"/>
      <c r="AD315" s="171"/>
    </row>
    <row r="316" spans="1:30" x14ac:dyDescent="0.2">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c r="AA316" s="171"/>
      <c r="AB316" s="171"/>
      <c r="AC316" s="171"/>
      <c r="AD316" s="171"/>
    </row>
    <row r="317" spans="1:30" x14ac:dyDescent="0.2">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c r="AA317" s="171"/>
      <c r="AB317" s="171"/>
      <c r="AC317" s="171"/>
      <c r="AD317" s="171"/>
    </row>
    <row r="318" spans="1:30" x14ac:dyDescent="0.2">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c r="AA318" s="171"/>
      <c r="AB318" s="171"/>
      <c r="AC318" s="171"/>
      <c r="AD318" s="171"/>
    </row>
    <row r="319" spans="1:30" x14ac:dyDescent="0.2">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c r="AA319" s="171"/>
      <c r="AB319" s="171"/>
      <c r="AC319" s="171"/>
      <c r="AD319" s="171"/>
    </row>
    <row r="320" spans="1:30" x14ac:dyDescent="0.2">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row>
    <row r="321" spans="1:30" x14ac:dyDescent="0.2">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c r="AA321" s="171"/>
      <c r="AB321" s="171"/>
      <c r="AC321" s="171"/>
      <c r="AD321" s="171"/>
    </row>
    <row r="322" spans="1:30" x14ac:dyDescent="0.2">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c r="AA322" s="171"/>
      <c r="AB322" s="171"/>
      <c r="AC322" s="171"/>
      <c r="AD322" s="171"/>
    </row>
    <row r="323" spans="1:30" x14ac:dyDescent="0.2">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c r="AA323" s="171"/>
      <c r="AB323" s="171"/>
      <c r="AC323" s="171"/>
      <c r="AD323" s="171"/>
    </row>
    <row r="324" spans="1:30" x14ac:dyDescent="0.2">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c r="AA324" s="171"/>
      <c r="AB324" s="171"/>
      <c r="AC324" s="171"/>
      <c r="AD324" s="171"/>
    </row>
    <row r="325" spans="1:30" x14ac:dyDescent="0.2">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c r="AA325" s="171"/>
      <c r="AB325" s="171"/>
      <c r="AC325" s="171"/>
      <c r="AD325" s="171"/>
    </row>
    <row r="326" spans="1:30" x14ac:dyDescent="0.2">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c r="AA326" s="171"/>
      <c r="AB326" s="171"/>
      <c r="AC326" s="171"/>
      <c r="AD326" s="171"/>
    </row>
    <row r="327" spans="1:30" x14ac:dyDescent="0.2">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c r="AA327" s="171"/>
      <c r="AB327" s="171"/>
      <c r="AC327" s="171"/>
      <c r="AD327" s="171"/>
    </row>
    <row r="328" spans="1:30" x14ac:dyDescent="0.2">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c r="AA328" s="171"/>
      <c r="AB328" s="171"/>
      <c r="AC328" s="171"/>
      <c r="AD328" s="171"/>
    </row>
    <row r="329" spans="1:30" x14ac:dyDescent="0.2">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c r="AA329" s="171"/>
      <c r="AB329" s="171"/>
      <c r="AC329" s="171"/>
      <c r="AD329" s="171"/>
    </row>
    <row r="330" spans="1:30" x14ac:dyDescent="0.2">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c r="AA330" s="171"/>
      <c r="AB330" s="171"/>
      <c r="AC330" s="171"/>
      <c r="AD330" s="171"/>
    </row>
    <row r="331" spans="1:30" x14ac:dyDescent="0.2">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c r="AA331" s="171"/>
      <c r="AB331" s="171"/>
      <c r="AC331" s="171"/>
      <c r="AD331" s="171"/>
    </row>
    <row r="332" spans="1:30" x14ac:dyDescent="0.2">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c r="AA332" s="171"/>
      <c r="AB332" s="171"/>
      <c r="AC332" s="171"/>
      <c r="AD332" s="171"/>
    </row>
    <row r="333" spans="1:30" x14ac:dyDescent="0.2">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c r="AA333" s="171"/>
      <c r="AB333" s="171"/>
      <c r="AC333" s="171"/>
      <c r="AD333" s="171"/>
    </row>
  </sheetData>
  <autoFilter ref="A2" xr:uid="{00000000-0009-0000-0000-000003000000}"/>
  <mergeCells count="6">
    <mergeCell ref="AJ61:AJ62"/>
    <mergeCell ref="AC61:AC62"/>
    <mergeCell ref="A4:A5"/>
    <mergeCell ref="H61:H62"/>
    <mergeCell ref="O61:O62"/>
    <mergeCell ref="V61:V62"/>
  </mergeCells>
  <phoneticPr fontId="0" type="noConversion"/>
  <hyperlinks>
    <hyperlink ref="A2" location="Innhold!A11" display="Tilbake til innholdsfortegnelsen" xr:uid="{00000000-0004-0000-03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rowBreaks count="1" manualBreakCount="1">
    <brk id="62" max="16383" man="1"/>
  </rowBreaks>
  <ignoredErrors>
    <ignoredError sqref="C135:C207 D135:D215 C21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144</v>
      </c>
      <c r="B4" s="5"/>
      <c r="C4" s="5"/>
      <c r="D4" s="5"/>
      <c r="E4" s="5"/>
      <c r="F4" s="5"/>
      <c r="G4" s="5"/>
      <c r="H4" s="6"/>
    </row>
    <row r="5" spans="1:8" x14ac:dyDescent="0.2">
      <c r="A5" s="7"/>
      <c r="B5" s="164"/>
      <c r="C5" s="9"/>
      <c r="D5" s="164"/>
      <c r="E5" s="10"/>
      <c r="F5" s="11"/>
      <c r="G5" s="167" t="s">
        <v>1</v>
      </c>
      <c r="H5" s="165"/>
    </row>
    <row r="6" spans="1:8" x14ac:dyDescent="0.2">
      <c r="A6" s="12"/>
      <c r="B6" s="13"/>
      <c r="C6" s="14" t="s">
        <v>234</v>
      </c>
      <c r="D6" s="15" t="s">
        <v>235</v>
      </c>
      <c r="E6" s="15" t="s">
        <v>236</v>
      </c>
      <c r="F6" s="16"/>
      <c r="G6" s="17" t="s">
        <v>237</v>
      </c>
      <c r="H6" s="18" t="s">
        <v>238</v>
      </c>
    </row>
    <row r="7" spans="1:8" ht="12.75" customHeight="1" x14ac:dyDescent="0.2">
      <c r="A7" s="166" t="s">
        <v>2</v>
      </c>
      <c r="B7" s="19" t="s">
        <v>3</v>
      </c>
      <c r="C7" s="20">
        <v>1914669.0099414669</v>
      </c>
      <c r="D7" s="20">
        <v>2118780.1395823145</v>
      </c>
      <c r="E7" s="79">
        <v>2206109.6470114714</v>
      </c>
      <c r="F7" s="22" t="s">
        <v>239</v>
      </c>
      <c r="G7" s="23">
        <v>15.22146311225427</v>
      </c>
      <c r="H7" s="24">
        <v>4.1216880316035258</v>
      </c>
    </row>
    <row r="8" spans="1:8" ht="12.75" customHeight="1" x14ac:dyDescent="0.2">
      <c r="A8" s="168"/>
      <c r="B8" s="25" t="s">
        <v>240</v>
      </c>
      <c r="C8" s="26">
        <v>483107.93760637526</v>
      </c>
      <c r="D8" s="26">
        <v>488627.59937055415</v>
      </c>
      <c r="E8" s="26">
        <v>523784.12529563473</v>
      </c>
      <c r="F8" s="27"/>
      <c r="G8" s="28">
        <v>8.4196893743446282</v>
      </c>
      <c r="H8" s="29">
        <v>7.1949529601620839</v>
      </c>
    </row>
    <row r="9" spans="1:8" x14ac:dyDescent="0.2">
      <c r="A9" s="30" t="s">
        <v>4</v>
      </c>
      <c r="B9" s="31" t="s">
        <v>3</v>
      </c>
      <c r="C9" s="20">
        <v>659386.10059192823</v>
      </c>
      <c r="D9" s="20">
        <v>682061.20020328846</v>
      </c>
      <c r="E9" s="20">
        <v>656013.0279813339</v>
      </c>
      <c r="F9" s="22" t="s">
        <v>239</v>
      </c>
      <c r="G9" s="32">
        <v>-0.51154742381835661</v>
      </c>
      <c r="H9" s="33">
        <v>-3.8190373846497749</v>
      </c>
    </row>
    <row r="10" spans="1:8" x14ac:dyDescent="0.2">
      <c r="A10" s="34"/>
      <c r="B10" s="25" t="s">
        <v>240</v>
      </c>
      <c r="C10" s="26">
        <v>185315.9312541417</v>
      </c>
      <c r="D10" s="26">
        <v>177705.94396636772</v>
      </c>
      <c r="E10" s="26">
        <v>175178.74106278026</v>
      </c>
      <c r="F10" s="27"/>
      <c r="G10" s="28">
        <v>-5.4702205702214144</v>
      </c>
      <c r="H10" s="29">
        <v>-1.4221262649862467</v>
      </c>
    </row>
    <row r="11" spans="1:8" x14ac:dyDescent="0.2">
      <c r="A11" s="30" t="s">
        <v>5</v>
      </c>
      <c r="B11" s="31" t="s">
        <v>3</v>
      </c>
      <c r="C11" s="20">
        <v>188881.58277912228</v>
      </c>
      <c r="D11" s="20">
        <v>226601.60727055313</v>
      </c>
      <c r="E11" s="20">
        <v>259241.95097710169</v>
      </c>
      <c r="F11" s="22" t="s">
        <v>239</v>
      </c>
      <c r="G11" s="37">
        <v>37.251047541389283</v>
      </c>
      <c r="H11" s="33">
        <v>14.404286050618026</v>
      </c>
    </row>
    <row r="12" spans="1:8" x14ac:dyDescent="0.2">
      <c r="A12" s="34"/>
      <c r="B12" s="25" t="s">
        <v>240</v>
      </c>
      <c r="C12" s="26">
        <v>41713.214835185645</v>
      </c>
      <c r="D12" s="26">
        <v>63821.611414798186</v>
      </c>
      <c r="E12" s="26">
        <v>66877.028892376693</v>
      </c>
      <c r="F12" s="27"/>
      <c r="G12" s="28">
        <v>60.325760449336173</v>
      </c>
      <c r="H12" s="29">
        <v>4.7874339269190784</v>
      </c>
    </row>
    <row r="13" spans="1:8" x14ac:dyDescent="0.2">
      <c r="A13" s="30" t="s">
        <v>6</v>
      </c>
      <c r="B13" s="31" t="s">
        <v>3</v>
      </c>
      <c r="C13" s="20">
        <v>312410.11965267966</v>
      </c>
      <c r="D13" s="20">
        <v>401911.93909904256</v>
      </c>
      <c r="E13" s="20">
        <v>419044.34708947199</v>
      </c>
      <c r="F13" s="22" t="s">
        <v>239</v>
      </c>
      <c r="G13" s="23">
        <v>34.132769948471065</v>
      </c>
      <c r="H13" s="24">
        <v>4.2627268124541899</v>
      </c>
    </row>
    <row r="14" spans="1:8" x14ac:dyDescent="0.2">
      <c r="A14" s="34"/>
      <c r="B14" s="25" t="s">
        <v>240</v>
      </c>
      <c r="C14" s="26">
        <v>77087.597089036251</v>
      </c>
      <c r="D14" s="26">
        <v>80234.550480475766</v>
      </c>
      <c r="E14" s="26">
        <v>89341.55665428417</v>
      </c>
      <c r="F14" s="27"/>
      <c r="G14" s="38">
        <v>15.896149352138437</v>
      </c>
      <c r="H14" s="24">
        <v>11.350479462117136</v>
      </c>
    </row>
    <row r="15" spans="1:8" x14ac:dyDescent="0.2">
      <c r="A15" s="30" t="s">
        <v>168</v>
      </c>
      <c r="B15" s="31" t="s">
        <v>3</v>
      </c>
      <c r="C15" s="20">
        <v>39410.456254180601</v>
      </c>
      <c r="D15" s="20">
        <v>47104.096671444495</v>
      </c>
      <c r="E15" s="20">
        <v>49117.067168788053</v>
      </c>
      <c r="F15" s="22" t="s">
        <v>239</v>
      </c>
      <c r="G15" s="37">
        <v>24.62953194960231</v>
      </c>
      <c r="H15" s="33">
        <v>4.2734510150660867</v>
      </c>
    </row>
    <row r="16" spans="1:8" x14ac:dyDescent="0.2">
      <c r="A16" s="34"/>
      <c r="B16" s="25" t="s">
        <v>240</v>
      </c>
      <c r="C16" s="26">
        <v>10382.715628412167</v>
      </c>
      <c r="D16" s="26">
        <v>12011.183150183149</v>
      </c>
      <c r="E16" s="26">
        <v>12659.963847746456</v>
      </c>
      <c r="F16" s="27"/>
      <c r="G16" s="28">
        <v>21.933069351361496</v>
      </c>
      <c r="H16" s="29">
        <v>5.40147202362337</v>
      </c>
    </row>
    <row r="17" spans="1:8" x14ac:dyDescent="0.2">
      <c r="A17" s="30" t="s">
        <v>7</v>
      </c>
      <c r="B17" s="31" t="s">
        <v>3</v>
      </c>
      <c r="C17" s="20">
        <v>10163.02716734694</v>
      </c>
      <c r="D17" s="20">
        <v>10868.335804081633</v>
      </c>
      <c r="E17" s="20">
        <v>9603.5904104907422</v>
      </c>
      <c r="F17" s="22" t="s">
        <v>239</v>
      </c>
      <c r="G17" s="23">
        <v>-5.5046271907412319</v>
      </c>
      <c r="H17" s="24">
        <v>-11.636973832883527</v>
      </c>
    </row>
    <row r="18" spans="1:8" x14ac:dyDescent="0.2">
      <c r="A18" s="30"/>
      <c r="B18" s="25" t="s">
        <v>240</v>
      </c>
      <c r="C18" s="26">
        <v>2788.1823510204081</v>
      </c>
      <c r="D18" s="26">
        <v>3000.3396244897958</v>
      </c>
      <c r="E18" s="26">
        <v>2645.6721469387758</v>
      </c>
      <c r="F18" s="27"/>
      <c r="G18" s="38">
        <v>-5.1112225148931572</v>
      </c>
      <c r="H18" s="24">
        <v>-11.820911028075059</v>
      </c>
    </row>
    <row r="19" spans="1:8" x14ac:dyDescent="0.2">
      <c r="A19" s="39" t="s">
        <v>8</v>
      </c>
      <c r="B19" s="31" t="s">
        <v>3</v>
      </c>
      <c r="C19" s="20">
        <v>4569</v>
      </c>
      <c r="D19" s="20">
        <v>4525</v>
      </c>
      <c r="E19" s="20">
        <v>4191.4737181331366</v>
      </c>
      <c r="F19" s="22" t="s">
        <v>239</v>
      </c>
      <c r="G19" s="37">
        <v>-8.2627770161274583</v>
      </c>
      <c r="H19" s="33">
        <v>-7.3707465605936591</v>
      </c>
    </row>
    <row r="20" spans="1:8" x14ac:dyDescent="0.2">
      <c r="A20" s="34"/>
      <c r="B20" s="25" t="s">
        <v>240</v>
      </c>
      <c r="C20" s="26">
        <v>1545.0778285714287</v>
      </c>
      <c r="D20" s="26">
        <v>1237</v>
      </c>
      <c r="E20" s="26">
        <v>1224</v>
      </c>
      <c r="F20" s="27"/>
      <c r="G20" s="28">
        <v>-20.78068966068173</v>
      </c>
      <c r="H20" s="29">
        <v>-1.0509296685529534</v>
      </c>
    </row>
    <row r="21" spans="1:8" x14ac:dyDescent="0.2">
      <c r="A21" s="39" t="s">
        <v>9</v>
      </c>
      <c r="B21" s="31" t="s">
        <v>3</v>
      </c>
      <c r="C21" s="20">
        <v>23196.560000000001</v>
      </c>
      <c r="D21" s="20">
        <v>24026.283333333333</v>
      </c>
      <c r="E21" s="20">
        <v>26769.621135554189</v>
      </c>
      <c r="F21" s="22" t="s">
        <v>239</v>
      </c>
      <c r="G21" s="37">
        <v>15.403409538113365</v>
      </c>
      <c r="H21" s="33">
        <v>11.418069803642211</v>
      </c>
    </row>
    <row r="22" spans="1:8" x14ac:dyDescent="0.2">
      <c r="A22" s="34"/>
      <c r="B22" s="25" t="s">
        <v>240</v>
      </c>
      <c r="C22" s="26">
        <v>7548.8859398833338</v>
      </c>
      <c r="D22" s="26">
        <v>6360.0533333333333</v>
      </c>
      <c r="E22" s="26">
        <v>7556.1933333333336</v>
      </c>
      <c r="F22" s="27"/>
      <c r="G22" s="28">
        <v>9.6800951931101054E-2</v>
      </c>
      <c r="H22" s="29">
        <v>18.807074993081827</v>
      </c>
    </row>
    <row r="23" spans="1:8" x14ac:dyDescent="0.2">
      <c r="A23" s="39" t="s">
        <v>192</v>
      </c>
      <c r="B23" s="31" t="s">
        <v>3</v>
      </c>
      <c r="C23" s="20">
        <v>5464</v>
      </c>
      <c r="D23" s="20">
        <v>5769</v>
      </c>
      <c r="E23" s="20">
        <v>6547.1908228546217</v>
      </c>
      <c r="F23" s="22" t="s">
        <v>239</v>
      </c>
      <c r="G23" s="37">
        <v>19.824136582258816</v>
      </c>
      <c r="H23" s="33">
        <v>13.489180496699987</v>
      </c>
    </row>
    <row r="24" spans="1:8" x14ac:dyDescent="0.2">
      <c r="A24" s="34"/>
      <c r="B24" s="25" t="s">
        <v>240</v>
      </c>
      <c r="C24" s="26">
        <v>1622</v>
      </c>
      <c r="D24" s="26">
        <v>1511</v>
      </c>
      <c r="E24" s="26">
        <v>1688</v>
      </c>
      <c r="F24" s="27"/>
      <c r="G24" s="28">
        <v>4.0690505548705289</v>
      </c>
      <c r="H24" s="29">
        <v>11.714096624751818</v>
      </c>
    </row>
    <row r="25" spans="1:8" x14ac:dyDescent="0.2">
      <c r="A25" s="39" t="s">
        <v>193</v>
      </c>
      <c r="B25" s="31" t="s">
        <v>3</v>
      </c>
      <c r="C25" s="20">
        <v>978</v>
      </c>
      <c r="D25" s="20">
        <v>1154</v>
      </c>
      <c r="E25" s="20">
        <v>1182.7951807228917</v>
      </c>
      <c r="F25" s="22" t="s">
        <v>239</v>
      </c>
      <c r="G25" s="37">
        <v>20.940202527903025</v>
      </c>
      <c r="H25" s="33">
        <v>2.4952496293666968</v>
      </c>
    </row>
    <row r="26" spans="1:8" x14ac:dyDescent="0.2">
      <c r="A26" s="34"/>
      <c r="B26" s="25" t="s">
        <v>240</v>
      </c>
      <c r="C26" s="26">
        <v>264</v>
      </c>
      <c r="D26" s="26">
        <v>332</v>
      </c>
      <c r="E26" s="26">
        <v>324</v>
      </c>
      <c r="F26" s="27"/>
      <c r="G26" s="28">
        <v>22.727272727272734</v>
      </c>
      <c r="H26" s="29">
        <v>-2.409638554216869</v>
      </c>
    </row>
    <row r="27" spans="1:8" x14ac:dyDescent="0.2">
      <c r="A27" s="39" t="s">
        <v>194</v>
      </c>
      <c r="B27" s="31" t="s">
        <v>3</v>
      </c>
      <c r="C27" s="20">
        <v>269991.33667365054</v>
      </c>
      <c r="D27" s="20">
        <v>281786.98794041621</v>
      </c>
      <c r="E27" s="20">
        <v>337151.80926016031</v>
      </c>
      <c r="F27" s="22" t="s">
        <v>239</v>
      </c>
      <c r="G27" s="37">
        <v>24.875047256678968</v>
      </c>
      <c r="H27" s="33">
        <v>19.647756528577176</v>
      </c>
    </row>
    <row r="28" spans="1:8" x14ac:dyDescent="0.2">
      <c r="A28" s="34"/>
      <c r="B28" s="25" t="s">
        <v>240</v>
      </c>
      <c r="C28" s="26">
        <v>51927.7048998803</v>
      </c>
      <c r="D28" s="26">
        <v>44836.882464880895</v>
      </c>
      <c r="E28" s="26">
        <v>61043.472000000002</v>
      </c>
      <c r="F28" s="27"/>
      <c r="G28" s="28">
        <v>17.554727515293507</v>
      </c>
      <c r="H28" s="29">
        <v>36.145665452572757</v>
      </c>
    </row>
    <row r="29" spans="1:8" x14ac:dyDescent="0.2">
      <c r="A29" s="30" t="s">
        <v>10</v>
      </c>
      <c r="B29" s="31" t="s">
        <v>3</v>
      </c>
      <c r="C29" s="20">
        <v>320312</v>
      </c>
      <c r="D29" s="20">
        <v>333492</v>
      </c>
      <c r="E29" s="20">
        <v>339717.48938745662</v>
      </c>
      <c r="F29" s="22" t="s">
        <v>239</v>
      </c>
      <c r="G29" s="37">
        <v>6.0583085827120584</v>
      </c>
      <c r="H29" s="33">
        <v>1.8667582393150752</v>
      </c>
    </row>
    <row r="30" spans="1:8" x14ac:dyDescent="0.2">
      <c r="A30" s="30"/>
      <c r="B30" s="25" t="s">
        <v>240</v>
      </c>
      <c r="C30" s="26">
        <v>83111</v>
      </c>
      <c r="D30" s="26">
        <v>76206</v>
      </c>
      <c r="E30" s="26">
        <v>80844</v>
      </c>
      <c r="F30" s="27"/>
      <c r="G30" s="28">
        <v>-2.7276774434190401</v>
      </c>
      <c r="H30" s="29">
        <v>6.0861349500039381</v>
      </c>
    </row>
    <row r="31" spans="1:8" x14ac:dyDescent="0.2">
      <c r="A31" s="39" t="s">
        <v>11</v>
      </c>
      <c r="B31" s="31" t="s">
        <v>3</v>
      </c>
      <c r="C31" s="20">
        <v>9835.3017456359103</v>
      </c>
      <c r="D31" s="20">
        <v>12077.194513715711</v>
      </c>
      <c r="E31" s="20">
        <v>15640.130778370694</v>
      </c>
      <c r="F31" s="22" t="s">
        <v>239</v>
      </c>
      <c r="G31" s="37">
        <v>59.020345108481138</v>
      </c>
      <c r="H31" s="33">
        <v>29.50135696339629</v>
      </c>
    </row>
    <row r="32" spans="1:8" x14ac:dyDescent="0.2">
      <c r="A32" s="34"/>
      <c r="B32" s="25" t="s">
        <v>240</v>
      </c>
      <c r="C32" s="26">
        <v>1164.4622753117208</v>
      </c>
      <c r="D32" s="26">
        <v>1085.2063591022443</v>
      </c>
      <c r="E32" s="26">
        <v>1528.1477556109726</v>
      </c>
      <c r="F32" s="27"/>
      <c r="G32" s="28">
        <v>31.232053455909096</v>
      </c>
      <c r="H32" s="29">
        <v>40.816328875473914</v>
      </c>
    </row>
    <row r="33" spans="1:8" x14ac:dyDescent="0.2">
      <c r="A33" s="30" t="s">
        <v>12</v>
      </c>
      <c r="B33" s="31" t="s">
        <v>3</v>
      </c>
      <c r="C33" s="20">
        <v>9480.0519999999997</v>
      </c>
      <c r="D33" s="20">
        <v>11145.096</v>
      </c>
      <c r="E33" s="20">
        <v>12579.075835710566</v>
      </c>
      <c r="F33" s="22" t="s">
        <v>239</v>
      </c>
      <c r="G33" s="37">
        <v>32.689945537330033</v>
      </c>
      <c r="H33" s="33">
        <v>12.866464637994738</v>
      </c>
    </row>
    <row r="34" spans="1:8" x14ac:dyDescent="0.2">
      <c r="A34" s="30"/>
      <c r="B34" s="25" t="s">
        <v>240</v>
      </c>
      <c r="C34" s="26">
        <v>2548.8293733400001</v>
      </c>
      <c r="D34" s="26">
        <v>2556.018</v>
      </c>
      <c r="E34" s="26">
        <v>3033.5280000000002</v>
      </c>
      <c r="F34" s="27"/>
      <c r="G34" s="28">
        <v>19.016519180522806</v>
      </c>
      <c r="H34" s="29">
        <v>18.681793320704315</v>
      </c>
    </row>
    <row r="35" spans="1:8" x14ac:dyDescent="0.2">
      <c r="A35" s="39" t="s">
        <v>13</v>
      </c>
      <c r="B35" s="31" t="s">
        <v>3</v>
      </c>
      <c r="C35" s="20">
        <v>104</v>
      </c>
      <c r="D35" s="20">
        <v>83</v>
      </c>
      <c r="E35" s="20">
        <v>34.615384615384613</v>
      </c>
      <c r="F35" s="22" t="s">
        <v>239</v>
      </c>
      <c r="G35" s="23">
        <v>-66.715976331360949</v>
      </c>
      <c r="H35" s="24">
        <v>-58.294717330861914</v>
      </c>
    </row>
    <row r="36" spans="1:8" x14ac:dyDescent="0.2">
      <c r="A36" s="34"/>
      <c r="B36" s="25" t="s">
        <v>240</v>
      </c>
      <c r="C36" s="26">
        <v>26</v>
      </c>
      <c r="D36" s="26">
        <v>26</v>
      </c>
      <c r="E36" s="26">
        <v>10</v>
      </c>
      <c r="F36" s="27"/>
      <c r="G36" s="28">
        <v>-61.538461538461533</v>
      </c>
      <c r="H36" s="29">
        <v>-61.538461538461533</v>
      </c>
    </row>
    <row r="37" spans="1:8" x14ac:dyDescent="0.2">
      <c r="A37" s="30" t="s">
        <v>14</v>
      </c>
      <c r="B37" s="31" t="s">
        <v>3</v>
      </c>
      <c r="C37" s="40">
        <v>60487.473076923074</v>
      </c>
      <c r="D37" s="40">
        <v>76174.398746438732</v>
      </c>
      <c r="E37" s="20">
        <v>81773.025607879681</v>
      </c>
      <c r="F37" s="22" t="s">
        <v>239</v>
      </c>
      <c r="G37" s="23">
        <v>35.190017780850866</v>
      </c>
      <c r="H37" s="24">
        <v>7.349748673536709</v>
      </c>
    </row>
    <row r="38" spans="1:8" ht="13.5" thickBot="1" x14ac:dyDescent="0.25">
      <c r="A38" s="41"/>
      <c r="B38" s="42" t="s">
        <v>240</v>
      </c>
      <c r="C38" s="43">
        <v>16062.336131592308</v>
      </c>
      <c r="D38" s="43">
        <v>17703.810576923075</v>
      </c>
      <c r="E38" s="43">
        <v>19829.821602564101</v>
      </c>
      <c r="F38" s="44"/>
      <c r="G38" s="45">
        <v>23.455401755425171</v>
      </c>
      <c r="H38" s="46">
        <v>12.008776395361352</v>
      </c>
    </row>
    <row r="39" spans="1:8" x14ac:dyDescent="0.2">
      <c r="A39" s="47"/>
      <c r="B39" s="48"/>
      <c r="C39" s="49"/>
      <c r="D39" s="49"/>
      <c r="E39" s="49"/>
      <c r="F39" s="49"/>
      <c r="G39" s="50"/>
      <c r="H39" s="51"/>
    </row>
    <row r="40" spans="1:8" x14ac:dyDescent="0.2">
      <c r="A40" s="47"/>
      <c r="B40" s="48"/>
      <c r="C40" s="49"/>
      <c r="D40" s="49"/>
      <c r="E40" s="49"/>
      <c r="F40" s="49"/>
      <c r="G40" s="50"/>
      <c r="H40" s="51"/>
    </row>
    <row r="41" spans="1:8" x14ac:dyDescent="0.2">
      <c r="A41" s="47"/>
      <c r="B41" s="48"/>
      <c r="C41" s="49"/>
      <c r="D41" s="49"/>
      <c r="E41" s="49"/>
      <c r="F41" s="49"/>
      <c r="G41" s="50"/>
      <c r="H41" s="51"/>
    </row>
    <row r="42" spans="1:8" x14ac:dyDescent="0.2">
      <c r="A42" s="47"/>
      <c r="B42" s="48"/>
      <c r="C42" s="49"/>
      <c r="D42" s="49"/>
      <c r="E42" s="49"/>
      <c r="F42" s="49"/>
      <c r="G42" s="50"/>
      <c r="H42" s="51"/>
    </row>
    <row r="43" spans="1:8" x14ac:dyDescent="0.2">
      <c r="A43" s="47"/>
      <c r="B43" s="48"/>
      <c r="C43" s="49"/>
      <c r="D43" s="49"/>
      <c r="E43" s="49"/>
      <c r="F43" s="49"/>
      <c r="G43" s="50"/>
      <c r="H43" s="51"/>
    </row>
    <row r="44" spans="1:8" x14ac:dyDescent="0.2">
      <c r="A44" s="47"/>
      <c r="B44" s="48"/>
      <c r="C44" s="49"/>
      <c r="D44" s="49"/>
      <c r="E44" s="49"/>
      <c r="F44" s="49"/>
      <c r="G44" s="50"/>
      <c r="H44" s="51"/>
    </row>
    <row r="45" spans="1:8" x14ac:dyDescent="0.2">
      <c r="A45" s="47"/>
      <c r="B45" s="48"/>
      <c r="C45" s="49"/>
      <c r="D45" s="49"/>
      <c r="E45" s="49"/>
      <c r="F45" s="49"/>
      <c r="G45" s="50"/>
      <c r="H45" s="51"/>
    </row>
    <row r="46" spans="1:8" x14ac:dyDescent="0.2">
      <c r="A46" s="47"/>
      <c r="B46" s="48"/>
      <c r="C46" s="49"/>
      <c r="D46" s="49"/>
      <c r="E46" s="49"/>
      <c r="F46" s="49"/>
      <c r="G46" s="50"/>
      <c r="H46" s="51"/>
    </row>
    <row r="47" spans="1:8" x14ac:dyDescent="0.2">
      <c r="A47" s="47"/>
      <c r="B47" s="48"/>
      <c r="C47" s="49"/>
      <c r="D47" s="49"/>
      <c r="E47" s="49"/>
      <c r="F47" s="49"/>
      <c r="G47" s="50"/>
      <c r="H47" s="51"/>
    </row>
    <row r="48" spans="1:8" x14ac:dyDescent="0.2">
      <c r="A48" s="47"/>
      <c r="B48" s="48"/>
      <c r="C48" s="49"/>
      <c r="D48" s="49"/>
      <c r="E48" s="49"/>
      <c r="F48" s="49"/>
      <c r="G48" s="50"/>
      <c r="H48" s="51"/>
    </row>
    <row r="49" spans="1:8" x14ac:dyDescent="0.2">
      <c r="A49" s="47"/>
      <c r="B49" s="48"/>
      <c r="C49" s="49"/>
      <c r="D49" s="49"/>
      <c r="E49" s="98"/>
      <c r="F49" s="49"/>
      <c r="G49" s="50"/>
      <c r="H49" s="51"/>
    </row>
    <row r="50" spans="1:8" x14ac:dyDescent="0.2">
      <c r="A50" s="47"/>
      <c r="B50" s="48"/>
      <c r="C50" s="49"/>
      <c r="D50" s="49"/>
      <c r="E50" s="49"/>
      <c r="F50" s="49"/>
      <c r="G50" s="50"/>
      <c r="H50" s="51"/>
    </row>
    <row r="51" spans="1:8" x14ac:dyDescent="0.2">
      <c r="A51" s="47"/>
      <c r="B51" s="48"/>
      <c r="C51" s="49"/>
      <c r="D51" s="49"/>
      <c r="E51" s="49"/>
      <c r="F51" s="49"/>
      <c r="G51" s="50"/>
      <c r="H51" s="51"/>
    </row>
    <row r="52" spans="1:8" x14ac:dyDescent="0.2">
      <c r="A52" s="47"/>
      <c r="B52" s="48"/>
      <c r="C52" s="49"/>
      <c r="D52" s="49"/>
      <c r="E52" s="49"/>
      <c r="F52" s="49"/>
      <c r="G52" s="50"/>
      <c r="H52" s="51"/>
    </row>
    <row r="53" spans="1:8" x14ac:dyDescent="0.2">
      <c r="A53" s="47"/>
      <c r="B53" s="48"/>
      <c r="C53" s="49"/>
      <c r="D53" s="49"/>
      <c r="E53" s="49"/>
      <c r="F53" s="49"/>
      <c r="G53" s="50"/>
      <c r="H53" s="51"/>
    </row>
    <row r="54" spans="1:8" x14ac:dyDescent="0.2">
      <c r="A54" s="47"/>
      <c r="B54" s="48"/>
      <c r="C54" s="49"/>
      <c r="D54" s="49"/>
      <c r="E54" s="49"/>
      <c r="F54" s="49"/>
      <c r="G54" s="50"/>
      <c r="H54" s="51"/>
    </row>
    <row r="55" spans="1:8" x14ac:dyDescent="0.2">
      <c r="A55" s="47"/>
      <c r="B55" s="48"/>
      <c r="C55" s="49"/>
      <c r="D55" s="49"/>
      <c r="E55" s="49"/>
      <c r="F55" s="49"/>
      <c r="G55" s="50"/>
      <c r="H55" s="51"/>
    </row>
    <row r="56" spans="1:8" x14ac:dyDescent="0.2">
      <c r="A56" s="47"/>
      <c r="B56" s="48"/>
      <c r="C56" s="49"/>
      <c r="D56" s="49"/>
      <c r="E56" s="49"/>
      <c r="F56" s="49"/>
      <c r="G56" s="50"/>
      <c r="H56" s="51"/>
    </row>
    <row r="57" spans="1:8" x14ac:dyDescent="0.2">
      <c r="A57" s="47"/>
      <c r="B57" s="48"/>
      <c r="C57" s="49"/>
      <c r="D57" s="49"/>
      <c r="E57" s="49"/>
      <c r="F57" s="49"/>
      <c r="G57" s="50"/>
      <c r="H57" s="51"/>
    </row>
    <row r="58" spans="1:8" x14ac:dyDescent="0.2">
      <c r="A58" s="47"/>
      <c r="B58" s="48"/>
      <c r="C58" s="49"/>
      <c r="D58" s="49"/>
      <c r="E58" s="49"/>
      <c r="F58" s="49"/>
      <c r="G58" s="50"/>
      <c r="H58" s="51"/>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tr">
        <f>+Innhold!$B$123</f>
        <v>Finans Norge / Skadestatistikk</v>
      </c>
      <c r="G61" s="53"/>
      <c r="H61" s="211">
        <v>9</v>
      </c>
    </row>
    <row r="62" spans="1:8" ht="12.75" customHeight="1" x14ac:dyDescent="0.2">
      <c r="A62" s="54" t="str">
        <f>+Innhold!$B$124</f>
        <v>Skadestatistikk for landbasert forsikring 1. kvartal 2019</v>
      </c>
      <c r="G62" s="53"/>
      <c r="H62" s="208"/>
    </row>
    <row r="63" spans="1:8" x14ac:dyDescent="0.2">
      <c r="H63" s="87"/>
    </row>
    <row r="64" spans="1:8" x14ac:dyDescent="0.2">
      <c r="A64" s="210"/>
      <c r="H64" s="53"/>
    </row>
    <row r="65" spans="1:8" x14ac:dyDescent="0.2">
      <c r="A65" s="210"/>
      <c r="H65" s="53"/>
    </row>
    <row r="67" spans="1:8" ht="12.75" customHeight="1" x14ac:dyDescent="0.2"/>
    <row r="68" spans="1:8" ht="12.75" customHeight="1" x14ac:dyDescent="0.2"/>
  </sheetData>
  <mergeCells count="2">
    <mergeCell ref="A64:A65"/>
    <mergeCell ref="H61:H62"/>
  </mergeCells>
  <phoneticPr fontId="0" type="noConversion"/>
  <hyperlinks>
    <hyperlink ref="A2" location="Innhold!A23" display="Tilbake til innholdsfortegnelsen" xr:uid="{00000000-0004-0000-0400-000000000000}"/>
  </hyperlinks>
  <pageMargins left="0.78740157480314965" right="0.78740157480314965" top="0.98425196850393704" bottom="0.19685039370078741" header="3.937007874015748E-2" footer="3.937007874015748E-2"/>
  <pageSetup paperSize="9" scale="9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10" ht="5.25" customHeight="1" x14ac:dyDescent="0.2"/>
    <row r="2" spans="1:10" x14ac:dyDescent="0.2">
      <c r="A2" s="92" t="s">
        <v>0</v>
      </c>
      <c r="B2" s="2"/>
      <c r="C2" s="2"/>
      <c r="D2" s="2"/>
      <c r="E2" s="2"/>
      <c r="F2" s="2"/>
      <c r="G2" s="2"/>
    </row>
    <row r="3" spans="1:10" ht="6" customHeight="1" x14ac:dyDescent="0.2">
      <c r="A3" s="3"/>
      <c r="B3" s="2"/>
      <c r="C3" s="2"/>
      <c r="D3" s="2"/>
      <c r="E3" s="2"/>
      <c r="F3" s="2"/>
      <c r="G3" s="2"/>
    </row>
    <row r="4" spans="1:10" ht="16.5" thickBot="1" x14ac:dyDescent="0.3">
      <c r="A4" s="4" t="s">
        <v>15</v>
      </c>
      <c r="B4" s="5"/>
      <c r="C4" s="5"/>
      <c r="D4" s="5"/>
      <c r="E4" s="5"/>
      <c r="F4" s="5"/>
      <c r="G4" s="5"/>
      <c r="H4" s="6"/>
    </row>
    <row r="5" spans="1:10" x14ac:dyDescent="0.2">
      <c r="A5" s="7"/>
      <c r="B5" s="8"/>
      <c r="C5" s="216" t="s">
        <v>16</v>
      </c>
      <c r="D5" s="212"/>
      <c r="E5" s="212"/>
      <c r="F5" s="217"/>
      <c r="G5" s="212" t="s">
        <v>1</v>
      </c>
      <c r="H5" s="213"/>
    </row>
    <row r="6" spans="1:10" x14ac:dyDescent="0.2">
      <c r="A6" s="12"/>
      <c r="B6" s="13"/>
      <c r="C6" s="14" t="s">
        <v>234</v>
      </c>
      <c r="D6" s="15" t="s">
        <v>235</v>
      </c>
      <c r="E6" s="15" t="s">
        <v>236</v>
      </c>
      <c r="F6" s="16"/>
      <c r="G6" s="17" t="s">
        <v>237</v>
      </c>
      <c r="H6" s="18" t="s">
        <v>238</v>
      </c>
    </row>
    <row r="7" spans="1:10" x14ac:dyDescent="0.2">
      <c r="A7" s="214" t="s">
        <v>2</v>
      </c>
      <c r="B7" s="19" t="s">
        <v>3</v>
      </c>
      <c r="C7" s="80">
        <v>37568.018908917373</v>
      </c>
      <c r="D7" s="80">
        <v>42419.490055589828</v>
      </c>
      <c r="E7" s="81">
        <v>44064.322892908094</v>
      </c>
      <c r="F7" s="22" t="s">
        <v>239</v>
      </c>
      <c r="G7" s="23">
        <v>17.292112207835146</v>
      </c>
      <c r="H7" s="24">
        <v>3.8775403362057119</v>
      </c>
    </row>
    <row r="8" spans="1:10" x14ac:dyDescent="0.2">
      <c r="A8" s="215"/>
      <c r="B8" s="25" t="s">
        <v>240</v>
      </c>
      <c r="C8" s="82">
        <v>10394.904365514391</v>
      </c>
      <c r="D8" s="82">
        <v>10583.363616654067</v>
      </c>
      <c r="E8" s="82">
        <v>11366.218084574442</v>
      </c>
      <c r="F8" s="27"/>
      <c r="G8" s="28">
        <v>9.344133287867777</v>
      </c>
      <c r="H8" s="29">
        <v>7.3970289246083212</v>
      </c>
      <c r="J8" s="95"/>
    </row>
    <row r="9" spans="1:10" x14ac:dyDescent="0.2">
      <c r="A9" s="30" t="s">
        <v>4</v>
      </c>
      <c r="B9" s="31" t="s">
        <v>3</v>
      </c>
      <c r="C9" s="80">
        <v>9856.860787358215</v>
      </c>
      <c r="D9" s="80">
        <v>10356.019765532123</v>
      </c>
      <c r="E9" s="80">
        <v>9865.3649917691127</v>
      </c>
      <c r="F9" s="22" t="s">
        <v>239</v>
      </c>
      <c r="G9" s="32">
        <v>8.6277006385287791E-2</v>
      </c>
      <c r="H9" s="33">
        <v>-4.7378701940687051</v>
      </c>
    </row>
    <row r="10" spans="1:10" x14ac:dyDescent="0.2">
      <c r="A10" s="34"/>
      <c r="B10" s="25" t="s">
        <v>240</v>
      </c>
      <c r="C10" s="82">
        <v>2552.6372381704196</v>
      </c>
      <c r="D10" s="82">
        <v>3064.0781440678998</v>
      </c>
      <c r="E10" s="82">
        <v>2786.5445486509689</v>
      </c>
      <c r="F10" s="27"/>
      <c r="G10" s="35">
        <v>9.1633588581588015</v>
      </c>
      <c r="H10" s="29">
        <v>-9.0576539620649044</v>
      </c>
      <c r="J10" s="95"/>
    </row>
    <row r="11" spans="1:10" x14ac:dyDescent="0.2">
      <c r="A11" s="30" t="s">
        <v>5</v>
      </c>
      <c r="B11" s="31" t="s">
        <v>3</v>
      </c>
      <c r="C11" s="80">
        <v>4022.0593413364004</v>
      </c>
      <c r="D11" s="80">
        <v>4805.3198537058943</v>
      </c>
      <c r="E11" s="80">
        <v>6293.872723505624</v>
      </c>
      <c r="F11" s="22" t="s">
        <v>239</v>
      </c>
      <c r="G11" s="37">
        <v>56.483835502396488</v>
      </c>
      <c r="H11" s="33">
        <v>30.977186017112842</v>
      </c>
    </row>
    <row r="12" spans="1:10" x14ac:dyDescent="0.2">
      <c r="A12" s="34"/>
      <c r="B12" s="25" t="s">
        <v>240</v>
      </c>
      <c r="C12" s="82">
        <v>1608.2039936465508</v>
      </c>
      <c r="D12" s="82">
        <v>1026.2860133308359</v>
      </c>
      <c r="E12" s="82">
        <v>1591.3110014472059</v>
      </c>
      <c r="F12" s="27"/>
      <c r="G12" s="28">
        <v>-1.0504259575329513</v>
      </c>
      <c r="H12" s="29">
        <v>55.055314091494608</v>
      </c>
    </row>
    <row r="13" spans="1:10" x14ac:dyDescent="0.2">
      <c r="A13" s="30" t="s">
        <v>6</v>
      </c>
      <c r="B13" s="31" t="s">
        <v>3</v>
      </c>
      <c r="C13" s="80">
        <v>7171.790369567203</v>
      </c>
      <c r="D13" s="80">
        <v>8904.3769745772461</v>
      </c>
      <c r="E13" s="80">
        <v>7872.0083372814997</v>
      </c>
      <c r="F13" s="22" t="s">
        <v>239</v>
      </c>
      <c r="G13" s="23">
        <v>9.7635029976001988</v>
      </c>
      <c r="H13" s="24">
        <v>-11.593945766708288</v>
      </c>
    </row>
    <row r="14" spans="1:10" x14ac:dyDescent="0.2">
      <c r="A14" s="34"/>
      <c r="B14" s="25" t="s">
        <v>240</v>
      </c>
      <c r="C14" s="82">
        <v>1899.6541603353128</v>
      </c>
      <c r="D14" s="82">
        <v>2162.8651301313707</v>
      </c>
      <c r="E14" s="82">
        <v>1966.4968327261579</v>
      </c>
      <c r="F14" s="27"/>
      <c r="G14" s="38">
        <v>3.5186758614550513</v>
      </c>
      <c r="H14" s="24">
        <v>-9.0790819394866986</v>
      </c>
    </row>
    <row r="15" spans="1:10" x14ac:dyDescent="0.2">
      <c r="A15" s="30" t="s">
        <v>168</v>
      </c>
      <c r="B15" s="31" t="s">
        <v>3</v>
      </c>
      <c r="C15" s="80">
        <v>5239.1371201696156</v>
      </c>
      <c r="D15" s="80">
        <v>6748.8583414238074</v>
      </c>
      <c r="E15" s="80">
        <v>7479.439401544827</v>
      </c>
      <c r="F15" s="22" t="s">
        <v>239</v>
      </c>
      <c r="G15" s="37">
        <v>42.760901842986726</v>
      </c>
      <c r="H15" s="33">
        <v>10.825254037957592</v>
      </c>
    </row>
    <row r="16" spans="1:10" x14ac:dyDescent="0.2">
      <c r="A16" s="34"/>
      <c r="B16" s="25" t="s">
        <v>240</v>
      </c>
      <c r="C16" s="82">
        <v>1451.3305812952792</v>
      </c>
      <c r="D16" s="82">
        <v>1550.2525616949954</v>
      </c>
      <c r="E16" s="82">
        <v>1821.7843235769665</v>
      </c>
      <c r="F16" s="27"/>
      <c r="G16" s="28">
        <v>25.525111029567498</v>
      </c>
      <c r="H16" s="29">
        <v>17.515324185956331</v>
      </c>
    </row>
    <row r="17" spans="1:8" x14ac:dyDescent="0.2">
      <c r="A17" s="30" t="s">
        <v>7</v>
      </c>
      <c r="B17" s="31" t="s">
        <v>3</v>
      </c>
      <c r="C17" s="80">
        <v>1881.4521582849889</v>
      </c>
      <c r="D17" s="80">
        <v>1876.3099251303952</v>
      </c>
      <c r="E17" s="80">
        <v>2195.0757024659429</v>
      </c>
      <c r="F17" s="22" t="s">
        <v>239</v>
      </c>
      <c r="G17" s="23">
        <v>16.669227692020243</v>
      </c>
      <c r="H17" s="24">
        <v>16.988972507481392</v>
      </c>
    </row>
    <row r="18" spans="1:8" x14ac:dyDescent="0.2">
      <c r="A18" s="30"/>
      <c r="B18" s="25" t="s">
        <v>240</v>
      </c>
      <c r="C18" s="82">
        <v>519.04290962957134</v>
      </c>
      <c r="D18" s="82">
        <v>444.42031264470154</v>
      </c>
      <c r="E18" s="82">
        <v>545.64501203044745</v>
      </c>
      <c r="F18" s="27"/>
      <c r="G18" s="38">
        <v>5.1252221940304139</v>
      </c>
      <c r="H18" s="24">
        <v>22.77679406311735</v>
      </c>
    </row>
    <row r="19" spans="1:8" x14ac:dyDescent="0.2">
      <c r="A19" s="39" t="s">
        <v>8</v>
      </c>
      <c r="B19" s="31" t="s">
        <v>3</v>
      </c>
      <c r="C19" s="80">
        <v>1779.0988161448022</v>
      </c>
      <c r="D19" s="80">
        <v>1723.7394637740249</v>
      </c>
      <c r="E19" s="80">
        <v>1581.5034426975233</v>
      </c>
      <c r="F19" s="22" t="s">
        <v>239</v>
      </c>
      <c r="G19" s="37">
        <v>-11.106486702939634</v>
      </c>
      <c r="H19" s="33">
        <v>-8.2515962571909967</v>
      </c>
    </row>
    <row r="20" spans="1:8" x14ac:dyDescent="0.2">
      <c r="A20" s="34"/>
      <c r="B20" s="25" t="s">
        <v>240</v>
      </c>
      <c r="C20" s="82">
        <v>490.68678205264592</v>
      </c>
      <c r="D20" s="82">
        <v>451.13826828194635</v>
      </c>
      <c r="E20" s="82">
        <v>421.08048263052808</v>
      </c>
      <c r="F20" s="27"/>
      <c r="G20" s="28">
        <v>-14.185484909730008</v>
      </c>
      <c r="H20" s="29">
        <v>-6.6626548365950526</v>
      </c>
    </row>
    <row r="21" spans="1:8" x14ac:dyDescent="0.2">
      <c r="A21" s="39" t="s">
        <v>9</v>
      </c>
      <c r="B21" s="31" t="s">
        <v>3</v>
      </c>
      <c r="C21" s="80">
        <v>531.9762485737474</v>
      </c>
      <c r="D21" s="80">
        <v>573.57984776658577</v>
      </c>
      <c r="E21" s="80">
        <v>636.16597194348026</v>
      </c>
      <c r="F21" s="22" t="s">
        <v>239</v>
      </c>
      <c r="G21" s="37">
        <v>19.585408869112158</v>
      </c>
      <c r="H21" s="33">
        <v>10.911492867225618</v>
      </c>
    </row>
    <row r="22" spans="1:8" x14ac:dyDescent="0.2">
      <c r="A22" s="34"/>
      <c r="B22" s="25" t="s">
        <v>240</v>
      </c>
      <c r="C22" s="82">
        <v>143.17242980189499</v>
      </c>
      <c r="D22" s="82">
        <v>138.62619982034983</v>
      </c>
      <c r="E22" s="82">
        <v>159.16306029357833</v>
      </c>
      <c r="F22" s="27"/>
      <c r="G22" s="28">
        <v>11.16879172464229</v>
      </c>
      <c r="H22" s="29">
        <v>14.814559224621959</v>
      </c>
    </row>
    <row r="23" spans="1:8" x14ac:dyDescent="0.2">
      <c r="A23" s="39" t="s">
        <v>192</v>
      </c>
      <c r="B23" s="31" t="s">
        <v>3</v>
      </c>
      <c r="C23" s="80">
        <v>991.88485422989686</v>
      </c>
      <c r="D23" s="80">
        <v>1042.4939548825182</v>
      </c>
      <c r="E23" s="80">
        <v>1158.0711762219412</v>
      </c>
      <c r="F23" s="22" t="s">
        <v>239</v>
      </c>
      <c r="G23" s="23">
        <v>16.754598205965337</v>
      </c>
      <c r="H23" s="24">
        <v>11.086608300999472</v>
      </c>
    </row>
    <row r="24" spans="1:8" x14ac:dyDescent="0.2">
      <c r="A24" s="34"/>
      <c r="B24" s="25" t="s">
        <v>240</v>
      </c>
      <c r="C24" s="82">
        <v>275.1403410889028</v>
      </c>
      <c r="D24" s="82">
        <v>244.31042890380007</v>
      </c>
      <c r="E24" s="82">
        <v>277.17927821508107</v>
      </c>
      <c r="F24" s="27"/>
      <c r="G24" s="38">
        <v>0.74105349950099253</v>
      </c>
      <c r="H24" s="24">
        <v>13.453723387397204</v>
      </c>
    </row>
    <row r="25" spans="1:8" x14ac:dyDescent="0.2">
      <c r="A25" s="39" t="s">
        <v>193</v>
      </c>
      <c r="B25" s="31" t="s">
        <v>3</v>
      </c>
      <c r="C25" s="80">
        <v>415.12542028118128</v>
      </c>
      <c r="D25" s="80">
        <v>442.39533603703234</v>
      </c>
      <c r="E25" s="80">
        <v>378.22805826888606</v>
      </c>
      <c r="F25" s="22" t="s">
        <v>239</v>
      </c>
      <c r="G25" s="37">
        <v>-8.8882444219636483</v>
      </c>
      <c r="H25" s="33">
        <v>-14.504510455050308</v>
      </c>
    </row>
    <row r="26" spans="1:8" x14ac:dyDescent="0.2">
      <c r="A26" s="34"/>
      <c r="B26" s="25" t="s">
        <v>240</v>
      </c>
      <c r="C26" s="82">
        <v>123.49532502480056</v>
      </c>
      <c r="D26" s="82">
        <v>172.87738500174584</v>
      </c>
      <c r="E26" s="82">
        <v>124.44408206001879</v>
      </c>
      <c r="F26" s="27"/>
      <c r="G26" s="38">
        <v>0.76825340151758326</v>
      </c>
      <c r="H26" s="24">
        <v>-28.015985399847381</v>
      </c>
    </row>
    <row r="27" spans="1:8" x14ac:dyDescent="0.2">
      <c r="A27" s="39" t="s">
        <v>194</v>
      </c>
      <c r="B27" s="31" t="s">
        <v>3</v>
      </c>
      <c r="C27" s="80">
        <v>982.35582708179095</v>
      </c>
      <c r="D27" s="80">
        <v>1097.9182333987906</v>
      </c>
      <c r="E27" s="80">
        <v>1694.6341435968748</v>
      </c>
      <c r="F27" s="22" t="s">
        <v>239</v>
      </c>
      <c r="G27" s="37">
        <v>72.507160529702816</v>
      </c>
      <c r="H27" s="33">
        <v>54.349758665620271</v>
      </c>
    </row>
    <row r="28" spans="1:8" x14ac:dyDescent="0.2">
      <c r="A28" s="34"/>
      <c r="B28" s="25" t="s">
        <v>240</v>
      </c>
      <c r="C28" s="82">
        <v>265.20879792323075</v>
      </c>
      <c r="D28" s="82">
        <v>235.30161855054612</v>
      </c>
      <c r="E28" s="82">
        <v>381.33060114785951</v>
      </c>
      <c r="F28" s="27"/>
      <c r="G28" s="38">
        <v>43.785049415382588</v>
      </c>
      <c r="H28" s="24">
        <v>62.060339192245863</v>
      </c>
    </row>
    <row r="29" spans="1:8" x14ac:dyDescent="0.2">
      <c r="A29" s="30" t="s">
        <v>10</v>
      </c>
      <c r="B29" s="31" t="s">
        <v>3</v>
      </c>
      <c r="C29" s="80">
        <v>2078.8919979673683</v>
      </c>
      <c r="D29" s="80">
        <v>2198.8611608924539</v>
      </c>
      <c r="E29" s="80">
        <v>2485.2605528417862</v>
      </c>
      <c r="F29" s="22" t="s">
        <v>239</v>
      </c>
      <c r="G29" s="37">
        <v>19.547362502320652</v>
      </c>
      <c r="H29" s="33">
        <v>13.024896571145533</v>
      </c>
    </row>
    <row r="30" spans="1:8" x14ac:dyDescent="0.2">
      <c r="A30" s="30"/>
      <c r="B30" s="25" t="s">
        <v>240</v>
      </c>
      <c r="C30" s="82">
        <v>582.64189188147327</v>
      </c>
      <c r="D30" s="82">
        <v>567.076050579347</v>
      </c>
      <c r="E30" s="82">
        <v>658.45600735484823</v>
      </c>
      <c r="F30" s="27"/>
      <c r="G30" s="28">
        <v>13.012129153390475</v>
      </c>
      <c r="H30" s="29">
        <v>16.114233123078264</v>
      </c>
    </row>
    <row r="31" spans="1:8" x14ac:dyDescent="0.2">
      <c r="A31" s="39" t="s">
        <v>11</v>
      </c>
      <c r="B31" s="31" t="s">
        <v>3</v>
      </c>
      <c r="C31" s="80">
        <v>468.76565664708272</v>
      </c>
      <c r="D31" s="80">
        <v>540.69659437321695</v>
      </c>
      <c r="E31" s="80">
        <v>736.8987470408108</v>
      </c>
      <c r="F31" s="22" t="s">
        <v>239</v>
      </c>
      <c r="G31" s="23">
        <v>57.199815428372148</v>
      </c>
      <c r="H31" s="24">
        <v>36.286922223920072</v>
      </c>
    </row>
    <row r="32" spans="1:8" x14ac:dyDescent="0.2">
      <c r="A32" s="34"/>
      <c r="B32" s="25" t="s">
        <v>240</v>
      </c>
      <c r="C32" s="82">
        <v>55.113869167467833</v>
      </c>
      <c r="D32" s="82">
        <v>52.283765475558774</v>
      </c>
      <c r="E32" s="82">
        <v>75.738455798829563</v>
      </c>
      <c r="F32" s="27"/>
      <c r="G32" s="38">
        <v>37.421772310509169</v>
      </c>
      <c r="H32" s="24">
        <v>44.860369389873455</v>
      </c>
    </row>
    <row r="33" spans="1:8" x14ac:dyDescent="0.2">
      <c r="A33" s="30" t="s">
        <v>12</v>
      </c>
      <c r="B33" s="31" t="s">
        <v>3</v>
      </c>
      <c r="C33" s="80">
        <v>963.64843128868392</v>
      </c>
      <c r="D33" s="80">
        <v>1093.9684121220591</v>
      </c>
      <c r="E33" s="80">
        <v>1287.2917625867526</v>
      </c>
      <c r="F33" s="22" t="s">
        <v>239</v>
      </c>
      <c r="G33" s="37">
        <v>33.585208130859655</v>
      </c>
      <c r="H33" s="33">
        <v>17.67174886610195</v>
      </c>
    </row>
    <row r="34" spans="1:8" x14ac:dyDescent="0.2">
      <c r="A34" s="30"/>
      <c r="B34" s="25" t="s">
        <v>240</v>
      </c>
      <c r="C34" s="82">
        <v>234.47679721429449</v>
      </c>
      <c r="D34" s="82">
        <v>233.93808828589471</v>
      </c>
      <c r="E34" s="82">
        <v>286.86351714177783</v>
      </c>
      <c r="F34" s="27"/>
      <c r="G34" s="28">
        <v>22.341963277332624</v>
      </c>
      <c r="H34" s="29">
        <v>22.623690414706317</v>
      </c>
    </row>
    <row r="35" spans="1:8" x14ac:dyDescent="0.2">
      <c r="A35" s="39" t="s">
        <v>13</v>
      </c>
      <c r="B35" s="31" t="s">
        <v>3</v>
      </c>
      <c r="C35" s="80">
        <v>211.04554373478513</v>
      </c>
      <c r="D35" s="80">
        <v>178.36200313241494</v>
      </c>
      <c r="E35" s="80">
        <v>242.85439586124915</v>
      </c>
      <c r="F35" s="22" t="s">
        <v>239</v>
      </c>
      <c r="G35" s="23">
        <v>15.072032113806344</v>
      </c>
      <c r="H35" s="24">
        <v>36.158145566999167</v>
      </c>
    </row>
    <row r="36" spans="1:8" x14ac:dyDescent="0.2">
      <c r="A36" s="34"/>
      <c r="B36" s="25" t="s">
        <v>240</v>
      </c>
      <c r="C36" s="82">
        <v>21.170413620993465</v>
      </c>
      <c r="D36" s="82">
        <v>51.82698859029982</v>
      </c>
      <c r="E36" s="82">
        <v>43.233376973261215</v>
      </c>
      <c r="F36" s="27"/>
      <c r="G36" s="28">
        <v>104.21602405722106</v>
      </c>
      <c r="H36" s="29">
        <v>-16.581344683119454</v>
      </c>
    </row>
    <row r="37" spans="1:8" x14ac:dyDescent="0.2">
      <c r="A37" s="30" t="s">
        <v>14</v>
      </c>
      <c r="B37" s="31" t="s">
        <v>3</v>
      </c>
      <c r="C37" s="85">
        <v>973.92633625162387</v>
      </c>
      <c r="D37" s="85">
        <v>836.59018884125203</v>
      </c>
      <c r="E37" s="83">
        <v>1099.0260416635083</v>
      </c>
      <c r="F37" s="22" t="s">
        <v>239</v>
      </c>
      <c r="G37" s="23">
        <v>12.84488372019581</v>
      </c>
      <c r="H37" s="24">
        <v>31.369702432890364</v>
      </c>
    </row>
    <row r="38" spans="1:8" ht="13.5" thickBot="1" x14ac:dyDescent="0.25">
      <c r="A38" s="41"/>
      <c r="B38" s="42" t="s">
        <v>240</v>
      </c>
      <c r="C38" s="86">
        <v>172.92883466155078</v>
      </c>
      <c r="D38" s="86">
        <v>188.08266129477732</v>
      </c>
      <c r="E38" s="86">
        <v>226.94750452690812</v>
      </c>
      <c r="F38" s="44"/>
      <c r="G38" s="45">
        <v>31.237514536589856</v>
      </c>
      <c r="H38" s="46">
        <v>20.663703376261182</v>
      </c>
    </row>
    <row r="39" spans="1:8" x14ac:dyDescent="0.2">
      <c r="A39" s="47"/>
      <c r="B39" s="48"/>
      <c r="C39" s="49"/>
      <c r="D39" s="49"/>
      <c r="E39" s="49"/>
      <c r="F39" s="49"/>
      <c r="G39" s="50"/>
      <c r="H39" s="51"/>
    </row>
    <row r="40" spans="1:8" x14ac:dyDescent="0.2">
      <c r="A40" s="47"/>
      <c r="B40" s="48"/>
      <c r="C40" s="49"/>
      <c r="D40" s="49"/>
      <c r="E40" s="49"/>
      <c r="F40" s="49"/>
      <c r="G40" s="50"/>
      <c r="H40" s="51"/>
    </row>
    <row r="41" spans="1:8" x14ac:dyDescent="0.2">
      <c r="A41" s="47"/>
      <c r="B41" s="48"/>
      <c r="C41" s="49"/>
      <c r="D41" s="49"/>
      <c r="E41" s="49"/>
      <c r="F41" s="49"/>
      <c r="G41" s="50"/>
      <c r="H41" s="51"/>
    </row>
    <row r="42" spans="1:8" x14ac:dyDescent="0.2">
      <c r="A42" s="47"/>
      <c r="B42" s="48"/>
      <c r="C42" s="49"/>
      <c r="D42" s="49"/>
      <c r="E42" s="49"/>
      <c r="F42" s="49"/>
      <c r="G42" s="50"/>
      <c r="H42" s="51"/>
    </row>
    <row r="43" spans="1:8" x14ac:dyDescent="0.2">
      <c r="A43" s="47"/>
      <c r="B43" s="48"/>
      <c r="C43" s="49"/>
      <c r="D43" s="49"/>
      <c r="E43" s="49"/>
      <c r="F43" s="49"/>
      <c r="G43" s="50"/>
      <c r="H43" s="51"/>
    </row>
    <row r="44" spans="1:8" x14ac:dyDescent="0.2">
      <c r="A44" s="47"/>
      <c r="B44" s="48"/>
      <c r="C44" s="49"/>
      <c r="D44" s="49"/>
      <c r="E44" s="49"/>
      <c r="F44" s="49"/>
      <c r="G44" s="50"/>
      <c r="H44" s="51"/>
    </row>
    <row r="45" spans="1:8" x14ac:dyDescent="0.2">
      <c r="A45" s="47"/>
      <c r="B45" s="48"/>
      <c r="C45" s="49"/>
      <c r="D45" s="49"/>
      <c r="E45" s="49"/>
      <c r="F45" s="49"/>
      <c r="G45" s="50"/>
      <c r="H45" s="51"/>
    </row>
    <row r="46" spans="1:8" x14ac:dyDescent="0.2">
      <c r="A46" s="47"/>
      <c r="B46" s="48"/>
      <c r="C46" s="49"/>
      <c r="D46" s="49"/>
      <c r="E46" s="49"/>
      <c r="F46" s="49"/>
      <c r="G46" s="50"/>
      <c r="H46" s="51"/>
    </row>
    <row r="47" spans="1:8" x14ac:dyDescent="0.2">
      <c r="A47" s="47"/>
      <c r="B47" s="48"/>
      <c r="C47" s="49"/>
      <c r="D47" s="49"/>
      <c r="E47" s="49"/>
      <c r="F47" s="49"/>
      <c r="G47" s="50"/>
      <c r="H47" s="51"/>
    </row>
    <row r="48" spans="1:8" x14ac:dyDescent="0.2">
      <c r="A48" s="47"/>
      <c r="B48" s="48"/>
      <c r="C48" s="49"/>
      <c r="D48" s="49"/>
      <c r="E48" s="49"/>
      <c r="F48" s="49"/>
      <c r="G48" s="50"/>
      <c r="H48" s="51"/>
    </row>
    <row r="49" spans="1:8" x14ac:dyDescent="0.2">
      <c r="A49" s="47"/>
      <c r="B49" s="48"/>
      <c r="C49" s="49"/>
      <c r="D49" s="49"/>
      <c r="E49" s="98"/>
      <c r="F49" s="49"/>
      <c r="G49" s="50"/>
      <c r="H49" s="51"/>
    </row>
    <row r="50" spans="1:8" x14ac:dyDescent="0.2">
      <c r="A50" s="47"/>
      <c r="B50" s="48"/>
      <c r="C50" s="49"/>
      <c r="D50" s="49"/>
      <c r="E50" s="49"/>
      <c r="F50" s="49"/>
      <c r="G50" s="50"/>
      <c r="H50" s="51"/>
    </row>
    <row r="51" spans="1:8" x14ac:dyDescent="0.2">
      <c r="A51" s="47"/>
      <c r="B51" s="48"/>
      <c r="C51" s="49"/>
      <c r="D51" s="49"/>
      <c r="E51" s="49"/>
      <c r="F51" s="49"/>
      <c r="G51" s="50"/>
      <c r="H51" s="51"/>
    </row>
    <row r="52" spans="1:8" x14ac:dyDescent="0.2">
      <c r="A52" s="47"/>
      <c r="B52" s="48"/>
      <c r="C52" s="49"/>
      <c r="D52" s="49"/>
      <c r="E52" s="49"/>
      <c r="F52" s="49"/>
      <c r="G52" s="50"/>
      <c r="H52" s="51"/>
    </row>
    <row r="53" spans="1:8" x14ac:dyDescent="0.2">
      <c r="A53" s="47"/>
      <c r="B53" s="48"/>
      <c r="C53" s="49"/>
      <c r="D53" s="49"/>
      <c r="E53" s="49"/>
      <c r="F53" s="49"/>
      <c r="G53" s="50"/>
      <c r="H53" s="51"/>
    </row>
    <row r="54" spans="1:8" x14ac:dyDescent="0.2">
      <c r="A54" s="47"/>
      <c r="B54" s="48"/>
      <c r="C54" s="49"/>
      <c r="D54" s="49"/>
      <c r="E54" s="49"/>
      <c r="F54" s="49"/>
      <c r="G54" s="50"/>
      <c r="H54" s="51"/>
    </row>
    <row r="55" spans="1:8" x14ac:dyDescent="0.2">
      <c r="A55" s="47"/>
      <c r="B55" s="48"/>
      <c r="C55" s="49"/>
      <c r="D55" s="49"/>
      <c r="E55" s="49"/>
      <c r="F55" s="49"/>
      <c r="G55" s="50"/>
      <c r="H55" s="51"/>
    </row>
    <row r="56" spans="1:8" x14ac:dyDescent="0.2">
      <c r="A56" s="47"/>
      <c r="B56" s="48"/>
      <c r="C56" s="49"/>
      <c r="D56" s="49"/>
      <c r="E56" s="49"/>
      <c r="F56" s="49"/>
      <c r="G56" s="50"/>
      <c r="H56" s="51"/>
    </row>
    <row r="57" spans="1:8" x14ac:dyDescent="0.2">
      <c r="A57" s="47"/>
      <c r="B57" s="48"/>
      <c r="C57" s="49"/>
      <c r="D57" s="49"/>
      <c r="E57" s="49"/>
      <c r="F57" s="49"/>
      <c r="G57" s="50"/>
      <c r="H57" s="51"/>
    </row>
    <row r="58" spans="1:8" x14ac:dyDescent="0.2">
      <c r="A58" s="47"/>
      <c r="B58" s="48"/>
      <c r="C58" s="49"/>
      <c r="D58" s="49"/>
      <c r="E58" s="49"/>
      <c r="F58" s="49"/>
      <c r="G58" s="50"/>
      <c r="H58" s="51"/>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tr">
        <f>+Innhold!$B$123</f>
        <v>Finans Norge / Skadestatistikk</v>
      </c>
      <c r="H61" s="207">
        <v>10</v>
      </c>
    </row>
    <row r="62" spans="1:8" ht="12.75" customHeight="1" x14ac:dyDescent="0.2">
      <c r="A62" s="54" t="str">
        <f>+Innhold!$B$124</f>
        <v>Skadestatistikk for landbasert forsikring 1. kvartal 2019</v>
      </c>
      <c r="H62" s="208"/>
    </row>
    <row r="67" ht="12.75" customHeight="1" x14ac:dyDescent="0.2"/>
    <row r="68" ht="12.75" customHeight="1" x14ac:dyDescent="0.2"/>
  </sheetData>
  <mergeCells count="4">
    <mergeCell ref="G5:H5"/>
    <mergeCell ref="A7:A8"/>
    <mergeCell ref="C5:F5"/>
    <mergeCell ref="H61:H62"/>
  </mergeCells>
  <phoneticPr fontId="0" type="noConversion"/>
  <hyperlinks>
    <hyperlink ref="A2" location="Innhold!A24" display="Tilbake til innholdsfortegnelsen" xr:uid="{00000000-0004-0000-05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145</v>
      </c>
      <c r="B4" s="5"/>
      <c r="C4" s="5"/>
      <c r="D4" s="5"/>
      <c r="E4" s="5"/>
      <c r="F4" s="5"/>
      <c r="G4" s="5"/>
      <c r="H4" s="6"/>
    </row>
    <row r="5" spans="1:8" x14ac:dyDescent="0.2">
      <c r="A5" s="7"/>
      <c r="B5" s="8"/>
      <c r="C5" s="9"/>
      <c r="D5" s="8"/>
      <c r="E5" s="10"/>
      <c r="F5" s="11"/>
      <c r="G5" s="212" t="s">
        <v>1</v>
      </c>
      <c r="H5" s="213"/>
    </row>
    <row r="6" spans="1:8" x14ac:dyDescent="0.2">
      <c r="A6" s="12"/>
      <c r="B6" s="13"/>
      <c r="C6" s="14" t="s">
        <v>234</v>
      </c>
      <c r="D6" s="15" t="s">
        <v>235</v>
      </c>
      <c r="E6" s="15" t="s">
        <v>236</v>
      </c>
      <c r="F6" s="16"/>
      <c r="G6" s="17" t="s">
        <v>237</v>
      </c>
      <c r="H6" s="18" t="s">
        <v>238</v>
      </c>
    </row>
    <row r="7" spans="1:8" x14ac:dyDescent="0.2">
      <c r="A7" s="214" t="s">
        <v>26</v>
      </c>
      <c r="B7" s="19" t="s">
        <v>3</v>
      </c>
      <c r="C7" s="20">
        <v>848267.68337105052</v>
      </c>
      <c r="D7" s="20">
        <v>908662.80747384159</v>
      </c>
      <c r="E7" s="21">
        <v>908570.98477649328</v>
      </c>
      <c r="F7" s="22" t="s">
        <v>239</v>
      </c>
      <c r="G7" s="23">
        <v>7.1089943171941883</v>
      </c>
      <c r="H7" s="24">
        <v>-1.010525539210505E-2</v>
      </c>
    </row>
    <row r="8" spans="1:8" x14ac:dyDescent="0.2">
      <c r="A8" s="215"/>
      <c r="B8" s="25" t="s">
        <v>240</v>
      </c>
      <c r="C8" s="26">
        <v>227029.14608932735</v>
      </c>
      <c r="D8" s="26">
        <v>241527.5553811659</v>
      </c>
      <c r="E8" s="26">
        <v>242055.76995515695</v>
      </c>
      <c r="F8" s="27"/>
      <c r="G8" s="28">
        <v>6.6188082564153206</v>
      </c>
      <c r="H8" s="29">
        <v>0.21869743729962465</v>
      </c>
    </row>
    <row r="9" spans="1:8" x14ac:dyDescent="0.2">
      <c r="A9" s="30" t="s">
        <v>28</v>
      </c>
      <c r="B9" s="31" t="s">
        <v>3</v>
      </c>
      <c r="C9" s="20">
        <v>779419.45431275456</v>
      </c>
      <c r="D9" s="20">
        <v>832195.44597907318</v>
      </c>
      <c r="E9" s="21">
        <v>832696.13245375385</v>
      </c>
      <c r="F9" s="22" t="s">
        <v>239</v>
      </c>
      <c r="G9" s="32">
        <v>6.8354308897736473</v>
      </c>
      <c r="H9" s="33">
        <v>6.016452951045892E-2</v>
      </c>
    </row>
    <row r="10" spans="1:8" x14ac:dyDescent="0.2">
      <c r="A10" s="34"/>
      <c r="B10" s="25" t="s">
        <v>240</v>
      </c>
      <c r="C10" s="26">
        <v>210737.71687146189</v>
      </c>
      <c r="D10" s="26">
        <v>222678.27430493271</v>
      </c>
      <c r="E10" s="26">
        <v>223583.63596412557</v>
      </c>
      <c r="F10" s="27"/>
      <c r="G10" s="35">
        <v>6.0956905500209899</v>
      </c>
      <c r="H10" s="29">
        <v>0.40657835256665464</v>
      </c>
    </row>
    <row r="11" spans="1:8" x14ac:dyDescent="0.2">
      <c r="A11" s="30" t="s">
        <v>29</v>
      </c>
      <c r="B11" s="31" t="s">
        <v>3</v>
      </c>
      <c r="C11" s="20">
        <v>34984.614529147984</v>
      </c>
      <c r="D11" s="20">
        <v>35271.180747384155</v>
      </c>
      <c r="E11" s="21">
        <v>34635.897745030568</v>
      </c>
      <c r="F11" s="22" t="s">
        <v>239</v>
      </c>
      <c r="G11" s="37">
        <v>-0.99677183473573905</v>
      </c>
      <c r="H11" s="33">
        <v>-1.8011390287825861</v>
      </c>
    </row>
    <row r="12" spans="1:8" x14ac:dyDescent="0.2">
      <c r="A12" s="34"/>
      <c r="B12" s="25" t="s">
        <v>240</v>
      </c>
      <c r="C12" s="26">
        <v>9604.7146089327362</v>
      </c>
      <c r="D12" s="26">
        <v>10648.640538116593</v>
      </c>
      <c r="E12" s="26">
        <v>10120.566995515695</v>
      </c>
      <c r="F12" s="27"/>
      <c r="G12" s="28">
        <v>5.3708247208428048</v>
      </c>
      <c r="H12" s="29">
        <v>-4.9590700400738399</v>
      </c>
    </row>
    <row r="13" spans="1:8" x14ac:dyDescent="0.2">
      <c r="A13" s="30" t="s">
        <v>27</v>
      </c>
      <c r="B13" s="31" t="s">
        <v>3</v>
      </c>
      <c r="C13" s="20">
        <v>9150.1843587443946</v>
      </c>
      <c r="D13" s="20">
        <v>9937.7542242152467</v>
      </c>
      <c r="E13" s="21">
        <v>12673.050756492417</v>
      </c>
      <c r="F13" s="22" t="s">
        <v>239</v>
      </c>
      <c r="G13" s="23">
        <v>38.500496379413249</v>
      </c>
      <c r="H13" s="24">
        <v>27.524292416209036</v>
      </c>
    </row>
    <row r="14" spans="1:8" x14ac:dyDescent="0.2">
      <c r="A14" s="34"/>
      <c r="B14" s="25" t="s">
        <v>240</v>
      </c>
      <c r="C14" s="26">
        <v>1035.2143826798206</v>
      </c>
      <c r="D14" s="26">
        <v>780.09216143497758</v>
      </c>
      <c r="E14" s="26">
        <v>1107.8700986547085</v>
      </c>
      <c r="F14" s="27"/>
      <c r="G14" s="38">
        <v>7.0184221925903643</v>
      </c>
      <c r="H14" s="24">
        <v>42.017847816440565</v>
      </c>
    </row>
    <row r="15" spans="1:8" x14ac:dyDescent="0.2">
      <c r="A15" s="30" t="s">
        <v>30</v>
      </c>
      <c r="B15" s="31" t="s">
        <v>3</v>
      </c>
      <c r="C15" s="20">
        <v>11925.245811659193</v>
      </c>
      <c r="D15" s="20">
        <v>14555.672298953663</v>
      </c>
      <c r="E15" s="21">
        <v>15142.206825720421</v>
      </c>
      <c r="F15" s="22" t="s">
        <v>239</v>
      </c>
      <c r="G15" s="37">
        <v>26.976056216099437</v>
      </c>
      <c r="H15" s="33">
        <v>4.0295942002549907</v>
      </c>
    </row>
    <row r="16" spans="1:8" x14ac:dyDescent="0.2">
      <c r="A16" s="34"/>
      <c r="B16" s="25" t="s">
        <v>240</v>
      </c>
      <c r="C16" s="26">
        <v>3126.2858435730941</v>
      </c>
      <c r="D16" s="26">
        <v>4489.4562152466369</v>
      </c>
      <c r="E16" s="26">
        <v>4410.826798206278</v>
      </c>
      <c r="F16" s="27"/>
      <c r="G16" s="28">
        <v>41.08840390503309</v>
      </c>
      <c r="H16" s="29">
        <v>-1.7514240761124995</v>
      </c>
    </row>
    <row r="17" spans="1:9" x14ac:dyDescent="0.2">
      <c r="A17" s="30" t="s">
        <v>31</v>
      </c>
      <c r="B17" s="31" t="s">
        <v>3</v>
      </c>
      <c r="C17" s="20">
        <v>12788.184358744395</v>
      </c>
      <c r="D17" s="20">
        <v>16702.754224215249</v>
      </c>
      <c r="E17" s="21">
        <v>15544.096751659012</v>
      </c>
      <c r="F17" s="22" t="s">
        <v>239</v>
      </c>
      <c r="G17" s="37">
        <v>21.550458732870553</v>
      </c>
      <c r="H17" s="33">
        <v>-6.9369246353181921</v>
      </c>
    </row>
    <row r="18" spans="1:9" ht="13.5" thickBot="1" x14ac:dyDescent="0.25">
      <c r="A18" s="56"/>
      <c r="B18" s="42" t="s">
        <v>240</v>
      </c>
      <c r="C18" s="43">
        <v>2525.2143826798206</v>
      </c>
      <c r="D18" s="43">
        <v>2931.0921614349777</v>
      </c>
      <c r="E18" s="43">
        <v>2832.8700986547087</v>
      </c>
      <c r="F18" s="44"/>
      <c r="G18" s="57">
        <v>12.183350375519254</v>
      </c>
      <c r="H18" s="46">
        <v>-3.3510397275322248</v>
      </c>
    </row>
    <row r="19" spans="1:9" x14ac:dyDescent="0.2">
      <c r="A19" s="58"/>
      <c r="B19" s="58"/>
      <c r="C19" s="21"/>
      <c r="D19" s="21"/>
      <c r="E19" s="21"/>
      <c r="F19" s="59"/>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32</v>
      </c>
      <c r="B32" s="5"/>
      <c r="C32" s="5"/>
      <c r="D32" s="5"/>
      <c r="E32" s="5"/>
      <c r="F32" s="5"/>
      <c r="G32" s="5"/>
      <c r="H32" s="6"/>
    </row>
    <row r="33" spans="1:9" x14ac:dyDescent="0.2">
      <c r="A33" s="7"/>
      <c r="B33" s="8"/>
      <c r="C33" s="216" t="s">
        <v>16</v>
      </c>
      <c r="D33" s="212"/>
      <c r="E33" s="212"/>
      <c r="F33" s="217"/>
      <c r="G33" s="212" t="s">
        <v>1</v>
      </c>
      <c r="H33" s="213"/>
    </row>
    <row r="34" spans="1:9" x14ac:dyDescent="0.2">
      <c r="A34" s="12"/>
      <c r="B34" s="13"/>
      <c r="C34" s="14" t="s">
        <v>234</v>
      </c>
      <c r="D34" s="15" t="s">
        <v>235</v>
      </c>
      <c r="E34" s="15" t="s">
        <v>236</v>
      </c>
      <c r="F34" s="16"/>
      <c r="G34" s="17" t="s">
        <v>237</v>
      </c>
      <c r="H34" s="18" t="s">
        <v>238</v>
      </c>
    </row>
    <row r="35" spans="1:9" ht="12.75" customHeight="1" x14ac:dyDescent="0.2">
      <c r="A35" s="214" t="s">
        <v>26</v>
      </c>
      <c r="B35" s="19" t="s">
        <v>3</v>
      </c>
      <c r="C35" s="80">
        <v>13878.920128694615</v>
      </c>
      <c r="D35" s="80">
        <v>15161.339619238019</v>
      </c>
      <c r="E35" s="83">
        <v>15685.567959583183</v>
      </c>
      <c r="F35" s="22" t="s">
        <v>239</v>
      </c>
      <c r="G35" s="23">
        <v>13.017207492629979</v>
      </c>
      <c r="H35" s="24">
        <v>3.4576650448485253</v>
      </c>
    </row>
    <row r="36" spans="1:9" ht="12.75" customHeight="1" x14ac:dyDescent="0.2">
      <c r="A36" s="215"/>
      <c r="B36" s="25" t="s">
        <v>240</v>
      </c>
      <c r="C36" s="82">
        <v>4160.8412318169703</v>
      </c>
      <c r="D36" s="82">
        <v>4090.3641573987352</v>
      </c>
      <c r="E36" s="82">
        <v>4377.8555500981765</v>
      </c>
      <c r="F36" s="27"/>
      <c r="G36" s="28">
        <v>5.2156356417002598</v>
      </c>
      <c r="H36" s="29">
        <v>7.0285036157335981</v>
      </c>
    </row>
    <row r="37" spans="1:9" x14ac:dyDescent="0.2">
      <c r="A37" s="30" t="s">
        <v>28</v>
      </c>
      <c r="B37" s="31" t="s">
        <v>3</v>
      </c>
      <c r="C37" s="80">
        <v>11593.812590679701</v>
      </c>
      <c r="D37" s="80">
        <v>12618.12287726971</v>
      </c>
      <c r="E37" s="83">
        <v>12989.467105287147</v>
      </c>
      <c r="F37" s="22" t="s">
        <v>239</v>
      </c>
      <c r="G37" s="32">
        <v>12.03792543385957</v>
      </c>
      <c r="H37" s="33">
        <v>2.9429435077572066</v>
      </c>
    </row>
    <row r="38" spans="1:9" x14ac:dyDescent="0.2">
      <c r="A38" s="34"/>
      <c r="B38" s="25" t="s">
        <v>240</v>
      </c>
      <c r="C38" s="82">
        <v>3556.2064580089645</v>
      </c>
      <c r="D38" s="82">
        <v>3477.2857165484875</v>
      </c>
      <c r="E38" s="82">
        <v>3705.0594750274995</v>
      </c>
      <c r="F38" s="27"/>
      <c r="G38" s="35">
        <v>4.1857248384244343</v>
      </c>
      <c r="H38" s="29">
        <v>6.550331984370203</v>
      </c>
    </row>
    <row r="39" spans="1:9" x14ac:dyDescent="0.2">
      <c r="A39" s="30" t="s">
        <v>29</v>
      </c>
      <c r="B39" s="31" t="s">
        <v>3</v>
      </c>
      <c r="C39" s="80">
        <v>1063.2701054936867</v>
      </c>
      <c r="D39" s="80">
        <v>1048.4222371036769</v>
      </c>
      <c r="E39" s="83">
        <v>1110.3480079016033</v>
      </c>
      <c r="F39" s="22" t="s">
        <v>239</v>
      </c>
      <c r="G39" s="37">
        <v>4.4276522178771955</v>
      </c>
      <c r="H39" s="33">
        <v>5.9065678508498252</v>
      </c>
    </row>
    <row r="40" spans="1:9" x14ac:dyDescent="0.2">
      <c r="A40" s="34"/>
      <c r="B40" s="25" t="s">
        <v>240</v>
      </c>
      <c r="C40" s="82">
        <v>312.0890114051146</v>
      </c>
      <c r="D40" s="82">
        <v>319.34286925104107</v>
      </c>
      <c r="E40" s="82">
        <v>334.00394972935419</v>
      </c>
      <c r="F40" s="27"/>
      <c r="G40" s="28">
        <v>7.0220153620828256</v>
      </c>
      <c r="H40" s="29">
        <v>4.5910154539219832</v>
      </c>
    </row>
    <row r="41" spans="1:9" x14ac:dyDescent="0.2">
      <c r="A41" s="30" t="s">
        <v>27</v>
      </c>
      <c r="B41" s="31" t="s">
        <v>3</v>
      </c>
      <c r="C41" s="80">
        <v>269.44769335165711</v>
      </c>
      <c r="D41" s="80">
        <v>292.60341805499144</v>
      </c>
      <c r="E41" s="83">
        <v>317.70136639265331</v>
      </c>
      <c r="F41" s="22" t="s">
        <v>239</v>
      </c>
      <c r="G41" s="23">
        <v>17.90836374985038</v>
      </c>
      <c r="H41" s="24">
        <v>8.577462459083435</v>
      </c>
    </row>
    <row r="42" spans="1:9" x14ac:dyDescent="0.2">
      <c r="A42" s="34"/>
      <c r="B42" s="25" t="s">
        <v>240</v>
      </c>
      <c r="C42" s="82">
        <v>43.31607699766888</v>
      </c>
      <c r="D42" s="82">
        <v>33.439188584220467</v>
      </c>
      <c r="E42" s="82">
        <v>40.179540453458266</v>
      </c>
      <c r="F42" s="27"/>
      <c r="G42" s="38">
        <v>-7.2410448074035116</v>
      </c>
      <c r="H42" s="24">
        <v>20.157043740046035</v>
      </c>
    </row>
    <row r="43" spans="1:9" x14ac:dyDescent="0.2">
      <c r="A43" s="30" t="s">
        <v>30</v>
      </c>
      <c r="B43" s="31" t="s">
        <v>3</v>
      </c>
      <c r="C43" s="80">
        <v>587.55197540449092</v>
      </c>
      <c r="D43" s="80">
        <v>748.49025650467752</v>
      </c>
      <c r="E43" s="83">
        <v>757.24993705984389</v>
      </c>
      <c r="F43" s="22" t="s">
        <v>239</v>
      </c>
      <c r="G43" s="37">
        <v>28.882204257508818</v>
      </c>
      <c r="H43" s="33">
        <v>1.170313237753092</v>
      </c>
    </row>
    <row r="44" spans="1:9" x14ac:dyDescent="0.2">
      <c r="A44" s="34"/>
      <c r="B44" s="25" t="s">
        <v>240</v>
      </c>
      <c r="C44" s="82">
        <v>170.91559878360215</v>
      </c>
      <c r="D44" s="82">
        <v>184.78349134359726</v>
      </c>
      <c r="E44" s="82">
        <v>196.87680581526624</v>
      </c>
      <c r="F44" s="27"/>
      <c r="G44" s="28">
        <v>15.189489558839981</v>
      </c>
      <c r="H44" s="29">
        <v>6.544585982078857</v>
      </c>
    </row>
    <row r="45" spans="1:9" x14ac:dyDescent="0.2">
      <c r="A45" s="30" t="s">
        <v>31</v>
      </c>
      <c r="B45" s="31" t="s">
        <v>3</v>
      </c>
      <c r="C45" s="80">
        <v>364.83776376508087</v>
      </c>
      <c r="D45" s="80">
        <v>453.70083030496147</v>
      </c>
      <c r="E45" s="83">
        <v>565.48683942139189</v>
      </c>
      <c r="F45" s="22" t="s">
        <v>239</v>
      </c>
      <c r="G45" s="37">
        <v>54.996794626092765</v>
      </c>
      <c r="H45" s="33">
        <v>24.63870499009046</v>
      </c>
    </row>
    <row r="46" spans="1:9" ht="13.5" thickBot="1" x14ac:dyDescent="0.25">
      <c r="A46" s="56"/>
      <c r="B46" s="42" t="s">
        <v>240</v>
      </c>
      <c r="C46" s="86">
        <v>78.314086621620945</v>
      </c>
      <c r="D46" s="86">
        <v>75.512891671388772</v>
      </c>
      <c r="E46" s="86">
        <v>101.7357790725971</v>
      </c>
      <c r="F46" s="44"/>
      <c r="G46" s="57">
        <v>29.907381240541611</v>
      </c>
      <c r="H46" s="46">
        <v>34.726371644358522</v>
      </c>
    </row>
    <row r="47" spans="1:9" x14ac:dyDescent="0.2">
      <c r="A47" s="58"/>
      <c r="B47" s="58"/>
      <c r="C47" s="21"/>
      <c r="D47" s="21"/>
      <c r="E47" s="21"/>
      <c r="F47" s="59"/>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58"/>
      <c r="B58" s="58"/>
      <c r="C58" s="64"/>
      <c r="D58" s="64"/>
      <c r="E58" s="21"/>
      <c r="F58" s="59"/>
      <c r="G58" s="38"/>
      <c r="H58" s="60"/>
      <c r="I58" s="61"/>
    </row>
    <row r="59" spans="1:9" x14ac:dyDescent="0.2">
      <c r="A59" s="65"/>
      <c r="B59" s="62"/>
      <c r="C59" s="21"/>
      <c r="D59" s="21"/>
      <c r="E59" s="21"/>
      <c r="F59" s="63"/>
      <c r="G59" s="38"/>
      <c r="H59" s="60"/>
      <c r="I59" s="61"/>
    </row>
    <row r="60" spans="1:9" x14ac:dyDescent="0.2">
      <c r="A60" s="52"/>
      <c r="B60" s="52"/>
      <c r="C60" s="52"/>
      <c r="D60" s="52"/>
      <c r="E60" s="52"/>
      <c r="F60" s="52"/>
      <c r="G60" s="52"/>
      <c r="H60" s="52"/>
    </row>
    <row r="61" spans="1:9" ht="12.75" customHeight="1" x14ac:dyDescent="0.2">
      <c r="A61" s="54" t="str">
        <f>+Innhold!$B$123</f>
        <v>Finans Norge / Skadestatistikk</v>
      </c>
      <c r="G61" s="53"/>
      <c r="H61" s="211">
        <v>11</v>
      </c>
    </row>
    <row r="62" spans="1:9" ht="12.75" customHeight="1" x14ac:dyDescent="0.2">
      <c r="A62" s="54" t="str">
        <f>+Innhold!$B$124</f>
        <v>Skadestatistikk for landbasert forsikring 1. kvartal 2019</v>
      </c>
      <c r="G62" s="53"/>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26" display="Tilbake til innholdsfortegnelsen" xr:uid="{00000000-0004-0000-06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146</v>
      </c>
      <c r="B4" s="5"/>
      <c r="C4" s="5"/>
      <c r="D4" s="5"/>
      <c r="E4" s="5"/>
      <c r="F4" s="5"/>
      <c r="G4" s="5"/>
      <c r="H4" s="6"/>
    </row>
    <row r="5" spans="1:8" x14ac:dyDescent="0.2">
      <c r="A5" s="7"/>
      <c r="B5" s="8"/>
      <c r="C5" s="9"/>
      <c r="D5" s="8"/>
      <c r="E5" s="10"/>
      <c r="F5" s="11"/>
      <c r="G5" s="212" t="s">
        <v>1</v>
      </c>
      <c r="H5" s="213"/>
    </row>
    <row r="6" spans="1:8" x14ac:dyDescent="0.2">
      <c r="A6" s="12"/>
      <c r="B6" s="13"/>
      <c r="C6" s="14" t="s">
        <v>234</v>
      </c>
      <c r="D6" s="15" t="s">
        <v>235</v>
      </c>
      <c r="E6" s="15" t="s">
        <v>236</v>
      </c>
      <c r="F6" s="16"/>
      <c r="G6" s="17" t="s">
        <v>237</v>
      </c>
      <c r="H6" s="18" t="s">
        <v>238</v>
      </c>
    </row>
    <row r="7" spans="1:8" ht="12.75" customHeight="1" x14ac:dyDescent="0.2">
      <c r="A7" s="214" t="s">
        <v>26</v>
      </c>
      <c r="B7" s="19" t="s">
        <v>3</v>
      </c>
      <c r="C7" s="20">
        <v>848267.68337105052</v>
      </c>
      <c r="D7" s="20">
        <v>908662.80747384159</v>
      </c>
      <c r="E7" s="21">
        <v>908570.98477649328</v>
      </c>
      <c r="F7" s="22" t="s">
        <v>239</v>
      </c>
      <c r="G7" s="23">
        <v>7.1089943171941883</v>
      </c>
      <c r="H7" s="24">
        <v>-1.010525539210505E-2</v>
      </c>
    </row>
    <row r="8" spans="1:8" ht="12.75" customHeight="1" x14ac:dyDescent="0.2">
      <c r="A8" s="215"/>
      <c r="B8" s="25" t="s">
        <v>240</v>
      </c>
      <c r="C8" s="26">
        <v>227029.14608932735</v>
      </c>
      <c r="D8" s="26">
        <v>241527.5553811659</v>
      </c>
      <c r="E8" s="26">
        <v>242055.76995515695</v>
      </c>
      <c r="F8" s="27"/>
      <c r="G8" s="28">
        <v>6.6188082564153206</v>
      </c>
      <c r="H8" s="29">
        <v>0.21869743729962465</v>
      </c>
    </row>
    <row r="9" spans="1:8" x14ac:dyDescent="0.2">
      <c r="A9" s="30" t="s">
        <v>34</v>
      </c>
      <c r="B9" s="31" t="s">
        <v>3</v>
      </c>
      <c r="C9" s="20">
        <v>9972.7763999999988</v>
      </c>
      <c r="D9" s="20">
        <v>10416.3024</v>
      </c>
      <c r="E9" s="21">
        <v>10905.843249805941</v>
      </c>
      <c r="F9" s="22" t="s">
        <v>239</v>
      </c>
      <c r="G9" s="32">
        <v>9.3561392773825958</v>
      </c>
      <c r="H9" s="33">
        <v>4.699756506742176</v>
      </c>
    </row>
    <row r="10" spans="1:8" x14ac:dyDescent="0.2">
      <c r="A10" s="34"/>
      <c r="B10" s="25" t="s">
        <v>240</v>
      </c>
      <c r="C10" s="26">
        <v>2647.3225917200002</v>
      </c>
      <c r="D10" s="26">
        <v>2571.7694000000001</v>
      </c>
      <c r="E10" s="26">
        <v>2756.8753999999999</v>
      </c>
      <c r="F10" s="27"/>
      <c r="G10" s="35">
        <v>4.1382492871343572</v>
      </c>
      <c r="H10" s="29">
        <v>7.1976126630949153</v>
      </c>
    </row>
    <row r="11" spans="1:8" x14ac:dyDescent="0.2">
      <c r="A11" s="30" t="s">
        <v>35</v>
      </c>
      <c r="B11" s="31" t="s">
        <v>3</v>
      </c>
      <c r="C11" s="20">
        <v>3488.0621120000001</v>
      </c>
      <c r="D11" s="20">
        <v>3667.3041920000001</v>
      </c>
      <c r="E11" s="21">
        <v>3328.1095184827327</v>
      </c>
      <c r="F11" s="22" t="s">
        <v>239</v>
      </c>
      <c r="G11" s="37">
        <v>-4.5857151731037504</v>
      </c>
      <c r="H11" s="33">
        <v>-9.2491556674573161</v>
      </c>
    </row>
    <row r="12" spans="1:8" x14ac:dyDescent="0.2">
      <c r="A12" s="34"/>
      <c r="B12" s="25" t="s">
        <v>240</v>
      </c>
      <c r="C12" s="26">
        <v>1033.3858073376</v>
      </c>
      <c r="D12" s="26">
        <v>999.58155199999999</v>
      </c>
      <c r="E12" s="26">
        <v>931.97803199999998</v>
      </c>
      <c r="F12" s="27"/>
      <c r="G12" s="28">
        <v>-9.8131573529992124</v>
      </c>
      <c r="H12" s="29">
        <v>-6.7631820399982701</v>
      </c>
    </row>
    <row r="13" spans="1:8" x14ac:dyDescent="0.2">
      <c r="A13" s="30" t="s">
        <v>36</v>
      </c>
      <c r="B13" s="31" t="s">
        <v>3</v>
      </c>
      <c r="C13" s="20">
        <v>165320.38096000001</v>
      </c>
      <c r="D13" s="20">
        <v>166654.99402666665</v>
      </c>
      <c r="E13" s="21">
        <v>179278.11508146996</v>
      </c>
      <c r="F13" s="22" t="s">
        <v>239</v>
      </c>
      <c r="G13" s="23">
        <v>8.4428393162528863</v>
      </c>
      <c r="H13" s="24">
        <v>7.5744031125664719</v>
      </c>
    </row>
    <row r="14" spans="1:8" x14ac:dyDescent="0.2">
      <c r="A14" s="34"/>
      <c r="B14" s="25" t="s">
        <v>240</v>
      </c>
      <c r="C14" s="26">
        <v>42784.122614608001</v>
      </c>
      <c r="D14" s="26">
        <v>45974.62616</v>
      </c>
      <c r="E14" s="26">
        <v>48392.824560000001</v>
      </c>
      <c r="F14" s="27"/>
      <c r="G14" s="38">
        <v>13.109306917227741</v>
      </c>
      <c r="H14" s="24">
        <v>5.2598544066116801</v>
      </c>
    </row>
    <row r="15" spans="1:8" x14ac:dyDescent="0.2">
      <c r="A15" s="30" t="s">
        <v>18</v>
      </c>
      <c r="B15" s="31" t="s">
        <v>3</v>
      </c>
      <c r="C15" s="20">
        <v>3320.3300799999997</v>
      </c>
      <c r="D15" s="20">
        <v>3467.2172799999998</v>
      </c>
      <c r="E15" s="21">
        <v>3322.4029336960966</v>
      </c>
      <c r="F15" s="22" t="s">
        <v>239</v>
      </c>
      <c r="G15" s="37">
        <v>6.2429145481132764E-2</v>
      </c>
      <c r="H15" s="33">
        <v>-4.1766735283432581</v>
      </c>
    </row>
    <row r="16" spans="1:8" x14ac:dyDescent="0.2">
      <c r="A16" s="34"/>
      <c r="B16" s="25" t="s">
        <v>240</v>
      </c>
      <c r="C16" s="26">
        <v>879.98986238399993</v>
      </c>
      <c r="D16" s="26">
        <v>806.12968000000001</v>
      </c>
      <c r="E16" s="26">
        <v>805.41287999999997</v>
      </c>
      <c r="F16" s="27"/>
      <c r="G16" s="28">
        <v>-8.4747547184193479</v>
      </c>
      <c r="H16" s="29">
        <v>-8.8918696058925661E-2</v>
      </c>
    </row>
    <row r="17" spans="1:9" x14ac:dyDescent="0.2">
      <c r="A17" s="30" t="s">
        <v>37</v>
      </c>
      <c r="B17" s="31" t="s">
        <v>3</v>
      </c>
      <c r="C17" s="20">
        <v>3147.0931679999999</v>
      </c>
      <c r="D17" s="20">
        <v>2949.9562879999999</v>
      </c>
      <c r="E17" s="21">
        <v>2924.4976708817003</v>
      </c>
      <c r="F17" s="22" t="s">
        <v>239</v>
      </c>
      <c r="G17" s="37">
        <v>-7.073050756224049</v>
      </c>
      <c r="H17" s="33">
        <v>-0.86301675797237465</v>
      </c>
    </row>
    <row r="18" spans="1:9" x14ac:dyDescent="0.2">
      <c r="A18" s="34"/>
      <c r="B18" s="25" t="s">
        <v>240</v>
      </c>
      <c r="C18" s="26">
        <v>652.0787110064</v>
      </c>
      <c r="D18" s="26">
        <v>523.37232799999992</v>
      </c>
      <c r="E18" s="26">
        <v>544.96704799999998</v>
      </c>
      <c r="F18" s="27"/>
      <c r="G18" s="28">
        <v>-16.426186164103854</v>
      </c>
      <c r="H18" s="29">
        <v>4.1260721755239587</v>
      </c>
    </row>
    <row r="19" spans="1:9" x14ac:dyDescent="0.2">
      <c r="A19" s="30" t="s">
        <v>38</v>
      </c>
      <c r="B19" s="31" t="s">
        <v>3</v>
      </c>
      <c r="C19" s="20">
        <v>4884.1035200000006</v>
      </c>
      <c r="D19" s="20">
        <v>4901.1736533333333</v>
      </c>
      <c r="E19" s="21">
        <v>5951.0709237651718</v>
      </c>
      <c r="F19" s="22" t="s">
        <v>239</v>
      </c>
      <c r="G19" s="23">
        <v>21.845716402120232</v>
      </c>
      <c r="H19" s="24">
        <v>21.421344043131256</v>
      </c>
    </row>
    <row r="20" spans="1:9" x14ac:dyDescent="0.2">
      <c r="A20" s="30"/>
      <c r="B20" s="25" t="s">
        <v>240</v>
      </c>
      <c r="C20" s="26">
        <v>1042.3096788959999</v>
      </c>
      <c r="D20" s="26">
        <v>951.63591999999994</v>
      </c>
      <c r="E20" s="26">
        <v>1191.2967200000001</v>
      </c>
      <c r="F20" s="27"/>
      <c r="G20" s="38">
        <v>14.293932419567</v>
      </c>
      <c r="H20" s="24">
        <v>25.18408510683372</v>
      </c>
    </row>
    <row r="21" spans="1:9" x14ac:dyDescent="0.2">
      <c r="A21" s="39" t="s">
        <v>39</v>
      </c>
      <c r="B21" s="31" t="s">
        <v>3</v>
      </c>
      <c r="C21" s="20">
        <v>256979.17392</v>
      </c>
      <c r="D21" s="20">
        <v>255583.64671999999</v>
      </c>
      <c r="E21" s="21">
        <v>239796.30857474552</v>
      </c>
      <c r="F21" s="22" t="s">
        <v>239</v>
      </c>
      <c r="G21" s="37">
        <v>-6.686481664309369</v>
      </c>
      <c r="H21" s="33">
        <v>-6.1769750717071474</v>
      </c>
    </row>
    <row r="22" spans="1:9" x14ac:dyDescent="0.2">
      <c r="A22" s="34"/>
      <c r="B22" s="25" t="s">
        <v>240</v>
      </c>
      <c r="C22" s="26">
        <v>73045.503256815995</v>
      </c>
      <c r="D22" s="26">
        <v>61823.354319999999</v>
      </c>
      <c r="E22" s="26">
        <v>61036.231119999997</v>
      </c>
      <c r="F22" s="27"/>
      <c r="G22" s="28">
        <v>-16.440809634226724</v>
      </c>
      <c r="H22" s="29">
        <v>-1.27318099876274</v>
      </c>
    </row>
    <row r="23" spans="1:9" x14ac:dyDescent="0.2">
      <c r="A23" s="39" t="s">
        <v>40</v>
      </c>
      <c r="B23" s="31" t="s">
        <v>3</v>
      </c>
      <c r="C23" s="20">
        <v>182046.6436795707</v>
      </c>
      <c r="D23" s="20">
        <v>194930.2096</v>
      </c>
      <c r="E23" s="21">
        <v>193284.49210127271</v>
      </c>
      <c r="F23" s="22" t="s">
        <v>239</v>
      </c>
      <c r="G23" s="23">
        <v>6.1730599337400065</v>
      </c>
      <c r="H23" s="24">
        <v>-0.84425985182303975</v>
      </c>
    </row>
    <row r="24" spans="1:9" x14ac:dyDescent="0.2">
      <c r="A24" s="34"/>
      <c r="B24" s="25" t="s">
        <v>240</v>
      </c>
      <c r="C24" s="26">
        <v>49021.631911742639</v>
      </c>
      <c r="D24" s="26">
        <v>58490.077600000004</v>
      </c>
      <c r="E24" s="26">
        <v>55867.901599999997</v>
      </c>
      <c r="F24" s="27"/>
      <c r="G24" s="38">
        <v>13.965813501646011</v>
      </c>
      <c r="H24" s="24">
        <v>-4.4831125339454161</v>
      </c>
    </row>
    <row r="25" spans="1:9" x14ac:dyDescent="0.2">
      <c r="A25" s="30" t="s">
        <v>41</v>
      </c>
      <c r="B25" s="31" t="s">
        <v>3</v>
      </c>
      <c r="C25" s="20">
        <v>276481.21739999996</v>
      </c>
      <c r="D25" s="20">
        <v>321381.55839999998</v>
      </c>
      <c r="E25" s="21">
        <v>338252.93428089202</v>
      </c>
      <c r="F25" s="22" t="s">
        <v>239</v>
      </c>
      <c r="G25" s="37">
        <v>22.342102462433687</v>
      </c>
      <c r="H25" s="33">
        <v>5.2496403231368589</v>
      </c>
    </row>
    <row r="26" spans="1:9" x14ac:dyDescent="0.2">
      <c r="A26" s="34"/>
      <c r="B26" s="25" t="s">
        <v>240</v>
      </c>
      <c r="C26" s="26">
        <v>71199.629071019997</v>
      </c>
      <c r="D26" s="26">
        <v>84495.192899999995</v>
      </c>
      <c r="E26" s="26">
        <v>88314.5389</v>
      </c>
      <c r="F26" s="27"/>
      <c r="G26" s="28">
        <v>24.037919933414642</v>
      </c>
      <c r="H26" s="29">
        <v>4.5201932428513345</v>
      </c>
    </row>
    <row r="27" spans="1:9" x14ac:dyDescent="0.2">
      <c r="A27" s="30" t="s">
        <v>24</v>
      </c>
      <c r="B27" s="31" t="s">
        <v>3</v>
      </c>
      <c r="C27" s="20">
        <v>160991.0704</v>
      </c>
      <c r="D27" s="20">
        <v>183511.47306666666</v>
      </c>
      <c r="E27" s="21">
        <v>175374.13599803968</v>
      </c>
      <c r="F27" s="22" t="s">
        <v>239</v>
      </c>
      <c r="G27" s="23">
        <v>8.9340766306499972</v>
      </c>
      <c r="H27" s="24">
        <v>-4.4342388694524857</v>
      </c>
    </row>
    <row r="28" spans="1:9" ht="13.5" thickBot="1" x14ac:dyDescent="0.25">
      <c r="A28" s="56"/>
      <c r="B28" s="42" t="s">
        <v>240</v>
      </c>
      <c r="C28" s="43">
        <v>41112.193577919999</v>
      </c>
      <c r="D28" s="43">
        <v>43613.718399999998</v>
      </c>
      <c r="E28" s="43">
        <v>42665.934399999998</v>
      </c>
      <c r="F28" s="44"/>
      <c r="G28" s="57">
        <v>3.7792700580064889</v>
      </c>
      <c r="H28" s="46">
        <v>-2.1731327544867156</v>
      </c>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33</v>
      </c>
      <c r="B32" s="5"/>
      <c r="C32" s="5"/>
      <c r="D32" s="5"/>
      <c r="E32" s="5"/>
      <c r="F32" s="5"/>
      <c r="G32" s="5"/>
      <c r="H32" s="6"/>
    </row>
    <row r="33" spans="1:8" x14ac:dyDescent="0.2">
      <c r="A33" s="7"/>
      <c r="B33" s="8"/>
      <c r="C33" s="216" t="s">
        <v>16</v>
      </c>
      <c r="D33" s="212"/>
      <c r="E33" s="212"/>
      <c r="F33" s="217"/>
      <c r="G33" s="212" t="s">
        <v>1</v>
      </c>
      <c r="H33" s="213"/>
    </row>
    <row r="34" spans="1:8" x14ac:dyDescent="0.2">
      <c r="A34" s="12"/>
      <c r="B34" s="13"/>
      <c r="C34" s="14" t="s">
        <v>234</v>
      </c>
      <c r="D34" s="15" t="s">
        <v>235</v>
      </c>
      <c r="E34" s="15" t="s">
        <v>236</v>
      </c>
      <c r="F34" s="16"/>
      <c r="G34" s="17" t="s">
        <v>237</v>
      </c>
      <c r="H34" s="18" t="s">
        <v>238</v>
      </c>
    </row>
    <row r="35" spans="1:8" ht="12.75" customHeight="1" x14ac:dyDescent="0.2">
      <c r="A35" s="214" t="s">
        <v>26</v>
      </c>
      <c r="B35" s="19" t="s">
        <v>3</v>
      </c>
      <c r="C35" s="80">
        <v>13878.920128694614</v>
      </c>
      <c r="D35" s="80">
        <v>15161.339619238015</v>
      </c>
      <c r="E35" s="83">
        <v>15685.567959583183</v>
      </c>
      <c r="F35" s="22" t="s">
        <v>239</v>
      </c>
      <c r="G35" s="23">
        <v>13.017207492630007</v>
      </c>
      <c r="H35" s="24">
        <v>3.4576650448485395</v>
      </c>
    </row>
    <row r="36" spans="1:8" ht="12.75" customHeight="1" x14ac:dyDescent="0.2">
      <c r="A36" s="215"/>
      <c r="B36" s="25" t="s">
        <v>240</v>
      </c>
      <c r="C36" s="82">
        <v>4160.8412318169694</v>
      </c>
      <c r="D36" s="82">
        <v>4090.3641573987352</v>
      </c>
      <c r="E36" s="82">
        <v>4377.8555500981765</v>
      </c>
      <c r="F36" s="27"/>
      <c r="G36" s="28">
        <v>5.2156356417002883</v>
      </c>
      <c r="H36" s="29">
        <v>7.0285036157335981</v>
      </c>
    </row>
    <row r="37" spans="1:8" x14ac:dyDescent="0.2">
      <c r="A37" s="30" t="s">
        <v>34</v>
      </c>
      <c r="B37" s="31" t="s">
        <v>3</v>
      </c>
      <c r="C37" s="84">
        <v>1227.2357933286012</v>
      </c>
      <c r="D37" s="84">
        <v>1157.1966798513124</v>
      </c>
      <c r="E37" s="83">
        <v>1174.0587179860913</v>
      </c>
      <c r="F37" s="22" t="s">
        <v>239</v>
      </c>
      <c r="G37" s="32">
        <v>-4.3330772807953224</v>
      </c>
      <c r="H37" s="33">
        <v>1.4571453952793405</v>
      </c>
    </row>
    <row r="38" spans="1:8" x14ac:dyDescent="0.2">
      <c r="A38" s="34"/>
      <c r="B38" s="25" t="s">
        <v>240</v>
      </c>
      <c r="C38" s="82">
        <v>537.39295856829949</v>
      </c>
      <c r="D38" s="82">
        <v>384.95169951535337</v>
      </c>
      <c r="E38" s="82">
        <v>424.5708706614094</v>
      </c>
      <c r="F38" s="27"/>
      <c r="G38" s="35">
        <v>-20.994336845697816</v>
      </c>
      <c r="H38" s="29">
        <v>10.291984993425359</v>
      </c>
    </row>
    <row r="39" spans="1:8" x14ac:dyDescent="0.2">
      <c r="A39" s="30" t="s">
        <v>35</v>
      </c>
      <c r="B39" s="31" t="s">
        <v>3</v>
      </c>
      <c r="C39" s="84">
        <v>38.949811254098549</v>
      </c>
      <c r="D39" s="84">
        <v>43.881944022192918</v>
      </c>
      <c r="E39" s="83">
        <v>41.539224009750818</v>
      </c>
      <c r="F39" s="22" t="s">
        <v>239</v>
      </c>
      <c r="G39" s="37">
        <v>6.6480752339455762</v>
      </c>
      <c r="H39" s="33">
        <v>-5.3386878467765513</v>
      </c>
    </row>
    <row r="40" spans="1:8" x14ac:dyDescent="0.2">
      <c r="A40" s="34"/>
      <c r="B40" s="25" t="s">
        <v>240</v>
      </c>
      <c r="C40" s="82">
        <v>22.040926324252712</v>
      </c>
      <c r="D40" s="82">
        <v>18.796454610581478</v>
      </c>
      <c r="E40" s="82">
        <v>19.361600909154973</v>
      </c>
      <c r="F40" s="27"/>
      <c r="G40" s="28">
        <v>-12.156137975696353</v>
      </c>
      <c r="H40" s="29">
        <v>3.0066643432604963</v>
      </c>
    </row>
    <row r="41" spans="1:8" x14ac:dyDescent="0.2">
      <c r="A41" s="30" t="s">
        <v>36</v>
      </c>
      <c r="B41" s="31" t="s">
        <v>3</v>
      </c>
      <c r="C41" s="84">
        <v>2731.9712473838736</v>
      </c>
      <c r="D41" s="84">
        <v>2877.4410523838951</v>
      </c>
      <c r="E41" s="83">
        <v>2811.0377466833029</v>
      </c>
      <c r="F41" s="22" t="s">
        <v>239</v>
      </c>
      <c r="G41" s="23">
        <v>2.8941190129706911</v>
      </c>
      <c r="H41" s="24">
        <v>-2.3077208009380001</v>
      </c>
    </row>
    <row r="42" spans="1:8" x14ac:dyDescent="0.2">
      <c r="A42" s="34"/>
      <c r="B42" s="25" t="s">
        <v>240</v>
      </c>
      <c r="C42" s="82">
        <v>760.41901358325617</v>
      </c>
      <c r="D42" s="82">
        <v>754.13900773174385</v>
      </c>
      <c r="E42" s="82">
        <v>751.36117193310236</v>
      </c>
      <c r="F42" s="27"/>
      <c r="G42" s="38">
        <v>-1.1911645406486286</v>
      </c>
      <c r="H42" s="24">
        <v>-0.36834532760697414</v>
      </c>
    </row>
    <row r="43" spans="1:8" x14ac:dyDescent="0.2">
      <c r="A43" s="30" t="s">
        <v>18</v>
      </c>
      <c r="B43" s="31" t="s">
        <v>3</v>
      </c>
      <c r="C43" s="84">
        <v>225.16202558953506</v>
      </c>
      <c r="D43" s="84">
        <v>278.09246904358503</v>
      </c>
      <c r="E43" s="83">
        <v>308.54986215719401</v>
      </c>
      <c r="F43" s="22" t="s">
        <v>239</v>
      </c>
      <c r="G43" s="37">
        <v>37.03459157880954</v>
      </c>
      <c r="H43" s="33">
        <v>10.952253837854016</v>
      </c>
    </row>
    <row r="44" spans="1:8" x14ac:dyDescent="0.2">
      <c r="A44" s="34"/>
      <c r="B44" s="25" t="s">
        <v>240</v>
      </c>
      <c r="C44" s="82">
        <v>62.205806019804903</v>
      </c>
      <c r="D44" s="82">
        <v>67.698013250442344</v>
      </c>
      <c r="E44" s="82">
        <v>78.210868540646871</v>
      </c>
      <c r="F44" s="27"/>
      <c r="G44" s="28">
        <v>25.729210092939425</v>
      </c>
      <c r="H44" s="29">
        <v>15.529045514693649</v>
      </c>
    </row>
    <row r="45" spans="1:8" x14ac:dyDescent="0.2">
      <c r="A45" s="30" t="s">
        <v>37</v>
      </c>
      <c r="B45" s="31" t="s">
        <v>3</v>
      </c>
      <c r="C45" s="84">
        <v>128.70785007181718</v>
      </c>
      <c r="D45" s="84">
        <v>121.77996405712665</v>
      </c>
      <c r="E45" s="83">
        <v>148.56995063749383</v>
      </c>
      <c r="F45" s="22" t="s">
        <v>239</v>
      </c>
      <c r="G45" s="37">
        <v>15.431926300217043</v>
      </c>
      <c r="H45" s="33">
        <v>21.998681628613454</v>
      </c>
    </row>
    <row r="46" spans="1:8" x14ac:dyDescent="0.2">
      <c r="A46" s="34"/>
      <c r="B46" s="25" t="s">
        <v>240</v>
      </c>
      <c r="C46" s="82">
        <v>27.674372087983102</v>
      </c>
      <c r="D46" s="82">
        <v>20.321537750519976</v>
      </c>
      <c r="E46" s="82">
        <v>26.791718118753508</v>
      </c>
      <c r="F46" s="27"/>
      <c r="G46" s="28">
        <v>-3.1894272665823706</v>
      </c>
      <c r="H46" s="29">
        <v>31.83902934741235</v>
      </c>
    </row>
    <row r="47" spans="1:8" x14ac:dyDescent="0.2">
      <c r="A47" s="30" t="s">
        <v>38</v>
      </c>
      <c r="B47" s="31" t="s">
        <v>3</v>
      </c>
      <c r="C47" s="84">
        <v>88.781088354513884</v>
      </c>
      <c r="D47" s="84">
        <v>96.395796485767406</v>
      </c>
      <c r="E47" s="83">
        <v>131.28591078547504</v>
      </c>
      <c r="F47" s="22" t="s">
        <v>239</v>
      </c>
      <c r="G47" s="23">
        <v>47.875987126035369</v>
      </c>
      <c r="H47" s="24">
        <v>36.194642890739601</v>
      </c>
    </row>
    <row r="48" spans="1:8" x14ac:dyDescent="0.2">
      <c r="A48" s="30"/>
      <c r="B48" s="25" t="s">
        <v>240</v>
      </c>
      <c r="C48" s="82">
        <v>18.359360753706362</v>
      </c>
      <c r="D48" s="82">
        <v>16.131228001988656</v>
      </c>
      <c r="E48" s="82">
        <v>23.461800351677848</v>
      </c>
      <c r="F48" s="27"/>
      <c r="G48" s="38">
        <v>27.792032992986492</v>
      </c>
      <c r="H48" s="24">
        <v>45.443362084929191</v>
      </c>
    </row>
    <row r="49" spans="1:9" x14ac:dyDescent="0.2">
      <c r="A49" s="39" t="s">
        <v>39</v>
      </c>
      <c r="B49" s="31" t="s">
        <v>3</v>
      </c>
      <c r="C49" s="84">
        <v>1584.2496189421047</v>
      </c>
      <c r="D49" s="84">
        <v>1617.9421538693196</v>
      </c>
      <c r="E49" s="83">
        <v>1646.1517894689953</v>
      </c>
      <c r="F49" s="22" t="s">
        <v>239</v>
      </c>
      <c r="G49" s="37">
        <v>3.9073495607482727</v>
      </c>
      <c r="H49" s="33">
        <v>1.7435503199055802</v>
      </c>
    </row>
    <row r="50" spans="1:9" x14ac:dyDescent="0.2">
      <c r="A50" s="34"/>
      <c r="B50" s="25" t="s">
        <v>240</v>
      </c>
      <c r="C50" s="82">
        <v>424.05520227263105</v>
      </c>
      <c r="D50" s="82">
        <v>340.57483687789204</v>
      </c>
      <c r="E50" s="82">
        <v>373.07417273343157</v>
      </c>
      <c r="F50" s="27"/>
      <c r="G50" s="28">
        <v>-12.022262494594528</v>
      </c>
      <c r="H50" s="29">
        <v>9.5424947284616053</v>
      </c>
    </row>
    <row r="51" spans="1:9" x14ac:dyDescent="0.2">
      <c r="A51" s="39" t="s">
        <v>40</v>
      </c>
      <c r="B51" s="31" t="s">
        <v>3</v>
      </c>
      <c r="C51" s="84">
        <v>713.86243103917968</v>
      </c>
      <c r="D51" s="84">
        <v>810.08675183774267</v>
      </c>
      <c r="E51" s="83">
        <v>874.35018743100807</v>
      </c>
      <c r="F51" s="22" t="s">
        <v>239</v>
      </c>
      <c r="G51" s="23">
        <v>22.481608418334062</v>
      </c>
      <c r="H51" s="24">
        <v>7.9329078580138344</v>
      </c>
    </row>
    <row r="52" spans="1:9" x14ac:dyDescent="0.2">
      <c r="A52" s="34"/>
      <c r="B52" s="25" t="s">
        <v>240</v>
      </c>
      <c r="C52" s="82">
        <v>203.02101127418103</v>
      </c>
      <c r="D52" s="82">
        <v>236.90588380309154</v>
      </c>
      <c r="E52" s="82">
        <v>253.31024488259067</v>
      </c>
      <c r="F52" s="27"/>
      <c r="G52" s="38">
        <v>24.770457645141832</v>
      </c>
      <c r="H52" s="24">
        <v>6.9244211313611288</v>
      </c>
    </row>
    <row r="53" spans="1:9" x14ac:dyDescent="0.2">
      <c r="A53" s="30" t="s">
        <v>41</v>
      </c>
      <c r="B53" s="31" t="s">
        <v>3</v>
      </c>
      <c r="C53" s="84">
        <v>6408.9540404294748</v>
      </c>
      <c r="D53" s="84">
        <v>7311.0329433679644</v>
      </c>
      <c r="E53" s="83">
        <v>7744.5687289266862</v>
      </c>
      <c r="F53" s="22" t="s">
        <v>239</v>
      </c>
      <c r="G53" s="37">
        <v>20.839823161030353</v>
      </c>
      <c r="H53" s="33">
        <v>5.9298841752859772</v>
      </c>
    </row>
    <row r="54" spans="1:9" x14ac:dyDescent="0.2">
      <c r="A54" s="34"/>
      <c r="B54" s="25" t="s">
        <v>240</v>
      </c>
      <c r="C54" s="82">
        <v>1914.9936205566889</v>
      </c>
      <c r="D54" s="82">
        <v>2049.0315945834986</v>
      </c>
      <c r="E54" s="82">
        <v>2216.3625207450618</v>
      </c>
      <c r="F54" s="27"/>
      <c r="G54" s="28">
        <v>15.737331809009618</v>
      </c>
      <c r="H54" s="29">
        <v>8.1663419248338016</v>
      </c>
    </row>
    <row r="55" spans="1:9" x14ac:dyDescent="0.2">
      <c r="A55" s="30" t="s">
        <v>24</v>
      </c>
      <c r="B55" s="31" t="s">
        <v>3</v>
      </c>
      <c r="C55" s="84">
        <v>731.04622230141717</v>
      </c>
      <c r="D55" s="84">
        <v>847.48986431911192</v>
      </c>
      <c r="E55" s="83">
        <v>861.79169231335914</v>
      </c>
      <c r="F55" s="22" t="s">
        <v>239</v>
      </c>
      <c r="G55" s="23">
        <v>17.884706332294598</v>
      </c>
      <c r="H55" s="24">
        <v>1.6875515090363393</v>
      </c>
    </row>
    <row r="56" spans="1:9" ht="13.5" thickBot="1" x14ac:dyDescent="0.25">
      <c r="A56" s="56"/>
      <c r="B56" s="42" t="s">
        <v>240</v>
      </c>
      <c r="C56" s="86">
        <v>190.67896037616663</v>
      </c>
      <c r="D56" s="86">
        <v>201.8139012736234</v>
      </c>
      <c r="E56" s="86">
        <v>211.35058122234679</v>
      </c>
      <c r="F56" s="44"/>
      <c r="G56" s="57">
        <v>10.841060180630151</v>
      </c>
      <c r="H56" s="46">
        <v>4.7254821836050667</v>
      </c>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c r="I59" s="61"/>
    </row>
    <row r="60" spans="1:9" x14ac:dyDescent="0.2">
      <c r="A60" s="52"/>
      <c r="B60" s="52"/>
      <c r="C60" s="52"/>
      <c r="D60" s="52"/>
      <c r="E60" s="52"/>
      <c r="F60" s="52"/>
      <c r="G60" s="52"/>
      <c r="H60" s="52"/>
    </row>
    <row r="61" spans="1:9" ht="12.75" customHeight="1" x14ac:dyDescent="0.2">
      <c r="A61" s="54" t="str">
        <f>+Innhold!$B$123</f>
        <v>Finans Norge / Skadestatistikk</v>
      </c>
      <c r="H61" s="207">
        <v>12</v>
      </c>
    </row>
    <row r="62" spans="1:9" ht="12.75" customHeight="1" x14ac:dyDescent="0.2">
      <c r="A62" s="54" t="str">
        <f>+Innhold!$B$124</f>
        <v>Skadestatistikk for landbasert forsikring 1. kvartal 2019</v>
      </c>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28" display="Tilbake til innholdsfortegnelsen" xr:uid="{00000000-0004-0000-07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68"/>
  <sheetViews>
    <sheetView showGridLines="0" showRowColHeaders="0" zoomScaleNormal="100" zoomScaleSheetLayoutView="70" workbookViewId="0"/>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147</v>
      </c>
      <c r="B4" s="5"/>
      <c r="C4" s="5"/>
      <c r="D4" s="5"/>
      <c r="E4" s="5"/>
      <c r="F4" s="5"/>
      <c r="G4" s="5"/>
      <c r="H4" s="6"/>
    </row>
    <row r="5" spans="1:8" x14ac:dyDescent="0.2">
      <c r="A5" s="7"/>
      <c r="B5" s="8"/>
      <c r="C5" s="9"/>
      <c r="D5" s="8"/>
      <c r="E5" s="10"/>
      <c r="F5" s="11"/>
      <c r="G5" s="212" t="s">
        <v>1</v>
      </c>
      <c r="H5" s="213"/>
    </row>
    <row r="6" spans="1:8" x14ac:dyDescent="0.2">
      <c r="A6" s="12"/>
      <c r="B6" s="13"/>
      <c r="C6" s="14" t="s">
        <v>234</v>
      </c>
      <c r="D6" s="15" t="s">
        <v>235</v>
      </c>
      <c r="E6" s="15" t="s">
        <v>236</v>
      </c>
      <c r="F6" s="16"/>
      <c r="G6" s="17" t="s">
        <v>237</v>
      </c>
      <c r="H6" s="18" t="s">
        <v>238</v>
      </c>
    </row>
    <row r="7" spans="1:8" x14ac:dyDescent="0.2">
      <c r="A7" s="214" t="s">
        <v>17</v>
      </c>
      <c r="B7" s="19" t="s">
        <v>3</v>
      </c>
      <c r="C7" s="20">
        <v>312410.11965267966</v>
      </c>
      <c r="D7" s="20">
        <v>401911.93909904256</v>
      </c>
      <c r="E7" s="21">
        <v>419044.34708947199</v>
      </c>
      <c r="F7" s="22" t="s">
        <v>239</v>
      </c>
      <c r="G7" s="23">
        <v>34.132769948471065</v>
      </c>
      <c r="H7" s="24">
        <v>4.2627268124541899</v>
      </c>
    </row>
    <row r="8" spans="1:8" x14ac:dyDescent="0.2">
      <c r="A8" s="215"/>
      <c r="B8" s="25" t="s">
        <v>240</v>
      </c>
      <c r="C8" s="26">
        <v>77087.597089036251</v>
      </c>
      <c r="D8" s="26">
        <v>80234.550480475766</v>
      </c>
      <c r="E8" s="26">
        <v>89341.55665428417</v>
      </c>
      <c r="F8" s="27"/>
      <c r="G8" s="28">
        <v>15.896149352138437</v>
      </c>
      <c r="H8" s="29">
        <v>11.350479462117136</v>
      </c>
    </row>
    <row r="9" spans="1:8" x14ac:dyDescent="0.2">
      <c r="A9" s="30" t="s">
        <v>18</v>
      </c>
      <c r="B9" s="31" t="s">
        <v>3</v>
      </c>
      <c r="C9" s="20">
        <v>22734.102206588697</v>
      </c>
      <c r="D9" s="20">
        <v>24841.406678260868</v>
      </c>
      <c r="E9" s="21">
        <v>22545.899749641525</v>
      </c>
      <c r="F9" s="22" t="s">
        <v>239</v>
      </c>
      <c r="G9" s="32">
        <v>-0.82784204644170245</v>
      </c>
      <c r="H9" s="33">
        <v>-9.240647916400718</v>
      </c>
    </row>
    <row r="10" spans="1:8" x14ac:dyDescent="0.2">
      <c r="A10" s="34"/>
      <c r="B10" s="25" t="s">
        <v>240</v>
      </c>
      <c r="C10" s="26">
        <v>5813.1309075468262</v>
      </c>
      <c r="D10" s="26">
        <v>5170.9344565217389</v>
      </c>
      <c r="E10" s="26">
        <v>5003.1914826086959</v>
      </c>
      <c r="F10" s="27"/>
      <c r="G10" s="35">
        <v>-13.932929394152055</v>
      </c>
      <c r="H10" s="29">
        <v>-3.2439586176049886</v>
      </c>
    </row>
    <row r="11" spans="1:8" x14ac:dyDescent="0.2">
      <c r="A11" s="30" t="s">
        <v>19</v>
      </c>
      <c r="B11" s="31" t="s">
        <v>3</v>
      </c>
      <c r="C11" s="20">
        <v>60163.007355295653</v>
      </c>
      <c r="D11" s="20">
        <v>69858.022260869562</v>
      </c>
      <c r="E11" s="21">
        <v>63289.962810494784</v>
      </c>
      <c r="F11" s="22" t="s">
        <v>239</v>
      </c>
      <c r="G11" s="37">
        <v>5.1974719892786254</v>
      </c>
      <c r="H11" s="33">
        <v>-9.4020117343829099</v>
      </c>
    </row>
    <row r="12" spans="1:8" x14ac:dyDescent="0.2">
      <c r="A12" s="34"/>
      <c r="B12" s="25" t="s">
        <v>240</v>
      </c>
      <c r="C12" s="26">
        <v>15245.103025156088</v>
      </c>
      <c r="D12" s="26">
        <v>19314.781521739133</v>
      </c>
      <c r="E12" s="26">
        <v>16982.971608695654</v>
      </c>
      <c r="F12" s="27"/>
      <c r="G12" s="28">
        <v>11.399520099483041</v>
      </c>
      <c r="H12" s="29">
        <v>-12.072670407475144</v>
      </c>
    </row>
    <row r="13" spans="1:8" x14ac:dyDescent="0.2">
      <c r="A13" s="30" t="s">
        <v>20</v>
      </c>
      <c r="B13" s="31" t="s">
        <v>3</v>
      </c>
      <c r="C13" s="20">
        <v>26862.717788236027</v>
      </c>
      <c r="D13" s="20">
        <v>29684.962981366458</v>
      </c>
      <c r="E13" s="21">
        <v>35260.785066712662</v>
      </c>
      <c r="F13" s="22" t="s">
        <v>239</v>
      </c>
      <c r="G13" s="23">
        <v>31.262909973146492</v>
      </c>
      <c r="H13" s="24">
        <v>18.783321673152173</v>
      </c>
    </row>
    <row r="14" spans="1:8" x14ac:dyDescent="0.2">
      <c r="A14" s="34"/>
      <c r="B14" s="25" t="s">
        <v>240</v>
      </c>
      <c r="C14" s="26">
        <v>5453.9062024552795</v>
      </c>
      <c r="D14" s="26">
        <v>4796.1816770186333</v>
      </c>
      <c r="E14" s="26">
        <v>6113.1769565217392</v>
      </c>
      <c r="F14" s="27"/>
      <c r="G14" s="38">
        <v>12.088047164611382</v>
      </c>
      <c r="H14" s="24">
        <v>27.459245045149473</v>
      </c>
    </row>
    <row r="15" spans="1:8" x14ac:dyDescent="0.2">
      <c r="A15" s="30" t="s">
        <v>21</v>
      </c>
      <c r="B15" s="31" t="s">
        <v>3</v>
      </c>
      <c r="C15" s="20">
        <v>4938.2510215688408</v>
      </c>
      <c r="D15" s="20">
        <v>4864.7808695652175</v>
      </c>
      <c r="E15" s="21">
        <v>5154.4487584176195</v>
      </c>
      <c r="F15" s="22" t="s">
        <v>239</v>
      </c>
      <c r="G15" s="37">
        <v>4.3780224193644699</v>
      </c>
      <c r="H15" s="33">
        <v>5.9543871886317987</v>
      </c>
    </row>
    <row r="16" spans="1:8" x14ac:dyDescent="0.2">
      <c r="A16" s="34"/>
      <c r="B16" s="25" t="s">
        <v>240</v>
      </c>
      <c r="C16" s="26">
        <v>1431.7643090494564</v>
      </c>
      <c r="D16" s="26">
        <v>842.13632246376812</v>
      </c>
      <c r="E16" s="26">
        <v>1030.7182789855074</v>
      </c>
      <c r="F16" s="27"/>
      <c r="G16" s="28">
        <v>-28.010617915891629</v>
      </c>
      <c r="H16" s="29">
        <v>22.39328140722165</v>
      </c>
    </row>
    <row r="17" spans="1:8" x14ac:dyDescent="0.2">
      <c r="A17" s="30" t="s">
        <v>22</v>
      </c>
      <c r="B17" s="31" t="s">
        <v>3</v>
      </c>
      <c r="C17" s="20">
        <v>6123.2510215688408</v>
      </c>
      <c r="D17" s="20">
        <v>8089.7808695652175</v>
      </c>
      <c r="E17" s="21">
        <v>7577.9515177527992</v>
      </c>
      <c r="F17" s="22" t="s">
        <v>239</v>
      </c>
      <c r="G17" s="37">
        <v>23.756995933366937</v>
      </c>
      <c r="H17" s="33">
        <v>-6.3268629900469335</v>
      </c>
    </row>
    <row r="18" spans="1:8" x14ac:dyDescent="0.2">
      <c r="A18" s="34"/>
      <c r="B18" s="25" t="s">
        <v>240</v>
      </c>
      <c r="C18" s="26">
        <v>1283.7643090494564</v>
      </c>
      <c r="D18" s="26">
        <v>1365.136322463768</v>
      </c>
      <c r="E18" s="26">
        <v>1367.7182789855074</v>
      </c>
      <c r="F18" s="27"/>
      <c r="G18" s="28">
        <v>6.539671600483544</v>
      </c>
      <c r="H18" s="29">
        <v>0.18913543499301966</v>
      </c>
    </row>
    <row r="19" spans="1:8" x14ac:dyDescent="0.2">
      <c r="A19" s="30" t="s">
        <v>189</v>
      </c>
      <c r="B19" s="31" t="s">
        <v>3</v>
      </c>
      <c r="C19" s="20">
        <v>123601.29447059006</v>
      </c>
      <c r="D19" s="20">
        <v>173973.40745341615</v>
      </c>
      <c r="E19" s="21">
        <v>197808.54118645738</v>
      </c>
      <c r="F19" s="22" t="s">
        <v>239</v>
      </c>
      <c r="G19" s="23">
        <v>60.037596720740112</v>
      </c>
      <c r="H19" s="24">
        <v>13.700446569354824</v>
      </c>
    </row>
    <row r="20" spans="1:8" x14ac:dyDescent="0.2">
      <c r="A20" s="30"/>
      <c r="B20" s="25" t="s">
        <v>240</v>
      </c>
      <c r="C20" s="26">
        <v>30859.265506138199</v>
      </c>
      <c r="D20" s="26">
        <v>31010.454192546582</v>
      </c>
      <c r="E20" s="26">
        <v>38975.442391304343</v>
      </c>
      <c r="F20" s="27"/>
      <c r="G20" s="38">
        <v>26.300615883264484</v>
      </c>
      <c r="H20" s="24">
        <v>25.684848565269206</v>
      </c>
    </row>
    <row r="21" spans="1:8" x14ac:dyDescent="0.2">
      <c r="A21" s="39" t="s">
        <v>12</v>
      </c>
      <c r="B21" s="31" t="s">
        <v>3</v>
      </c>
      <c r="C21" s="20">
        <v>1834.7506129413043</v>
      </c>
      <c r="D21" s="20">
        <v>1964.6685217391305</v>
      </c>
      <c r="E21" s="21">
        <v>2231.7930926427462</v>
      </c>
      <c r="F21" s="22" t="s">
        <v>239</v>
      </c>
      <c r="G21" s="37">
        <v>21.640133372945968</v>
      </c>
      <c r="H21" s="33">
        <v>13.596419342391471</v>
      </c>
    </row>
    <row r="22" spans="1:8" x14ac:dyDescent="0.2">
      <c r="A22" s="34"/>
      <c r="B22" s="25" t="s">
        <v>240</v>
      </c>
      <c r="C22" s="26">
        <v>354.25858542967393</v>
      </c>
      <c r="D22" s="26">
        <v>307.4817934782609</v>
      </c>
      <c r="E22" s="26">
        <v>372.83096739130434</v>
      </c>
      <c r="F22" s="27"/>
      <c r="G22" s="28">
        <v>5.2426060300286821</v>
      </c>
      <c r="H22" s="29">
        <v>21.253022227367651</v>
      </c>
    </row>
    <row r="23" spans="1:8" x14ac:dyDescent="0.2">
      <c r="A23" s="39" t="s">
        <v>23</v>
      </c>
      <c r="B23" s="31" t="s">
        <v>3</v>
      </c>
      <c r="C23" s="20">
        <v>12935.251021568842</v>
      </c>
      <c r="D23" s="20">
        <v>13348.780869565217</v>
      </c>
      <c r="E23" s="21">
        <v>13446.53826360305</v>
      </c>
      <c r="F23" s="22" t="s">
        <v>239</v>
      </c>
      <c r="G23" s="23">
        <v>3.9526657904177114</v>
      </c>
      <c r="H23" s="24">
        <v>0.73233200089993034</v>
      </c>
    </row>
    <row r="24" spans="1:8" x14ac:dyDescent="0.2">
      <c r="A24" s="34"/>
      <c r="B24" s="25" t="s">
        <v>240</v>
      </c>
      <c r="C24" s="26">
        <v>3406.7643090494566</v>
      </c>
      <c r="D24" s="26">
        <v>3323.136322463768</v>
      </c>
      <c r="E24" s="26">
        <v>3409.7182789855074</v>
      </c>
      <c r="F24" s="27"/>
      <c r="G24" s="28">
        <v>8.6708960998677753E-2</v>
      </c>
      <c r="H24" s="29">
        <v>2.6054289719161403</v>
      </c>
    </row>
    <row r="25" spans="1:8" x14ac:dyDescent="0.2">
      <c r="A25" s="30" t="s">
        <v>24</v>
      </c>
      <c r="B25" s="31" t="s">
        <v>3</v>
      </c>
      <c r="C25" s="20">
        <v>59331.502043137676</v>
      </c>
      <c r="D25" s="20">
        <v>86794.56173913044</v>
      </c>
      <c r="E25" s="21">
        <v>90356.696252092006</v>
      </c>
      <c r="F25" s="22" t="s">
        <v>239</v>
      </c>
      <c r="G25" s="23">
        <v>52.291267101913405</v>
      </c>
      <c r="H25" s="24">
        <v>4.104098737969224</v>
      </c>
    </row>
    <row r="26" spans="1:8" ht="13.5" thickBot="1" x14ac:dyDescent="0.25">
      <c r="A26" s="41"/>
      <c r="B26" s="42" t="s">
        <v>240</v>
      </c>
      <c r="C26" s="43">
        <v>14592.528618098913</v>
      </c>
      <c r="D26" s="43">
        <v>16005.272644927536</v>
      </c>
      <c r="E26" s="43">
        <v>18178.436557971014</v>
      </c>
      <c r="F26" s="44"/>
      <c r="G26" s="45">
        <v>24.573588537798358</v>
      </c>
      <c r="H26" s="46">
        <v>13.577800024120208</v>
      </c>
    </row>
    <row r="31" spans="1:8" x14ac:dyDescent="0.2">
      <c r="A31" s="47"/>
      <c r="B31" s="48"/>
      <c r="C31" s="49"/>
      <c r="D31" s="55"/>
      <c r="E31" s="49"/>
      <c r="F31" s="49"/>
      <c r="G31" s="50"/>
      <c r="H31" s="51"/>
    </row>
    <row r="32" spans="1:8" ht="16.5" thickBot="1" x14ac:dyDescent="0.3">
      <c r="A32" s="4" t="s">
        <v>25</v>
      </c>
      <c r="B32" s="5"/>
      <c r="C32" s="5"/>
      <c r="D32" s="5"/>
      <c r="E32" s="5"/>
      <c r="F32" s="5"/>
      <c r="G32" s="5"/>
      <c r="H32" s="6"/>
    </row>
    <row r="33" spans="1:8" x14ac:dyDescent="0.2">
      <c r="A33" s="7"/>
      <c r="B33" s="8"/>
      <c r="C33" s="216" t="s">
        <v>16</v>
      </c>
      <c r="D33" s="212"/>
      <c r="E33" s="212"/>
      <c r="F33" s="217"/>
      <c r="G33" s="212" t="s">
        <v>1</v>
      </c>
      <c r="H33" s="213"/>
    </row>
    <row r="34" spans="1:8" x14ac:dyDescent="0.2">
      <c r="A34" s="12"/>
      <c r="B34" s="13"/>
      <c r="C34" s="14" t="s">
        <v>234</v>
      </c>
      <c r="D34" s="15" t="s">
        <v>235</v>
      </c>
      <c r="E34" s="15" t="s">
        <v>236</v>
      </c>
      <c r="F34" s="16"/>
      <c r="G34" s="17" t="s">
        <v>237</v>
      </c>
      <c r="H34" s="18" t="s">
        <v>238</v>
      </c>
    </row>
    <row r="35" spans="1:8" x14ac:dyDescent="0.2">
      <c r="A35" s="214" t="s">
        <v>17</v>
      </c>
      <c r="B35" s="19" t="s">
        <v>3</v>
      </c>
      <c r="C35" s="80">
        <v>7171.790369567203</v>
      </c>
      <c r="D35" s="80">
        <v>8904.3769745772461</v>
      </c>
      <c r="E35" s="83">
        <v>7872.0083372815006</v>
      </c>
      <c r="F35" s="22" t="s">
        <v>239</v>
      </c>
      <c r="G35" s="23">
        <v>9.7635029976002272</v>
      </c>
      <c r="H35" s="24">
        <v>-11.593945766708273</v>
      </c>
    </row>
    <row r="36" spans="1:8" x14ac:dyDescent="0.2">
      <c r="A36" s="215"/>
      <c r="B36" s="25" t="s">
        <v>240</v>
      </c>
      <c r="C36" s="82">
        <v>1899.6541603353126</v>
      </c>
      <c r="D36" s="82">
        <v>2162.8651301313703</v>
      </c>
      <c r="E36" s="82">
        <v>1966.4968327261577</v>
      </c>
      <c r="F36" s="27"/>
      <c r="G36" s="28">
        <v>3.5186758614550513</v>
      </c>
      <c r="H36" s="29">
        <v>-9.0790819394866844</v>
      </c>
    </row>
    <row r="37" spans="1:8" x14ac:dyDescent="0.2">
      <c r="A37" s="30" t="s">
        <v>18</v>
      </c>
      <c r="B37" s="31" t="s">
        <v>3</v>
      </c>
      <c r="C37" s="80">
        <v>2543.960614086966</v>
      </c>
      <c r="D37" s="80">
        <v>3037.3151262980323</v>
      </c>
      <c r="E37" s="83">
        <v>2446.5899106074221</v>
      </c>
      <c r="F37" s="22" t="s">
        <v>239</v>
      </c>
      <c r="G37" s="32">
        <v>-3.8275240166990727</v>
      </c>
      <c r="H37" s="33">
        <v>-19.448927461491394</v>
      </c>
    </row>
    <row r="38" spans="1:8" x14ac:dyDescent="0.2">
      <c r="A38" s="34"/>
      <c r="B38" s="25" t="s">
        <v>240</v>
      </c>
      <c r="C38" s="82">
        <v>705.28702057306327</v>
      </c>
      <c r="D38" s="82">
        <v>724.58375333674098</v>
      </c>
      <c r="E38" s="82">
        <v>612.12697962166783</v>
      </c>
      <c r="F38" s="27"/>
      <c r="G38" s="35">
        <v>-13.208812615848302</v>
      </c>
      <c r="H38" s="29">
        <v>-15.520189791339462</v>
      </c>
    </row>
    <row r="39" spans="1:8" x14ac:dyDescent="0.2">
      <c r="A39" s="30" t="s">
        <v>19</v>
      </c>
      <c r="B39" s="31" t="s">
        <v>3</v>
      </c>
      <c r="C39" s="80">
        <v>2463.2625002424434</v>
      </c>
      <c r="D39" s="80">
        <v>2934.8006806299081</v>
      </c>
      <c r="E39" s="83">
        <v>2771.5253649794417</v>
      </c>
      <c r="F39" s="22" t="s">
        <v>239</v>
      </c>
      <c r="G39" s="37">
        <v>12.514413900534677</v>
      </c>
      <c r="H39" s="33">
        <v>-5.5634209412620805</v>
      </c>
    </row>
    <row r="40" spans="1:8" x14ac:dyDescent="0.2">
      <c r="A40" s="34"/>
      <c r="B40" s="25" t="s">
        <v>240</v>
      </c>
      <c r="C40" s="82">
        <v>611.79422014693091</v>
      </c>
      <c r="D40" s="82">
        <v>761.06433073321068</v>
      </c>
      <c r="E40" s="82">
        <v>708.30759840826295</v>
      </c>
      <c r="F40" s="27"/>
      <c r="G40" s="28">
        <v>15.77546421379283</v>
      </c>
      <c r="H40" s="29">
        <v>-6.9319675347446434</v>
      </c>
    </row>
    <row r="41" spans="1:8" x14ac:dyDescent="0.2">
      <c r="A41" s="30" t="s">
        <v>20</v>
      </c>
      <c r="B41" s="31" t="s">
        <v>3</v>
      </c>
      <c r="C41" s="80">
        <v>364.95528732458087</v>
      </c>
      <c r="D41" s="80">
        <v>375.52211592854434</v>
      </c>
      <c r="E41" s="83">
        <v>346.10219568748147</v>
      </c>
      <c r="F41" s="22" t="s">
        <v>239</v>
      </c>
      <c r="G41" s="23">
        <v>-5.165863406256662</v>
      </c>
      <c r="H41" s="24">
        <v>-7.8344041517546685</v>
      </c>
    </row>
    <row r="42" spans="1:8" x14ac:dyDescent="0.2">
      <c r="A42" s="34"/>
      <c r="B42" s="25" t="s">
        <v>240</v>
      </c>
      <c r="C42" s="82">
        <v>92.593239312826924</v>
      </c>
      <c r="D42" s="82">
        <v>77.712738201751662</v>
      </c>
      <c r="E42" s="82">
        <v>76.313223553519521</v>
      </c>
      <c r="F42" s="27"/>
      <c r="G42" s="38">
        <v>-17.582294215137296</v>
      </c>
      <c r="H42" s="24">
        <v>-1.8008819153931199</v>
      </c>
    </row>
    <row r="43" spans="1:8" x14ac:dyDescent="0.2">
      <c r="A43" s="30" t="s">
        <v>21</v>
      </c>
      <c r="B43" s="31" t="s">
        <v>3</v>
      </c>
      <c r="C43" s="80">
        <v>41.787927755822388</v>
      </c>
      <c r="D43" s="80">
        <v>45.958752576502974</v>
      </c>
      <c r="E43" s="83">
        <v>44.412926281404481</v>
      </c>
      <c r="F43" s="22" t="s">
        <v>239</v>
      </c>
      <c r="G43" s="37">
        <v>6.2817149989361525</v>
      </c>
      <c r="H43" s="33">
        <v>-3.3635079466643703</v>
      </c>
    </row>
    <row r="44" spans="1:8" x14ac:dyDescent="0.2">
      <c r="A44" s="34"/>
      <c r="B44" s="25" t="s">
        <v>240</v>
      </c>
      <c r="C44" s="82">
        <v>10.124700636609109</v>
      </c>
      <c r="D44" s="82">
        <v>9.1587094067667323</v>
      </c>
      <c r="E44" s="82">
        <v>9.4072588536742803</v>
      </c>
      <c r="F44" s="27"/>
      <c r="G44" s="28">
        <v>-7.0860542813551319</v>
      </c>
      <c r="H44" s="29">
        <v>2.7138042694521118</v>
      </c>
    </row>
    <row r="45" spans="1:8" x14ac:dyDescent="0.2">
      <c r="A45" s="30" t="s">
        <v>22</v>
      </c>
      <c r="B45" s="31" t="s">
        <v>3</v>
      </c>
      <c r="C45" s="80">
        <v>29.436083674779386</v>
      </c>
      <c r="D45" s="80">
        <v>40.378602719497835</v>
      </c>
      <c r="E45" s="83">
        <v>34.505689871483547</v>
      </c>
      <c r="F45" s="22" t="s">
        <v>239</v>
      </c>
      <c r="G45" s="37">
        <v>17.222420797260327</v>
      </c>
      <c r="H45" s="33">
        <v>-14.544616337549499</v>
      </c>
    </row>
    <row r="46" spans="1:8" x14ac:dyDescent="0.2">
      <c r="A46" s="34"/>
      <c r="B46" s="25" t="s">
        <v>240</v>
      </c>
      <c r="C46" s="82">
        <v>6.4506968322389158</v>
      </c>
      <c r="D46" s="82">
        <v>6.9476244773945588</v>
      </c>
      <c r="E46" s="82">
        <v>6.3950919183883626</v>
      </c>
      <c r="F46" s="27"/>
      <c r="G46" s="28">
        <v>-0.86199856072376235</v>
      </c>
      <c r="H46" s="29">
        <v>-7.9528270533902372</v>
      </c>
    </row>
    <row r="47" spans="1:8" x14ac:dyDescent="0.2">
      <c r="A47" s="30" t="s">
        <v>189</v>
      </c>
      <c r="B47" s="31" t="s">
        <v>3</v>
      </c>
      <c r="C47" s="80">
        <v>820.1524830819003</v>
      </c>
      <c r="D47" s="80">
        <v>1259.2014506981182</v>
      </c>
      <c r="E47" s="83">
        <v>1050.3787860677348</v>
      </c>
      <c r="F47" s="22" t="s">
        <v>239</v>
      </c>
      <c r="G47" s="23">
        <v>28.071158441258319</v>
      </c>
      <c r="H47" s="24">
        <v>-16.583737615185342</v>
      </c>
    </row>
    <row r="48" spans="1:8" x14ac:dyDescent="0.2">
      <c r="A48" s="30"/>
      <c r="B48" s="25" t="s">
        <v>240</v>
      </c>
      <c r="C48" s="82">
        <v>233.33336036572052</v>
      </c>
      <c r="D48" s="82">
        <v>308.98088207868676</v>
      </c>
      <c r="E48" s="82">
        <v>270.12176805777943</v>
      </c>
      <c r="F48" s="27"/>
      <c r="G48" s="38">
        <v>15.766458612860902</v>
      </c>
      <c r="H48" s="24">
        <v>-12.576543169752256</v>
      </c>
    </row>
    <row r="49" spans="1:8" x14ac:dyDescent="0.2">
      <c r="A49" s="39" t="s">
        <v>12</v>
      </c>
      <c r="B49" s="31" t="s">
        <v>3</v>
      </c>
      <c r="C49" s="80">
        <v>20.946257253498224</v>
      </c>
      <c r="D49" s="80">
        <v>22.759661424554807</v>
      </c>
      <c r="E49" s="83">
        <v>18.644273650134291</v>
      </c>
      <c r="F49" s="22" t="s">
        <v>239</v>
      </c>
      <c r="G49" s="37">
        <v>-10.989951930335806</v>
      </c>
      <c r="H49" s="33">
        <v>-18.08193758972412</v>
      </c>
    </row>
    <row r="50" spans="1:8" x14ac:dyDescent="0.2">
      <c r="A50" s="34"/>
      <c r="B50" s="25" t="s">
        <v>240</v>
      </c>
      <c r="C50" s="82">
        <v>4.7278065046125928</v>
      </c>
      <c r="D50" s="82">
        <v>4.9687234662784965</v>
      </c>
      <c r="E50" s="82">
        <v>4.1152463860105701</v>
      </c>
      <c r="F50" s="27"/>
      <c r="G50" s="28">
        <v>-12.956539528519002</v>
      </c>
      <c r="H50" s="29">
        <v>-17.176988940122456</v>
      </c>
    </row>
    <row r="51" spans="1:8" x14ac:dyDescent="0.2">
      <c r="A51" s="39" t="s">
        <v>23</v>
      </c>
      <c r="B51" s="31" t="s">
        <v>3</v>
      </c>
      <c r="C51" s="80">
        <v>307.54379769015588</v>
      </c>
      <c r="D51" s="80">
        <v>332.94284501083899</v>
      </c>
      <c r="E51" s="83">
        <v>310.60311856383566</v>
      </c>
      <c r="F51" s="22" t="s">
        <v>239</v>
      </c>
      <c r="G51" s="23">
        <v>0.99475941204380547</v>
      </c>
      <c r="H51" s="24">
        <v>-6.7097782042068133</v>
      </c>
    </row>
    <row r="52" spans="1:8" x14ac:dyDescent="0.2">
      <c r="A52" s="34"/>
      <c r="B52" s="25" t="s">
        <v>240</v>
      </c>
      <c r="C52" s="82">
        <v>78.867311909660543</v>
      </c>
      <c r="D52" s="82">
        <v>78.714470692029465</v>
      </c>
      <c r="E52" s="82">
        <v>75.395102632035616</v>
      </c>
      <c r="F52" s="27"/>
      <c r="G52" s="28">
        <v>-4.4025962005681265</v>
      </c>
      <c r="H52" s="29">
        <v>-4.216973106483664</v>
      </c>
    </row>
    <row r="53" spans="1:8" x14ac:dyDescent="0.2">
      <c r="A53" s="30" t="s">
        <v>24</v>
      </c>
      <c r="B53" s="31" t="s">
        <v>3</v>
      </c>
      <c r="C53" s="80">
        <v>579.74541845705608</v>
      </c>
      <c r="D53" s="80">
        <v>855.49773929124774</v>
      </c>
      <c r="E53" s="83">
        <v>863.27028611229764</v>
      </c>
      <c r="F53" s="22" t="s">
        <v>239</v>
      </c>
      <c r="G53" s="23">
        <v>48.905063952004866</v>
      </c>
      <c r="H53" s="24">
        <v>0.90854089544282601</v>
      </c>
    </row>
    <row r="54" spans="1:8" ht="13.5" thickBot="1" x14ac:dyDescent="0.25">
      <c r="A54" s="41"/>
      <c r="B54" s="42" t="s">
        <v>240</v>
      </c>
      <c r="C54" s="86">
        <v>156.47580405364977</v>
      </c>
      <c r="D54" s="86">
        <v>190.73389773851164</v>
      </c>
      <c r="E54" s="86">
        <v>204.31456329481932</v>
      </c>
      <c r="F54" s="44"/>
      <c r="G54" s="45">
        <v>30.57262401078151</v>
      </c>
      <c r="H54" s="46">
        <v>7.1202160273189605</v>
      </c>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tr">
        <f>+Innhold!$B$123</f>
        <v>Finans Norge / Skadestatistikk</v>
      </c>
      <c r="G61" s="53"/>
      <c r="H61" s="211">
        <v>13</v>
      </c>
    </row>
    <row r="62" spans="1:8" ht="12.75" customHeight="1" x14ac:dyDescent="0.2">
      <c r="A62" s="54" t="str">
        <f>+Innhold!$B$124</f>
        <v>Skadestatistikk for landbasert forsikring 1. kvartal 2019</v>
      </c>
      <c r="G62" s="53"/>
      <c r="H62" s="208"/>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31" display="Tilbake til innholdsfortegnelsen" xr:uid="{00000000-0004-0000-0800-000000000000}"/>
  </hyperlinks>
  <pageMargins left="0.78740157480314965" right="0.78740157480314965" top="0.98425196850393704" bottom="0.19685039370078741" header="3.937007874015748E-2" footer="3.937007874015748E-2"/>
  <pageSetup paperSize="9" scale="9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9</vt:i4>
      </vt:variant>
    </vt:vector>
  </HeadingPairs>
  <TitlesOfParts>
    <vt:vector size="32" baseType="lpstr">
      <vt:lpstr>Forside</vt:lpstr>
      <vt:lpstr>Innhold</vt:lpstr>
      <vt:lpstr>Tab1</vt:lpstr>
      <vt:lpstr>Tab2</vt:lpstr>
      <vt:lpstr>Tab3</vt:lpstr>
      <vt:lpstr>Tab4</vt:lpstr>
      <vt:lpstr>Tab5</vt:lpstr>
      <vt:lpstr>Tab6</vt:lpstr>
      <vt:lpstr>Tab7</vt:lpstr>
      <vt:lpstr>Tab8</vt:lpstr>
      <vt:lpstr>Tab9</vt:lpstr>
      <vt:lpstr>Tab10</vt:lpstr>
      <vt:lpstr>Tab11</vt:lpstr>
      <vt:lpstr>Tab12</vt:lpstr>
      <vt:lpstr>Tab13</vt:lpstr>
      <vt:lpstr>Tab14</vt:lpstr>
      <vt:lpstr>Tab15</vt:lpstr>
      <vt:lpstr>Tab16</vt:lpstr>
      <vt:lpstr>Tab17</vt:lpstr>
      <vt:lpstr>Tab18</vt:lpstr>
      <vt:lpstr>Tab19</vt:lpstr>
      <vt:lpstr>Tab20</vt:lpstr>
      <vt:lpstr>Tab21</vt:lpstr>
      <vt:lpstr>aar</vt:lpstr>
      <vt:lpstr>aar_1</vt:lpstr>
      <vt:lpstr>aar_2</vt:lpstr>
      <vt:lpstr>aaret_i_alt</vt:lpstr>
      <vt:lpstr>hittil_i_aar</vt:lpstr>
      <vt:lpstr>'Tab2'!Print_Area</vt:lpstr>
      <vt:lpstr>Print_Area</vt:lpstr>
      <vt:lpstr>pros_1</vt:lpstr>
      <vt:lpstr>pros_2</vt:lpstr>
    </vt:vector>
  </TitlesOfParts>
  <Company>FNH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Harald Moseby (kontakt infoavd)</dc:creator>
  <cp:lastModifiedBy>Stein Erik Petersbakken</cp:lastModifiedBy>
  <cp:lastPrinted>2014-09-12T11:46:46Z</cp:lastPrinted>
  <dcterms:created xsi:type="dcterms:W3CDTF">2002-02-09T09:48:14Z</dcterms:created>
  <dcterms:modified xsi:type="dcterms:W3CDTF">2020-02-20T14:58:18Z</dcterms:modified>
</cp:coreProperties>
</file>