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charts/chart10.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sheetId="2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15" r:id="rId17"/>
    <sheet name="Tab16" sheetId="16" r:id="rId18"/>
    <sheet name="Tab17" sheetId="17" r:id="rId19"/>
    <sheet name="Tab18" sheetId="18" r:id="rId20"/>
    <sheet name="Tab19" sheetId="24" r:id="rId21"/>
  </sheets>
  <externalReferences>
    <externalReference r:id="rId22"/>
    <externalReference r:id="rId23"/>
    <externalReference r:id="rId24"/>
  </externalReferences>
  <definedNames>
    <definedName name="Dato_1årsiden" localSheetId="1">[1]Tab5!$C$6</definedName>
    <definedName name="Dato_1årsiden" localSheetId="2">[1]Tab5!$C$6</definedName>
    <definedName name="Dato_1årsiden" localSheetId="11">[1]Tab5!$C$6</definedName>
    <definedName name="Dato_1årsiden" localSheetId="12">[1]Tab5!$C$6</definedName>
    <definedName name="Dato_1årsiden" localSheetId="13">[1]Tab5!$C$6</definedName>
    <definedName name="Dato_1årsiden" localSheetId="14">[1]Tab5!$C$6</definedName>
    <definedName name="Dato_1årsiden" localSheetId="15">[1]Tab5!$C$6</definedName>
    <definedName name="Dato_1årsiden" localSheetId="16">[1]Tab5!$C$6</definedName>
    <definedName name="Dato_1årsiden" localSheetId="17">[1]Tab5!$C$6</definedName>
    <definedName name="Dato_1årsiden" localSheetId="18">[1]Tab5!$C$6</definedName>
    <definedName name="Dato_1årsiden" localSheetId="19">[1]Tab5!$C$6</definedName>
    <definedName name="Dato_1årsiden" localSheetId="20">[1]Tab5!$C$6</definedName>
    <definedName name="Dato_1årsiden" localSheetId="3">[1]Tab5!$C$6</definedName>
    <definedName name="Dato_1årsiden" localSheetId="4">[1]Tab5!$C$6</definedName>
    <definedName name="Dato_1årsiden" localSheetId="5">[1]Tab5!$C$6</definedName>
    <definedName name="Dato_1årsiden" localSheetId="6">[1]Tab5!$C$6</definedName>
    <definedName name="Dato_1årsiden" localSheetId="7">[1]Tab5!$C$6</definedName>
    <definedName name="Dato_1årsiden" localSheetId="8">[1]Tab5!$C$6</definedName>
    <definedName name="Dato_1årsiden" localSheetId="9">[1]Tab5!$C$6</definedName>
    <definedName name="Dato_1årsiden" localSheetId="10">[1]Tab5!$C$6</definedName>
    <definedName name="Dato_1årsiden">[2]Tab5!$C$6</definedName>
    <definedName name="Dato_2årsiden" localSheetId="1">[1]Tab5!$B$6</definedName>
    <definedName name="Dato_2årsiden" localSheetId="2">[1]Tab5!$B$6</definedName>
    <definedName name="Dato_2årsiden" localSheetId="11">[1]Tab5!$B$6</definedName>
    <definedName name="Dato_2årsiden" localSheetId="12">[1]Tab5!$B$6</definedName>
    <definedName name="Dato_2årsiden" localSheetId="13">[1]Tab5!$B$6</definedName>
    <definedName name="Dato_2årsiden" localSheetId="14">[1]Tab5!$B$6</definedName>
    <definedName name="Dato_2årsiden" localSheetId="15">[1]Tab5!$B$6</definedName>
    <definedName name="Dato_2årsiden" localSheetId="16">[1]Tab5!$B$6</definedName>
    <definedName name="Dato_2årsiden" localSheetId="17">[1]Tab5!$B$6</definedName>
    <definedName name="Dato_2årsiden" localSheetId="18">[1]Tab5!$B$6</definedName>
    <definedName name="Dato_2årsiden" localSheetId="19">[1]Tab5!$B$6</definedName>
    <definedName name="Dato_2årsiden" localSheetId="20">[1]Tab5!$B$6</definedName>
    <definedName name="Dato_2årsiden" localSheetId="3">[1]Tab5!$B$6</definedName>
    <definedName name="Dato_2årsiden" localSheetId="4">[1]Tab5!$B$6</definedName>
    <definedName name="Dato_2årsiden" localSheetId="5">[1]Tab5!$B$6</definedName>
    <definedName name="Dato_2årsiden" localSheetId="6">[1]Tab5!$B$6</definedName>
    <definedName name="Dato_2årsiden" localSheetId="7">[1]Tab5!$B$6</definedName>
    <definedName name="Dato_2årsiden" localSheetId="8">[1]Tab5!$B$6</definedName>
    <definedName name="Dato_2årsiden" localSheetId="9">[1]Tab5!$B$6</definedName>
    <definedName name="Dato_2årsiden" localSheetId="10">[1]Tab5!$B$6</definedName>
    <definedName name="Dato_nå" localSheetId="1">[1]Tab5!$D$6</definedName>
    <definedName name="Dato_nå" localSheetId="2">[1]Tab5!$D$6</definedName>
    <definedName name="Dato_nå" localSheetId="11">[1]Tab5!$D$6</definedName>
    <definedName name="Dato_nå" localSheetId="12">[1]Tab5!$D$6</definedName>
    <definedName name="Dato_nå" localSheetId="13">[1]Tab5!$D$6</definedName>
    <definedName name="Dato_nå" localSheetId="14">[1]Tab5!$D$6</definedName>
    <definedName name="Dato_nå" localSheetId="15">[1]Tab5!$D$6</definedName>
    <definedName name="Dato_nå" localSheetId="16">[1]Tab5!$D$6</definedName>
    <definedName name="Dato_nå" localSheetId="17">[1]Tab5!$D$6</definedName>
    <definedName name="Dato_nå" localSheetId="18">[1]Tab5!$D$6</definedName>
    <definedName name="Dato_nå" localSheetId="19">[1]Tab5!$D$6</definedName>
    <definedName name="Dato_nå" localSheetId="20">[1]Tab5!$D$6</definedName>
    <definedName name="Dato_nå" localSheetId="3">[1]Tab5!$D$6</definedName>
    <definedName name="Dato_nå" localSheetId="4">[1]Tab5!$D$6</definedName>
    <definedName name="Dato_nå" localSheetId="5">[1]Tab5!$D$6</definedName>
    <definedName name="Dato_nå" localSheetId="6">[1]Tab5!$D$6</definedName>
    <definedName name="Dato_nå" localSheetId="7">[1]Tab5!$D$6</definedName>
    <definedName name="Dato_nå" localSheetId="8">[1]Tab5!$D$6</definedName>
    <definedName name="Dato_nå" localSheetId="9">[1]Tab5!$D$6</definedName>
    <definedName name="Dato_nå" localSheetId="10">[1]Tab5!$D$6</definedName>
    <definedName name="Dato_nå">[2]Tab5!$D$6</definedName>
    <definedName name="_xlnm.Print_Area" localSheetId="0">Forside!$A$1:$I$55</definedName>
    <definedName name="_xlnm.Print_Area" localSheetId="1">Innhold!$B$4:$H$108</definedName>
    <definedName name="_xlnm.Print_Area" localSheetId="2">'Tab1'!$A$4:$G$52</definedName>
    <definedName name="_xlnm.Print_Area" localSheetId="11">'Tab10'!$A$4:$H$62</definedName>
    <definedName name="_xlnm.Print_Area" localSheetId="12">'Tab11'!$A$4:$H$62</definedName>
    <definedName name="_xlnm.Print_Area" localSheetId="13">'Tab12'!$A$4:$H$62</definedName>
    <definedName name="_xlnm.Print_Area" localSheetId="14">'Tab13'!$A$4:$H$62</definedName>
    <definedName name="_xlnm.Print_Area" localSheetId="15">'Tab14'!$A$4:$H$62</definedName>
    <definedName name="_xlnm.Print_Area" localSheetId="16">'Tab15'!$A$4:$H$62</definedName>
    <definedName name="_xlnm.Print_Area" localSheetId="17">'Tab16'!$A$4:$H$62</definedName>
    <definedName name="_xlnm.Print_Area" localSheetId="18">'Tab17'!$A$4:$H$62</definedName>
    <definedName name="_xlnm.Print_Area" localSheetId="19">'Tab18'!$A$4:$H$62</definedName>
    <definedName name="_xlnm.Print_Area" localSheetId="20">'Tab19'!$A$4:$N$53</definedName>
    <definedName name="_xlnm.Print_Area" localSheetId="3">'Tab2'!$A$4:$AJ$62</definedName>
    <definedName name="_xlnm.Print_Area" localSheetId="4">'Tab3'!$A$4:$H$62</definedName>
    <definedName name="_xlnm.Print_Area" localSheetId="5">'Tab4'!$A$4:$H$62</definedName>
    <definedName name="_xlnm.Print_Area" localSheetId="6">'Tab5'!$A$4:$H$62</definedName>
    <definedName name="_xlnm.Print_Area" localSheetId="7">'Tab6'!$A$4:$H$62</definedName>
    <definedName name="_xlnm.Print_Area" localSheetId="8">'Tab7'!$A$4:$H$62</definedName>
    <definedName name="_xlnm.Print_Area" localSheetId="9">'Tab8'!$A$4:$H$62</definedName>
    <definedName name="_xlnm.Print_Area" localSheetId="10">'Tab9'!$A$4:$H$62</definedName>
    <definedName name="ÅR_1årsiden" localSheetId="1">Innhold!$D$37</definedName>
    <definedName name="ÅR_1årsiden" localSheetId="2">'Tab1'!$C$35</definedName>
    <definedName name="ÅR_1årsiden" localSheetId="11">[3]Tab3!$D$6</definedName>
    <definedName name="ÅR_1årsiden" localSheetId="12">[3]Tab3!$D$6</definedName>
    <definedName name="ÅR_1årsiden" localSheetId="13">[3]Tab3!$D$6</definedName>
    <definedName name="ÅR_1årsiden" localSheetId="14">[3]Tab3!$D$6</definedName>
    <definedName name="ÅR_1årsiden" localSheetId="15">[3]Tab3!$D$6</definedName>
    <definedName name="ÅR_1årsiden" localSheetId="16">[3]Tab3!$D$6</definedName>
    <definedName name="ÅR_1årsiden" localSheetId="17">[3]Tab3!$D$6</definedName>
    <definedName name="ÅR_1årsiden" localSheetId="18">[3]Tab3!$D$6</definedName>
    <definedName name="ÅR_1årsiden" localSheetId="19">[3]Tab3!$D$6</definedName>
    <definedName name="ÅR_1årsiden" localSheetId="20">'Tab19'!$C$35</definedName>
    <definedName name="ÅR_1årsiden" localSheetId="3">'Tab2'!$D$37</definedName>
    <definedName name="ÅR_1årsiden" localSheetId="5">[3]Tab3!$D$6</definedName>
    <definedName name="ÅR_1årsiden" localSheetId="6">[3]Tab3!$D$6</definedName>
    <definedName name="ÅR_1årsiden" localSheetId="7">[3]Tab3!$D$6</definedName>
    <definedName name="ÅR_1årsiden" localSheetId="8">[3]Tab3!$D$6</definedName>
    <definedName name="ÅR_1årsiden" localSheetId="9">[3]Tab3!$D$6</definedName>
    <definedName name="ÅR_1årsiden" localSheetId="10">[3]Tab3!$D$6</definedName>
    <definedName name="ÅR_1årsiden">'Tab3'!$D$35</definedName>
    <definedName name="ÅR_2årsiden" localSheetId="1">Innhold!$C$37</definedName>
    <definedName name="ÅR_2årsiden" localSheetId="2">'Tab1'!$B$35</definedName>
    <definedName name="ÅR_2årsiden" localSheetId="11">[3]Tab3!$C$6</definedName>
    <definedName name="ÅR_2årsiden" localSheetId="12">[3]Tab3!$C$6</definedName>
    <definedName name="ÅR_2årsiden" localSheetId="13">[3]Tab3!$C$6</definedName>
    <definedName name="ÅR_2årsiden" localSheetId="14">[3]Tab3!$C$6</definedName>
    <definedName name="ÅR_2årsiden" localSheetId="15">[3]Tab3!$C$6</definedName>
    <definedName name="ÅR_2årsiden" localSheetId="16">[3]Tab3!$C$6</definedName>
    <definedName name="ÅR_2årsiden" localSheetId="17">[3]Tab3!$C$6</definedName>
    <definedName name="ÅR_2årsiden" localSheetId="18">[3]Tab3!$C$6</definedName>
    <definedName name="ÅR_2årsiden" localSheetId="19">[3]Tab3!$C$6</definedName>
    <definedName name="ÅR_2årsiden" localSheetId="20">'Tab19'!$B$35</definedName>
    <definedName name="ÅR_2årsiden" localSheetId="3">'Tab2'!$C$37</definedName>
    <definedName name="ÅR_2årsiden" localSheetId="5">[3]Tab3!$C$6</definedName>
    <definedName name="ÅR_2årsiden" localSheetId="6">[3]Tab3!$C$6</definedName>
    <definedName name="ÅR_2årsiden" localSheetId="7">[3]Tab3!$C$6</definedName>
    <definedName name="ÅR_2årsiden" localSheetId="8">[3]Tab3!$C$6</definedName>
    <definedName name="ÅR_2årsiden" localSheetId="9">[3]Tab3!$C$6</definedName>
    <definedName name="ÅR_2årsiden" localSheetId="10">[3]Tab3!$C$6</definedName>
    <definedName name="ÅR_2årsiden">'Tab3'!$C$35</definedName>
    <definedName name="ÅR_nå" localSheetId="1">Innhold!$E$37</definedName>
    <definedName name="ÅR_nå" localSheetId="2">'Tab1'!$D$35</definedName>
    <definedName name="ÅR_nå" localSheetId="11">[3]Tab3!$E$6</definedName>
    <definedName name="ÅR_nå" localSheetId="12">[3]Tab3!$E$6</definedName>
    <definedName name="ÅR_nå" localSheetId="13">[3]Tab3!$E$6</definedName>
    <definedName name="ÅR_nå" localSheetId="14">[3]Tab3!$E$6</definedName>
    <definedName name="ÅR_nå" localSheetId="15">[3]Tab3!$E$6</definedName>
    <definedName name="ÅR_nå" localSheetId="16">[3]Tab3!$E$6</definedName>
    <definedName name="ÅR_nå" localSheetId="17">[3]Tab3!$E$6</definedName>
    <definedName name="ÅR_nå" localSheetId="18">[3]Tab3!$E$6</definedName>
    <definedName name="ÅR_nå" localSheetId="19">[3]Tab3!$E$6</definedName>
    <definedName name="ÅR_nå" localSheetId="20">'Tab19'!$D$35</definedName>
    <definedName name="ÅR_nå" localSheetId="3">'Tab2'!$E$37</definedName>
    <definedName name="ÅR_nå" localSheetId="5">[3]Tab3!$E$6</definedName>
    <definedName name="ÅR_nå" localSheetId="6">[3]Tab3!$E$6</definedName>
    <definedName name="ÅR_nå" localSheetId="7">[3]Tab3!$E$6</definedName>
    <definedName name="ÅR_nå" localSheetId="8">[3]Tab3!$E$6</definedName>
    <definedName name="ÅR_nå" localSheetId="9">[3]Tab3!$E$6</definedName>
    <definedName name="ÅR_nå" localSheetId="10">[3]Tab3!$E$6</definedName>
    <definedName name="ÅR_nå">'Tab3'!$E$35</definedName>
    <definedName name="ÅR_pt" localSheetId="1">Innhold!$E$37</definedName>
    <definedName name="ÅR_pt" localSheetId="2">'Tab1'!$D$35</definedName>
    <definedName name="ÅR_pt" localSheetId="20">'Tab19'!$D$35</definedName>
    <definedName name="ÅR_pt" localSheetId="3">'Tab2'!$E$37</definedName>
    <definedName name="ÅR_pt">'Tab3'!$E$35</definedName>
  </definedNames>
  <calcPr calcId="125725"/>
</workbook>
</file>

<file path=xl/calcChain.xml><?xml version="1.0" encoding="utf-8"?>
<calcChain xmlns="http://schemas.openxmlformats.org/spreadsheetml/2006/main">
  <c r="H107" i="21"/>
  <c r="T191" i="19"/>
  <c r="Q191"/>
  <c r="N191"/>
  <c r="D191"/>
  <c r="C191"/>
  <c r="I69"/>
  <c r="N190"/>
  <c r="Q190"/>
  <c r="T190"/>
  <c r="C190"/>
  <c r="D190"/>
  <c r="N189"/>
  <c r="Q189"/>
  <c r="T189"/>
  <c r="D189"/>
  <c r="C189"/>
  <c r="T188"/>
  <c r="Q188"/>
  <c r="N188"/>
  <c r="N187"/>
  <c r="D188"/>
  <c r="C188"/>
  <c r="T187"/>
  <c r="Q187"/>
  <c r="D187"/>
  <c r="C187"/>
  <c r="N186"/>
  <c r="Q186"/>
  <c r="C186"/>
  <c r="D186"/>
  <c r="B15" i="21"/>
  <c r="AD32" i="19"/>
  <c r="B20" i="21" s="1"/>
  <c r="AD6" i="19"/>
  <c r="B19" i="21" s="1"/>
  <c r="H71"/>
  <c r="T186" i="19" l="1"/>
  <c r="D185"/>
  <c r="C185"/>
  <c r="D184"/>
  <c r="C184"/>
  <c r="N181"/>
  <c r="D183"/>
  <c r="C183"/>
  <c r="D182"/>
  <c r="C182"/>
  <c r="C181"/>
  <c r="D181"/>
  <c r="C180"/>
  <c r="D180"/>
  <c r="I32"/>
  <c r="B14" i="21" s="1"/>
  <c r="N108" i="19"/>
  <c r="D179"/>
  <c r="C179"/>
  <c r="H108" i="21"/>
  <c r="D178" i="19"/>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c r="D122" s="1"/>
  <c r="C124"/>
  <c r="C125" s="1"/>
  <c r="C126" s="1"/>
  <c r="D124"/>
  <c r="D125" s="1"/>
  <c r="D126" s="1"/>
  <c r="C128"/>
  <c r="D128"/>
  <c r="D129" s="1"/>
  <c r="D130" s="1"/>
  <c r="C129"/>
  <c r="C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4" i="21"/>
  <c r="H26" s="1"/>
  <c r="N185" i="19" l="1"/>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AJ61"/>
  <c r="V62"/>
  <c r="N53" i="24"/>
  <c r="AJ62" i="19"/>
  <c r="H28" i="21"/>
  <c r="H29" s="1"/>
  <c r="H31" s="1"/>
  <c r="H32" s="1"/>
  <c r="H27"/>
  <c r="H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H61"/>
  <c r="N52" i="24"/>
  <c r="X125" i="19"/>
  <c r="X84"/>
  <c r="W84"/>
  <c r="W125"/>
  <c r="B52" i="21"/>
  <c r="A52" i="23"/>
  <c r="W62" i="19"/>
  <c r="I62"/>
  <c r="A53" i="24"/>
  <c r="H33" i="21"/>
  <c r="H34" s="1"/>
  <c r="H35" s="1"/>
  <c r="H36" s="1"/>
  <c r="H37" s="1"/>
  <c r="H38" s="1"/>
  <c r="H40" s="1"/>
  <c r="H43" s="1"/>
  <c r="B51"/>
  <c r="V61" i="19"/>
  <c r="X124"/>
  <c r="A51" i="23"/>
  <c r="W61" i="19"/>
  <c r="I61"/>
  <c r="A52" i="24"/>
  <c r="X133" i="19"/>
  <c r="X131"/>
  <c r="X86"/>
  <c r="X92"/>
  <c r="Y121"/>
  <c r="O194"/>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I6"/>
  <c r="B13" i="21" s="1"/>
  <c r="X128" i="19"/>
  <c r="Y70"/>
  <c r="W114"/>
  <c r="W121"/>
  <c r="X101" l="1"/>
  <c r="R194"/>
  <c r="P194"/>
  <c r="W6"/>
  <c r="B17" i="21" s="1"/>
  <c r="W32" i="19"/>
  <c r="B18" i="21" s="1"/>
  <c r="P32" i="19"/>
  <c r="B16" i="21" s="1"/>
  <c r="A6" i="19"/>
  <c r="B11" i="21" s="1"/>
  <c r="A32" i="19"/>
  <c r="B12" i="21" s="1"/>
  <c r="S194" i="19"/>
  <c r="X77"/>
  <c r="X91"/>
  <c r="W83"/>
  <c r="W91"/>
  <c r="X89"/>
  <c r="W87"/>
  <c r="W112"/>
  <c r="X103"/>
  <c r="W106"/>
  <c r="X129"/>
  <c r="X114"/>
  <c r="W117"/>
  <c r="X106"/>
  <c r="X85"/>
  <c r="W90"/>
  <c r="X102"/>
  <c r="W85"/>
  <c r="W101"/>
  <c r="X75"/>
  <c r="W88"/>
  <c r="Z76"/>
  <c r="Y88"/>
  <c r="W122"/>
  <c r="X122"/>
  <c r="Y133"/>
  <c r="Y85"/>
  <c r="W103"/>
  <c r="X112"/>
  <c r="W102"/>
  <c r="W113"/>
  <c r="L194"/>
  <c r="X117"/>
  <c r="X113"/>
  <c r="M194"/>
  <c r="X74"/>
  <c r="X72"/>
  <c r="H41" i="21"/>
  <c r="W89" i="19"/>
  <c r="X123"/>
  <c r="X130"/>
  <c r="Y123"/>
  <c r="E193"/>
  <c r="Y129"/>
  <c r="X76"/>
  <c r="Z74"/>
  <c r="X83"/>
  <c r="Y83"/>
  <c r="Y91"/>
  <c r="W92"/>
  <c r="Y92"/>
  <c r="X87"/>
  <c r="X90"/>
  <c r="X88"/>
  <c r="Y122"/>
  <c r="Y124"/>
  <c r="X82"/>
  <c r="X100" s="1"/>
  <c r="X111" s="1"/>
  <c r="W124"/>
  <c r="Y130"/>
  <c r="W130"/>
  <c r="Y72"/>
  <c r="Y74"/>
  <c r="Y76"/>
  <c r="Y77"/>
  <c r="Z72"/>
  <c r="Y75"/>
  <c r="W131"/>
  <c r="Y131" l="1"/>
  <c r="Y106"/>
  <c r="Y112"/>
  <c r="Y117"/>
  <c r="Y125"/>
  <c r="Y103"/>
  <c r="Y87"/>
  <c r="G193"/>
  <c r="Z77"/>
  <c r="Y101"/>
  <c r="Z75"/>
  <c r="X104"/>
  <c r="R193"/>
  <c r="R192" s="1"/>
  <c r="S193"/>
  <c r="S192" s="1"/>
  <c r="P193"/>
  <c r="P192" s="1"/>
  <c r="O193"/>
  <c r="O192" s="1"/>
  <c r="L193"/>
  <c r="L192" s="1"/>
  <c r="X78"/>
  <c r="Y89"/>
  <c r="M193"/>
  <c r="M192" s="1"/>
  <c r="W93"/>
  <c r="W95" s="1"/>
  <c r="Y114"/>
  <c r="Y102"/>
  <c r="Y113"/>
  <c r="H45" i="21"/>
  <c r="H46" s="1"/>
  <c r="H44"/>
  <c r="X115" i="19"/>
  <c r="Y132"/>
  <c r="Y84"/>
  <c r="Y86"/>
  <c r="Y90"/>
  <c r="W104"/>
  <c r="W115"/>
  <c r="X93"/>
  <c r="X95" s="1"/>
  <c r="N179"/>
  <c r="Y78"/>
  <c r="Z78" l="1"/>
  <c r="H56" i="21"/>
  <c r="H57" s="1"/>
  <c r="H59" s="1"/>
  <c r="H60" s="1"/>
  <c r="H62" s="1"/>
  <c r="H63" s="1"/>
  <c r="H65" s="1"/>
  <c r="H66" s="1"/>
  <c r="H68" s="1"/>
  <c r="H69" s="1"/>
  <c r="Y93" i="19"/>
  <c r="Y95" s="1"/>
  <c r="Y115"/>
  <c r="Y104"/>
  <c r="N182"/>
</calcChain>
</file>

<file path=xl/sharedStrings.xml><?xml version="1.0" encoding="utf-8"?>
<sst xmlns="http://schemas.openxmlformats.org/spreadsheetml/2006/main" count="1367" uniqueCount="229">
  <si>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</si>
  <si>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</si>
  <si>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</si>
  <si>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</si>
  <si>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</si>
  <si>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</si>
  <si>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</si>
  <si>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</si>
  <si>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</si>
  <si>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</si>
  <si>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</si>
  <si>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</si>
  <si>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</si>
  <si>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</si>
  <si>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</si>
  <si>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</si>
  <si>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</si>
  <si>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</si>
  <si>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</si>
  <si>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</si>
  <si>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</si>
  <si>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</si>
  <si>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</si>
  <si>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Andre kaskoskader</t>
  </si>
  <si>
    <t>Rettshjelp</t>
  </si>
  <si>
    <t>Reisegods</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</si>
  <si>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</si>
  <si>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</si>
  <si>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</si>
  <si>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</si>
  <si>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</si>
  <si>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</si>
  <si>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</si>
  <si>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</si>
  <si>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</si>
  <si>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</si>
  <si>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</si>
  <si>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</si>
  <si>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</si>
  <si>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</si>
  <si>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</si>
  <si>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</si>
  <si>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</si>
  <si>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</si>
  <si>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</si>
  <si>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</si>
  <si>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</si>
  <si>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</si>
  <si>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Brann avbrudd</t>
  </si>
  <si>
    <t>Sykdom</t>
  </si>
  <si>
    <t>Individuell</t>
  </si>
  <si>
    <t>Kollektiv</t>
  </si>
  <si>
    <t>Reiseulykke</t>
  </si>
  <si>
    <t>Reisesyke</t>
  </si>
  <si>
    <t>Avbestilling</t>
  </si>
  <si>
    <t>Andre skader</t>
  </si>
  <si>
    <t>Fritidsbåt i alt</t>
  </si>
  <si>
    <t>Havari</t>
  </si>
  <si>
    <t>Produktansvar person</t>
  </si>
  <si>
    <t>Produktansvar ting</t>
  </si>
  <si>
    <t>Bedriftsansvar ting</t>
  </si>
  <si>
    <t>Garanti</t>
  </si>
  <si>
    <t>Annen sykdom</t>
  </si>
  <si>
    <t>Annen ulykke</t>
  </si>
  <si>
    <t>Trygghetsforsikring i alt</t>
  </si>
  <si>
    <t>Yrkesskadeforsikring i alt</t>
  </si>
  <si>
    <t>Tabell 3.2 Yrkesskadeforsikring, anslått erstatning etter skadetype</t>
  </si>
  <si>
    <t>Ulykkesforsikring i alt</t>
  </si>
  <si>
    <t>Individuell ulykke</t>
  </si>
  <si>
    <t>Kollektiv ulykke</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</si>
  <si>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</si>
  <si>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</si>
  <si>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</si>
  <si>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</si>
  <si>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</si>
  <si>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</si>
  <si>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</si>
  <si>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</si>
  <si>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</si>
  <si>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Fiskeoppdrett i alt</t>
  </si>
  <si>
    <t>Sykdomsskader</t>
  </si>
  <si>
    <t>Algeskader</t>
  </si>
  <si>
    <t>Hull i not</t>
  </si>
  <si>
    <t>Havariskade pga. uvær</t>
  </si>
  <si>
    <t>Skade på flytende installasjon</t>
  </si>
  <si>
    <t>Tabell 4.8 Fiskeoppdrett, anslått erstatning etter skadetype</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</si>
  <si>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</si>
  <si>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</si>
  <si>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</si>
  <si>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</si>
  <si>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</si>
  <si>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</si>
  <si>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</si>
  <si>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</si>
  <si>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</si>
  <si>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</si>
  <si>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</si>
  <si>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</si>
  <si>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</si>
  <si>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</si>
  <si>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</si>
  <si>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</si>
  <si>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</si>
  <si>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</si>
  <si>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landbasert forsikring</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</si>
  <si>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</si>
  <si>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</si>
  <si>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</si>
  <si>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</si>
  <si>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</si>
  <si>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</si>
  <si>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</si>
  <si>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</si>
  <si>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</si>
  <si>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</si>
  <si>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</si>
  <si>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</si>
  <si>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</si>
  <si>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</si>
  <si>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</si>
  <si>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</si>
  <si>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</si>
  <si>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</si>
  <si>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</si>
  <si>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4.8 Fiskeoppdrett, anslått erstatning etter skadetype …………………………………………………………………….</t>
  </si>
  <si>
    <t>Tabell 4.2 Reiseforsikring, anslått erstatning etter skadetype……………………………………………………………</t>
  </si>
  <si>
    <t>Antall</t>
  </si>
  <si>
    <t xml:space="preserve">Hittil i år </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</si>
  <si>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</si>
  <si>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</si>
  <si>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</si>
  <si>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</si>
  <si>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</si>
  <si>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</si>
  <si>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</si>
  <si>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</si>
  <si>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</si>
  <si>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</si>
  <si>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</si>
  <si>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</si>
  <si>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</si>
  <si>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</si>
  <si>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</si>
  <si>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</si>
  <si>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</si>
  <si>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</si>
  <si>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</si>
  <si>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</si>
  <si>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</si>
  <si>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</si>
  <si>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Tab19</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</si>
  <si>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</si>
  <si>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</si>
  <si>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</si>
  <si>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</si>
  <si>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</si>
  <si>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</si>
  <si>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</si>
  <si>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</si>
  <si>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</si>
  <si>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</si>
  <si>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</si>
  <si>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</si>
  <si>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</si>
  <si>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</si>
  <si>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4.7 Fiskeoppdrett,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</si>
  <si>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</si>
  <si>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</si>
  <si>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</si>
  <si>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</si>
  <si>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</si>
  <si>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</si>
  <si>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</si>
  <si>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</si>
  <si>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</si>
  <si>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</si>
  <si>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</si>
  <si>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</si>
  <si>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</si>
  <si>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Tabell 4.7 Fiskeoppdrett, antall meldte skader etter skadetype</t>
  </si>
  <si>
    <t>SKADESTATISTIKK</t>
  </si>
  <si>
    <t>Statistikk over antall meldte skader</t>
  </si>
  <si>
    <t>og totalt anslåtte erstatninger</t>
  </si>
  <si>
    <t>Erstatning</t>
  </si>
  <si>
    <t>Just. erst.</t>
  </si>
  <si>
    <t>KPI</t>
  </si>
  <si>
    <t>Fra tab:</t>
  </si>
  <si>
    <t>Vannskader</t>
  </si>
  <si>
    <t>Fig. 3. Ansl. erstat. etter bransje</t>
  </si>
  <si>
    <t>enkelte helseprodukter har vært inkludert.</t>
  </si>
  <si>
    <t>NB. Antall trygghetsskader har i tidligere statistikker vært noe høyere fordi</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</si>
  <si>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</si>
  <si>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</si>
  <si>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</si>
  <si>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</si>
  <si>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</si>
  <si>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</si>
  <si>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</si>
  <si>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</si>
  <si>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</si>
  <si>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</si>
  <si>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punkt 4. Prinsipper, begreper og definisjoner på side 25.</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</si>
  <si>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</si>
  <si>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</si>
  <si>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</si>
  <si>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</si>
  <si>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</si>
  <si>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</si>
  <si>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</si>
  <si>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</si>
  <si>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</si>
  <si>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</si>
  <si>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</si>
  <si>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</si>
  <si>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</si>
  <si>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</si>
  <si>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</si>
  <si>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</si>
  <si>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(2012)</t>
  </si>
  <si>
    <t>1. kvartal 2013</t>
  </si>
  <si>
    <t>SKADESTATISTIKK - 4/13</t>
  </si>
  <si>
    <t>24. mai  2013</t>
  </si>
  <si>
    <t>11-13</t>
  </si>
  <si>
    <t>12-13</t>
  </si>
  <si>
    <t>*</t>
  </si>
  <si>
    <t>Finans Norge / Skadestatistikk - 4/13</t>
  </si>
  <si>
    <t>Skadestatistikk for landbasert forsikring 1. kvartal 2013</t>
  </si>
  <si>
    <t>1.kvartal</t>
  </si>
  <si>
    <t/>
  </si>
</sst>
</file>

<file path=xl/styles.xml><?xml version="1.0" encoding="utf-8"?>
<styleSheet xmlns="http://schemas.openxmlformats.org/spreadsheetml/2006/main">
  <numFmts count="7">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37">
    <font>
      <sz val="10"/>
      <name val="Arial"/>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14"/>
      <color theme="0"/>
      <name val="Cambria"/>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sz val="10"/>
      <color theme="0"/>
      <name val="Times New Roman"/>
      <family val="1"/>
    </font>
    <font>
      <b/>
      <sz val="10"/>
      <color theme="0"/>
      <name val="Times New Roman"/>
      <family val="1"/>
    </font>
    <font>
      <b/>
      <sz val="10"/>
      <color theme="0"/>
      <name val="Arial"/>
      <family val="2"/>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rgb="FFB51E3A"/>
        <bgColor indexed="64"/>
      </patternFill>
    </fill>
    <fill>
      <patternFill patternType="solid">
        <fgColor rgb="FFC00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9">
    <xf numFmtId="0" fontId="0"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2" fillId="0" borderId="0"/>
  </cellStyleXfs>
  <cellXfs count="161">
    <xf numFmtId="0" fontId="0" fillId="0" borderId="0" xfId="0"/>
    <xf numFmtId="0" fontId="4" fillId="0" borderId="0" xfId="0" applyFont="1"/>
    <xf numFmtId="0" fontId="4" fillId="0" borderId="0" xfId="0" applyFont="1" applyAlignment="1" applyProtection="1">
      <alignment horizontal="left"/>
    </xf>
    <xf numFmtId="0" fontId="5" fillId="0" borderId="0" xfId="2" applyFont="1" applyAlignment="1" applyProtection="1">
      <alignment horizontal="left"/>
    </xf>
    <xf numFmtId="0" fontId="6" fillId="2" borderId="0" xfId="0" applyFont="1" applyFill="1" applyBorder="1"/>
    <xf numFmtId="165" fontId="7" fillId="0" borderId="0" xfId="0" applyNumberFormat="1" applyFont="1" applyProtection="1"/>
    <xf numFmtId="0" fontId="7" fillId="0" borderId="0" xfId="0" applyFont="1"/>
    <xf numFmtId="0" fontId="8" fillId="2" borderId="1" xfId="0" applyFont="1" applyFill="1" applyBorder="1"/>
    <xf numFmtId="0" fontId="8" fillId="2" borderId="2" xfId="0" applyFont="1" applyFill="1" applyBorder="1" applyAlignment="1">
      <alignment horizontal="center"/>
    </xf>
    <xf numFmtId="0" fontId="8" fillId="2" borderId="3" xfId="0" applyFont="1" applyFill="1" applyBorder="1"/>
    <xf numFmtId="0" fontId="7" fillId="2" borderId="2" xfId="0" applyFont="1" applyFill="1" applyBorder="1"/>
    <xf numFmtId="0" fontId="7" fillId="2" borderId="4" xfId="0" applyFont="1" applyFill="1" applyBorder="1"/>
    <xf numFmtId="0" fontId="8" fillId="2" borderId="5" xfId="0" applyFont="1" applyFill="1" applyBorder="1" applyAlignment="1">
      <alignment horizontal="left"/>
    </xf>
    <xf numFmtId="14" fontId="8" fillId="2" borderId="6"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8" xfId="0" applyNumberFormat="1" applyFont="1" applyFill="1" applyBorder="1" applyAlignment="1">
      <alignment horizontal="right"/>
    </xf>
    <xf numFmtId="14" fontId="8" fillId="2" borderId="7" xfId="0" applyNumberFormat="1" applyFont="1" applyFill="1" applyBorder="1" applyAlignment="1">
      <alignment horizontal="right"/>
    </xf>
    <xf numFmtId="14" fontId="8" fillId="2" borderId="9" xfId="0" applyNumberFormat="1" applyFont="1" applyFill="1" applyBorder="1" applyAlignment="1">
      <alignment horizontal="right"/>
    </xf>
    <xf numFmtId="0" fontId="7" fillId="0" borderId="10" xfId="0" applyFont="1" applyBorder="1"/>
    <xf numFmtId="3" fontId="7" fillId="0" borderId="0" xfId="1" applyNumberFormat="1" applyFont="1" applyProtection="1"/>
    <xf numFmtId="3" fontId="7" fillId="0" borderId="0" xfId="1" applyNumberFormat="1" applyFont="1" applyBorder="1" applyProtection="1"/>
    <xf numFmtId="167" fontId="7" fillId="0" borderId="11" xfId="1" applyNumberFormat="1" applyFont="1" applyBorder="1" applyAlignment="1" applyProtection="1">
      <alignment horizontal="right"/>
    </xf>
    <xf numFmtId="165" fontId="7" fillId="0" borderId="0" xfId="0" applyNumberFormat="1" applyFont="1" applyAlignment="1" applyProtection="1">
      <alignment horizontal="right"/>
    </xf>
    <xf numFmtId="165" fontId="7" fillId="0" borderId="12" xfId="0" applyNumberFormat="1" applyFont="1" applyBorder="1" applyAlignment="1">
      <alignment horizontal="right"/>
    </xf>
    <xf numFmtId="0" fontId="10" fillId="0" borderId="13" xfId="0" applyFont="1" applyBorder="1"/>
    <xf numFmtId="3" fontId="7" fillId="0" borderId="14" xfId="1" applyNumberFormat="1" applyFont="1" applyBorder="1" applyProtection="1"/>
    <xf numFmtId="167" fontId="7" fillId="0" borderId="13" xfId="1" applyNumberFormat="1" applyFont="1" applyBorder="1" applyProtection="1"/>
    <xf numFmtId="165" fontId="7" fillId="0" borderId="14" xfId="0" applyNumberFormat="1" applyFont="1" applyBorder="1" applyAlignment="1" applyProtection="1">
      <alignment horizontal="right"/>
    </xf>
    <xf numFmtId="165" fontId="7" fillId="0" borderId="15" xfId="0" applyNumberFormat="1" applyFont="1" applyBorder="1" applyAlignment="1">
      <alignment horizontal="right"/>
    </xf>
    <xf numFmtId="0" fontId="7" fillId="0" borderId="16" xfId="0" applyFont="1" applyBorder="1"/>
    <xf numFmtId="0" fontId="7" fillId="0" borderId="11" xfId="0" applyFont="1" applyBorder="1"/>
    <xf numFmtId="165" fontId="7" fillId="0" borderId="17" xfId="0" applyNumberFormat="1" applyFont="1" applyBorder="1" applyAlignment="1" applyProtection="1">
      <alignment horizontal="right"/>
    </xf>
    <xf numFmtId="165" fontId="7" fillId="0" borderId="18" xfId="0" applyNumberFormat="1" applyFont="1" applyBorder="1" applyAlignment="1">
      <alignment horizontal="right"/>
    </xf>
    <xf numFmtId="0" fontId="7" fillId="0" borderId="19" xfId="0" applyFont="1" applyBorder="1"/>
    <xf numFmtId="0" fontId="10" fillId="0" borderId="11" xfId="0" applyFont="1" applyBorder="1"/>
    <xf numFmtId="167" fontId="7" fillId="0" borderId="11" xfId="1" applyNumberFormat="1" applyFont="1" applyBorder="1" applyProtection="1"/>
    <xf numFmtId="165" fontId="7" fillId="0" borderId="20" xfId="0" applyNumberFormat="1" applyFont="1" applyBorder="1" applyAlignment="1" applyProtection="1">
      <alignment horizontal="right"/>
    </xf>
    <xf numFmtId="0" fontId="7" fillId="0" borderId="21" xfId="0" applyFont="1" applyBorder="1"/>
    <xf numFmtId="3" fontId="7" fillId="0" borderId="22" xfId="1" applyNumberFormat="1" applyFont="1" applyBorder="1" applyProtection="1"/>
    <xf numFmtId="167" fontId="7" fillId="0" borderId="21" xfId="1" applyNumberFormat="1" applyFont="1" applyBorder="1" applyAlignment="1" applyProtection="1">
      <alignment horizontal="right"/>
    </xf>
    <xf numFmtId="165" fontId="7" fillId="0" borderId="22" xfId="0" applyNumberFormat="1" applyFont="1" applyBorder="1" applyAlignment="1" applyProtection="1">
      <alignment horizontal="right"/>
    </xf>
    <xf numFmtId="165" fontId="7" fillId="0" borderId="0" xfId="0" applyNumberFormat="1" applyFont="1" applyBorder="1" applyAlignment="1" applyProtection="1">
      <alignment horizontal="right"/>
    </xf>
    <xf numFmtId="0" fontId="7" fillId="0" borderId="23" xfId="0" applyFont="1" applyBorder="1"/>
    <xf numFmtId="3" fontId="7" fillId="0" borderId="0" xfId="1" applyNumberFormat="1" applyFont="1"/>
    <xf numFmtId="0" fontId="8" fillId="0" borderId="24" xfId="0" applyFont="1" applyBorder="1"/>
    <xf numFmtId="0" fontId="10" fillId="0" borderId="25" xfId="0" applyFont="1" applyBorder="1"/>
    <xf numFmtId="3" fontId="7" fillId="0" borderId="26" xfId="1" applyNumberFormat="1" applyFont="1" applyBorder="1" applyProtection="1"/>
    <xf numFmtId="167" fontId="7" fillId="0" borderId="25" xfId="1" applyNumberFormat="1" applyFont="1" applyBorder="1" applyProtection="1"/>
    <xf numFmtId="165" fontId="7" fillId="0" borderId="27" xfId="0" applyNumberFormat="1" applyFont="1" applyBorder="1" applyAlignment="1" applyProtection="1">
      <alignment horizontal="right"/>
    </xf>
    <xf numFmtId="165" fontId="7" fillId="0" borderId="28" xfId="0" applyNumberFormat="1" applyFont="1" applyBorder="1" applyAlignment="1">
      <alignment horizontal="right"/>
    </xf>
    <xf numFmtId="0" fontId="11" fillId="0" borderId="0" xfId="0" applyFont="1" applyBorder="1"/>
    <xf numFmtId="0" fontId="12" fillId="0" borderId="0" xfId="0" applyFont="1" applyBorder="1"/>
    <xf numFmtId="167" fontId="4" fillId="0" borderId="0" xfId="1" applyNumberFormat="1" applyFont="1" applyBorder="1" applyProtection="1"/>
    <xf numFmtId="165" fontId="4" fillId="0" borderId="0" xfId="0" applyNumberFormat="1" applyFont="1" applyBorder="1" applyAlignment="1" applyProtection="1">
      <alignment horizontal="right"/>
    </xf>
    <xf numFmtId="165" fontId="4" fillId="0" borderId="0" xfId="0" applyNumberFormat="1" applyFont="1" applyBorder="1" applyAlignment="1">
      <alignment horizontal="right"/>
    </xf>
    <xf numFmtId="0" fontId="4" fillId="0" borderId="6" xfId="0" applyFont="1" applyBorder="1"/>
    <xf numFmtId="0" fontId="14" fillId="0" borderId="0" xfId="0" applyFont="1" applyAlignment="1">
      <alignment horizontal="right"/>
    </xf>
    <xf numFmtId="0" fontId="14" fillId="0" borderId="0" xfId="0" applyFont="1" applyAlignment="1">
      <alignment horizontal="left"/>
    </xf>
    <xf numFmtId="167" fontId="4" fillId="0" borderId="0" xfId="1" applyNumberFormat="1" applyFont="1" applyBorder="1" applyAlignment="1" applyProtection="1">
      <alignment horizontal="center"/>
    </xf>
    <xf numFmtId="0" fontId="7" fillId="0" borderId="24" xfId="0" applyFont="1" applyBorder="1"/>
    <xf numFmtId="165" fontId="7" fillId="0" borderId="26" xfId="0" applyNumberFormat="1" applyFont="1" applyBorder="1" applyAlignment="1" applyProtection="1">
      <alignment horizontal="right"/>
    </xf>
    <xf numFmtId="0" fontId="7" fillId="0" borderId="0" xfId="0" applyFont="1" applyBorder="1"/>
    <xf numFmtId="167" fontId="7" fillId="0" borderId="0" xfId="1" applyNumberFormat="1" applyFont="1" applyBorder="1" applyAlignment="1" applyProtection="1">
      <alignment horizontal="right"/>
    </xf>
    <xf numFmtId="165" fontId="7" fillId="0" borderId="0" xfId="0" applyNumberFormat="1" applyFont="1" applyBorder="1" applyAlignment="1">
      <alignment horizontal="right"/>
    </xf>
    <xf numFmtId="0" fontId="4" fillId="0" borderId="0" xfId="0" applyFont="1" applyBorder="1"/>
    <xf numFmtId="0" fontId="10" fillId="0" borderId="0" xfId="0" applyFont="1" applyBorder="1"/>
    <xf numFmtId="167" fontId="7" fillId="0" borderId="0" xfId="1" applyNumberFormat="1" applyFont="1" applyBorder="1" applyProtection="1"/>
    <xf numFmtId="3" fontId="7" fillId="0" borderId="0" xfId="1" applyNumberFormat="1" applyFont="1" applyBorder="1"/>
    <xf numFmtId="0" fontId="8" fillId="0" borderId="0" xfId="0" applyFont="1" applyBorder="1"/>
    <xf numFmtId="0" fontId="6" fillId="2" borderId="0" xfId="0" applyFont="1" applyFill="1" applyBorder="1" applyAlignment="1"/>
    <xf numFmtId="0" fontId="4" fillId="0" borderId="0" xfId="0" applyFont="1" applyAlignment="1"/>
    <xf numFmtId="0" fontId="16" fillId="0" borderId="0" xfId="0" applyFont="1"/>
    <xf numFmtId="0" fontId="17" fillId="0" borderId="0" xfId="0" applyFont="1"/>
    <xf numFmtId="0" fontId="18" fillId="0" borderId="0" xfId="0" applyFont="1"/>
    <xf numFmtId="1" fontId="18" fillId="0" borderId="0" xfId="0" applyNumberFormat="1" applyFont="1"/>
    <xf numFmtId="1" fontId="0" fillId="0" borderId="0" xfId="0" applyNumberFormat="1"/>
    <xf numFmtId="0" fontId="20" fillId="0" borderId="0" xfId="0" applyFont="1"/>
    <xf numFmtId="0" fontId="20" fillId="0" borderId="0" xfId="0" applyFont="1" applyAlignment="1">
      <alignment horizontal="center"/>
    </xf>
    <xf numFmtId="0" fontId="6" fillId="0" borderId="0" xfId="0" applyFont="1" applyAlignment="1">
      <alignment horizontal="left"/>
    </xf>
    <xf numFmtId="0" fontId="20" fillId="0" borderId="0" xfId="0" applyFont="1" applyAlignment="1">
      <alignment horizontal="left"/>
    </xf>
    <xf numFmtId="0" fontId="4" fillId="0" borderId="0" xfId="0" quotePrefix="1" applyFont="1"/>
    <xf numFmtId="0" fontId="0" fillId="0" borderId="0" xfId="0" applyAlignment="1">
      <alignment horizontal="left"/>
    </xf>
    <xf numFmtId="3" fontId="7" fillId="0" borderId="29" xfId="1" applyNumberFormat="1" applyFont="1" applyBorder="1" applyProtection="1"/>
    <xf numFmtId="166" fontId="7" fillId="0" borderId="0" xfId="1" applyNumberFormat="1" applyFont="1" applyProtection="1"/>
    <xf numFmtId="166" fontId="7" fillId="0" borderId="29" xfId="1" applyNumberFormat="1" applyFont="1" applyBorder="1" applyProtection="1"/>
    <xf numFmtId="166" fontId="7" fillId="0" borderId="14" xfId="1" applyNumberFormat="1" applyFont="1" applyBorder="1" applyProtection="1"/>
    <xf numFmtId="166" fontId="7" fillId="0" borderId="0" xfId="1" applyNumberFormat="1" applyFont="1" applyBorder="1" applyProtection="1"/>
    <xf numFmtId="166" fontId="7" fillId="0" borderId="22" xfId="1" applyNumberFormat="1" applyFont="1" applyBorder="1" applyProtection="1"/>
    <xf numFmtId="166" fontId="7" fillId="0" borderId="0" xfId="1" applyNumberFormat="1" applyFont="1"/>
    <xf numFmtId="166" fontId="7" fillId="0" borderId="26" xfId="1" applyNumberFormat="1" applyFont="1" applyBorder="1" applyProtection="1"/>
    <xf numFmtId="0" fontId="22" fillId="0" borderId="0" xfId="0" applyFont="1"/>
    <xf numFmtId="0" fontId="6" fillId="0" borderId="0" xfId="0" applyFont="1"/>
    <xf numFmtId="0" fontId="21" fillId="0" borderId="0" xfId="0" applyFont="1"/>
    <xf numFmtId="0" fontId="24" fillId="0" borderId="0" xfId="2" applyFont="1" applyAlignment="1" applyProtection="1">
      <alignment horizontal="left"/>
    </xf>
    <xf numFmtId="0" fontId="3" fillId="0" borderId="0" xfId="3" applyAlignment="1" applyProtection="1">
      <alignment horizontal="left"/>
    </xf>
    <xf numFmtId="0" fontId="3" fillId="0" borderId="0" xfId="3" applyAlignment="1" applyProtection="1"/>
    <xf numFmtId="0" fontId="23" fillId="0" borderId="0" xfId="0" applyFont="1"/>
    <xf numFmtId="0" fontId="25" fillId="0" borderId="0" xfId="4" applyFont="1"/>
    <xf numFmtId="0" fontId="2" fillId="0" borderId="0" xfId="4"/>
    <xf numFmtId="0" fontId="26" fillId="0" borderId="0" xfId="4" applyFont="1" applyAlignment="1">
      <alignment horizontal="right"/>
    </xf>
    <xf numFmtId="0" fontId="25" fillId="3" borderId="0" xfId="4" applyFont="1" applyFill="1"/>
    <xf numFmtId="0" fontId="28" fillId="3" borderId="0" xfId="4" applyFont="1" applyFill="1" applyAlignment="1">
      <alignment horizontal="left"/>
    </xf>
    <xf numFmtId="0" fontId="29" fillId="0" borderId="0" xfId="4" applyFont="1" applyAlignment="1">
      <alignment horizontal="left"/>
    </xf>
    <xf numFmtId="0" fontId="20" fillId="0" borderId="0" xfId="4" applyFont="1"/>
    <xf numFmtId="0" fontId="9" fillId="0" borderId="0" xfId="4" applyFont="1" applyAlignment="1">
      <alignment horizontal="right"/>
    </xf>
    <xf numFmtId="0" fontId="2" fillId="0" borderId="0" xfId="4" applyAlignment="1">
      <alignment horizontal="right"/>
    </xf>
    <xf numFmtId="0" fontId="30" fillId="0" borderId="0" xfId="4" applyFont="1" applyAlignment="1">
      <alignment horizontal="left"/>
    </xf>
    <xf numFmtId="0" fontId="31" fillId="0" borderId="0" xfId="4" applyFont="1" applyAlignment="1">
      <alignment horizontal="left"/>
    </xf>
    <xf numFmtId="0" fontId="2" fillId="4" borderId="0" xfId="4" applyFill="1"/>
    <xf numFmtId="14" fontId="27" fillId="0" borderId="0" xfId="4" applyNumberFormat="1" applyFont="1"/>
    <xf numFmtId="0" fontId="32" fillId="0" borderId="0" xfId="4" applyFont="1" applyAlignment="1">
      <alignment horizontal="left"/>
    </xf>
    <xf numFmtId="0" fontId="7" fillId="0" borderId="2" xfId="0" applyFont="1" applyBorder="1"/>
    <xf numFmtId="167" fontId="7" fillId="0" borderId="2" xfId="1" applyNumberFormat="1" applyFont="1" applyBorder="1" applyAlignment="1" applyProtection="1">
      <alignment horizontal="right"/>
    </xf>
    <xf numFmtId="165" fontId="7" fillId="0" borderId="2" xfId="0" applyNumberFormat="1" applyFont="1" applyBorder="1" applyAlignment="1">
      <alignment horizontal="right"/>
    </xf>
    <xf numFmtId="0" fontId="31" fillId="0" borderId="0" xfId="8" quotePrefix="1" applyNumberFormat="1" applyFont="1" applyAlignment="1">
      <alignment horizontal="left"/>
    </xf>
    <xf numFmtId="0" fontId="20" fillId="0" borderId="0" xfId="0" quotePrefix="1" applyFont="1"/>
    <xf numFmtId="3" fontId="7" fillId="0" borderId="0" xfId="1" quotePrefix="1" applyNumberFormat="1" applyFont="1" applyBorder="1" applyProtection="1"/>
    <xf numFmtId="167" fontId="4" fillId="0" borderId="0" xfId="1" quotePrefix="1" applyNumberFormat="1" applyFont="1" applyBorder="1" applyProtection="1"/>
    <xf numFmtId="0" fontId="33" fillId="0" borderId="0" xfId="0" applyFont="1"/>
    <xf numFmtId="0" fontId="34" fillId="0" borderId="0" xfId="0" applyFont="1" applyAlignment="1">
      <alignment horizontal="right"/>
    </xf>
    <xf numFmtId="0" fontId="35" fillId="0" borderId="0" xfId="0" applyFont="1"/>
    <xf numFmtId="0" fontId="36" fillId="0" borderId="0" xfId="0" applyFont="1"/>
    <xf numFmtId="0" fontId="34" fillId="0" borderId="0" xfId="0" applyFont="1"/>
    <xf numFmtId="0" fontId="34" fillId="0" borderId="0" xfId="0" quotePrefix="1" applyFont="1"/>
    <xf numFmtId="0" fontId="33" fillId="0" borderId="0" xfId="0" applyFont="1" applyAlignment="1">
      <alignment horizontal="right"/>
    </xf>
    <xf numFmtId="1" fontId="36" fillId="0" borderId="0" xfId="0" applyNumberFormat="1" applyFont="1"/>
    <xf numFmtId="166" fontId="33" fillId="0" borderId="0" xfId="0" applyNumberFormat="1" applyFont="1"/>
    <xf numFmtId="3" fontId="33" fillId="0" borderId="0" xfId="0" applyNumberFormat="1" applyFont="1"/>
    <xf numFmtId="168" fontId="36" fillId="0" borderId="0" xfId="0" applyNumberFormat="1" applyFont="1"/>
    <xf numFmtId="169" fontId="36" fillId="0" borderId="0" xfId="0" applyNumberFormat="1" applyFont="1"/>
    <xf numFmtId="166" fontId="36" fillId="0" borderId="0" xfId="0" applyNumberFormat="1" applyFont="1"/>
    <xf numFmtId="3" fontId="36" fillId="0" borderId="0" xfId="0" applyNumberFormat="1" applyFont="1"/>
    <xf numFmtId="167" fontId="36" fillId="0" borderId="0" xfId="1" applyNumberFormat="1" applyFont="1"/>
    <xf numFmtId="166" fontId="36" fillId="0" borderId="0" xfId="1" applyNumberFormat="1" applyFont="1"/>
    <xf numFmtId="169" fontId="33" fillId="0" borderId="0" xfId="0" applyNumberFormat="1" applyFont="1"/>
    <xf numFmtId="3" fontId="33" fillId="0" borderId="0" xfId="0" applyNumberFormat="1" applyFont="1" applyBorder="1"/>
    <xf numFmtId="166" fontId="33" fillId="0" borderId="0" xfId="0" applyNumberFormat="1" applyFont="1" applyBorder="1"/>
    <xf numFmtId="170" fontId="33" fillId="0" borderId="0" xfId="0" applyNumberFormat="1" applyFont="1"/>
    <xf numFmtId="1" fontId="33" fillId="0" borderId="0" xfId="0" applyNumberFormat="1" applyFont="1"/>
    <xf numFmtId="168" fontId="33" fillId="0" borderId="0" xfId="0" applyNumberFormat="1" applyFont="1"/>
    <xf numFmtId="0" fontId="33" fillId="0" borderId="29" xfId="0" applyFont="1" applyBorder="1"/>
    <xf numFmtId="0" fontId="34" fillId="0" borderId="29" xfId="0" applyFont="1" applyBorder="1" applyAlignment="1">
      <alignment horizontal="right"/>
    </xf>
    <xf numFmtId="3" fontId="33" fillId="0" borderId="29" xfId="0" applyNumberFormat="1" applyFont="1" applyBorder="1"/>
    <xf numFmtId="166" fontId="33" fillId="0" borderId="29" xfId="0" applyNumberFormat="1" applyFont="1" applyBorder="1"/>
    <xf numFmtId="0" fontId="33" fillId="0" borderId="29" xfId="0" applyFont="1" applyBorder="1" applyAlignment="1">
      <alignment horizontal="left" indent="1"/>
    </xf>
    <xf numFmtId="0" fontId="33" fillId="0" borderId="0" xfId="0" applyFont="1" applyAlignment="1">
      <alignment horizontal="left" indent="1"/>
    </xf>
    <xf numFmtId="14" fontId="19" fillId="0" borderId="0" xfId="4" applyNumberFormat="1" applyFont="1" applyAlignment="1">
      <alignment horizontal="center"/>
    </xf>
    <xf numFmtId="0" fontId="13" fillId="0" borderId="29" xfId="0" applyFont="1" applyBorder="1" applyAlignment="1">
      <alignment horizontal="right"/>
    </xf>
    <xf numFmtId="0" fontId="13" fillId="0" borderId="0" xfId="0" applyFont="1" applyAlignment="1">
      <alignment horizontal="right"/>
    </xf>
    <xf numFmtId="0" fontId="13" fillId="0" borderId="29" xfId="0" applyFont="1" applyBorder="1" applyAlignment="1">
      <alignment horizontal="left"/>
    </xf>
    <xf numFmtId="0" fontId="13" fillId="0" borderId="0" xfId="0" applyFont="1" applyAlignment="1">
      <alignment horizontal="left"/>
    </xf>
    <xf numFmtId="0" fontId="6" fillId="2" borderId="0" xfId="0" applyFont="1" applyFill="1" applyBorder="1" applyAlignment="1">
      <alignment horizontal="left" vertical="top"/>
    </xf>
    <xf numFmtId="0" fontId="8" fillId="2" borderId="2" xfId="0" applyFont="1" applyFill="1" applyBorder="1" applyAlignment="1">
      <alignment horizontal="center"/>
    </xf>
    <xf numFmtId="0" fontId="8" fillId="2" borderId="30" xfId="0" applyFont="1" applyFill="1" applyBorder="1" applyAlignment="1">
      <alignment horizontal="center"/>
    </xf>
    <xf numFmtId="0" fontId="6" fillId="0" borderId="31" xfId="0" applyFont="1" applyBorder="1" applyAlignment="1">
      <alignment vertical="top"/>
    </xf>
    <xf numFmtId="0" fontId="9" fillId="0" borderId="19" xfId="0" applyFont="1" applyBorder="1" applyAlignment="1">
      <alignment vertical="top"/>
    </xf>
    <xf numFmtId="0" fontId="13" fillId="0" borderId="0" xfId="0" applyFont="1" applyBorder="1" applyAlignment="1">
      <alignment horizontal="left"/>
    </xf>
    <xf numFmtId="0" fontId="13" fillId="0" borderId="0" xfId="0" applyFont="1" applyBorder="1" applyAlignment="1">
      <alignment horizontal="right"/>
    </xf>
    <xf numFmtId="0" fontId="8" fillId="2" borderId="3" xfId="0" applyFont="1" applyFill="1" applyBorder="1" applyAlignment="1">
      <alignment horizontal="center"/>
    </xf>
    <xf numFmtId="0" fontId="8" fillId="2" borderId="4" xfId="0" applyFont="1" applyFill="1" applyBorder="1" applyAlignment="1">
      <alignment horizontal="center"/>
    </xf>
  </cellXfs>
  <cellStyles count="9">
    <cellStyle name="Comma 2" xfId="5"/>
    <cellStyle name="Hyperkobling" xfId="3" builtinId="8"/>
    <cellStyle name="Hyperkobling_Test_skadestat_tabeller" xfId="2"/>
    <cellStyle name="Hyperlink 2" xfId="6"/>
    <cellStyle name="Normal" xfId="0" builtinId="0"/>
    <cellStyle name="Normal 2" xfId="4"/>
    <cellStyle name="Normal 3" xfId="8"/>
    <cellStyle name="Normal 8" xfId="7"/>
    <cellStyle name="Tusenskille"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'Tab2'!$B$71:$B$191</c:f>
              <c:numCache>
                <c:formatCode>General</c:formatCode>
                <c:ptCount val="12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'Tab2'!$C$71:$C$191</c:f>
              <c:numCache>
                <c:formatCode>General</c:formatCode>
                <c:ptCount val="121"/>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'Tab2'!$B$71:$B$191</c:f>
              <c:numCache>
                <c:formatCode>General</c:formatCode>
                <c:ptCount val="12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'Tab2'!$D$71:$D$191</c:f>
              <c:numCache>
                <c:formatCode>General</c:formatCode>
                <c:ptCount val="121"/>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numCache>
            </c:numRef>
          </c:val>
        </c:ser>
        <c:marker val="1"/>
        <c:axId val="112223744"/>
        <c:axId val="112225280"/>
      </c:lineChart>
      <c:catAx>
        <c:axId val="112223744"/>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112225280"/>
        <c:crosses val="autoZero"/>
        <c:auto val="1"/>
        <c:lblAlgn val="ctr"/>
        <c:lblOffset val="100"/>
        <c:tickLblSkip val="1"/>
        <c:tickMarkSkip val="1"/>
      </c:catAx>
      <c:valAx>
        <c:axId val="112225280"/>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2223744"/>
        <c:crosses val="autoZero"/>
        <c:crossBetween val="between"/>
      </c:valAx>
      <c:spPr>
        <a:noFill/>
        <a:ln w="12700">
          <a:solidFill>
            <a:srgbClr val="808080"/>
          </a:solidFill>
          <a:prstDash val="solid"/>
        </a:ln>
      </c:spPr>
    </c:plotArea>
    <c:legend>
      <c:legendPos val="r"/>
      <c:layout>
        <c:manualLayout>
          <c:xMode val="edge"/>
          <c:yMode val="edge"/>
          <c:x val="0.59154731503155689"/>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021" r="0.7500000000000102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79911"/>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'Tab2'!$K$103:$K$191</c:f>
              <c:numCache>
                <c:formatCode>General</c:formatCode>
                <c:ptCount val="8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numCache>
            </c:numRef>
          </c:cat>
          <c:val>
            <c:numRef>
              <c:f>'Tab2'!$T$103:$T$191</c:f>
              <c:numCache>
                <c:formatCode>#,##0.0</c:formatCode>
                <c:ptCount val="89"/>
                <c:pt idx="0">
                  <c:v>215.0042105263158</c:v>
                </c:pt>
                <c:pt idx="1">
                  <c:v>267.5036951501155</c:v>
                </c:pt>
                <c:pt idx="2">
                  <c:v>310.89907621247119</c:v>
                </c:pt>
                <c:pt idx="3">
                  <c:v>278.45360824742272</c:v>
                </c:pt>
                <c:pt idx="4">
                  <c:v>271.05942857142855</c:v>
                </c:pt>
                <c:pt idx="5">
                  <c:v>247.67268623024833</c:v>
                </c:pt>
                <c:pt idx="6">
                  <c:v>324.57429537767757</c:v>
                </c:pt>
                <c:pt idx="7">
                  <c:v>160.9760358342665</c:v>
                </c:pt>
                <c:pt idx="8">
                  <c:v>256.80066815144767</c:v>
                </c:pt>
                <c:pt idx="9">
                  <c:v>276.69251101321595</c:v>
                </c:pt>
                <c:pt idx="10">
                  <c:v>314.57682119205299</c:v>
                </c:pt>
                <c:pt idx="11">
                  <c:v>237.53076923076924</c:v>
                </c:pt>
                <c:pt idx="12">
                  <c:v>233.4876923076923</c:v>
                </c:pt>
                <c:pt idx="13">
                  <c:v>281.14154852780808</c:v>
                </c:pt>
                <c:pt idx="14">
                  <c:v>313.5908794788275</c:v>
                </c:pt>
                <c:pt idx="15">
                  <c:v>304.23498920086394</c:v>
                </c:pt>
                <c:pt idx="16">
                  <c:v>257.59464668094216</c:v>
                </c:pt>
                <c:pt idx="17">
                  <c:v>297.98894792773649</c:v>
                </c:pt>
                <c:pt idx="18">
                  <c:v>312.93028692879903</c:v>
                </c:pt>
                <c:pt idx="19">
                  <c:v>286.55200845665991</c:v>
                </c:pt>
                <c:pt idx="20">
                  <c:v>277.02802547770705</c:v>
                </c:pt>
                <c:pt idx="21">
                  <c:v>304.1129337539432</c:v>
                </c:pt>
                <c:pt idx="22">
                  <c:v>320.86366492146595</c:v>
                </c:pt>
                <c:pt idx="23">
                  <c:v>256.52336448598146</c:v>
                </c:pt>
                <c:pt idx="24">
                  <c:v>253.61685508735872</c:v>
                </c:pt>
                <c:pt idx="25">
                  <c:v>302.07205731832136</c:v>
                </c:pt>
                <c:pt idx="26">
                  <c:v>267.37277379733888</c:v>
                </c:pt>
                <c:pt idx="27">
                  <c:v>247.17621951219499</c:v>
                </c:pt>
                <c:pt idx="28">
                  <c:v>245.33293051359522</c:v>
                </c:pt>
                <c:pt idx="29">
                  <c:v>269.12617853560681</c:v>
                </c:pt>
                <c:pt idx="30">
                  <c:v>275.9663326653307</c:v>
                </c:pt>
                <c:pt idx="31">
                  <c:v>268.54141012909628</c:v>
                </c:pt>
                <c:pt idx="32">
                  <c:v>210.9656804733728</c:v>
                </c:pt>
                <c:pt idx="33">
                  <c:v>255.98571428571427</c:v>
                </c:pt>
                <c:pt idx="34">
                  <c:v>294.19646017699125</c:v>
                </c:pt>
                <c:pt idx="35">
                  <c:v>244.01043478260863</c:v>
                </c:pt>
                <c:pt idx="36">
                  <c:v>248.73040152963674</c:v>
                </c:pt>
                <c:pt idx="37">
                  <c:v>230.66888677450049</c:v>
                </c:pt>
                <c:pt idx="38">
                  <c:v>241.96068376068374</c:v>
                </c:pt>
                <c:pt idx="39">
                  <c:v>264.52247191011242</c:v>
                </c:pt>
                <c:pt idx="40">
                  <c:v>198.91826568265682</c:v>
                </c:pt>
                <c:pt idx="41">
                  <c:v>228.15164233576641</c:v>
                </c:pt>
                <c:pt idx="42">
                  <c:v>192.66327474560592</c:v>
                </c:pt>
                <c:pt idx="43">
                  <c:v>312.48298068077276</c:v>
                </c:pt>
                <c:pt idx="44">
                  <c:v>237.91454711802379</c:v>
                </c:pt>
                <c:pt idx="45">
                  <c:v>278.92636363636365</c:v>
                </c:pt>
                <c:pt idx="46">
                  <c:v>221.19799270072997</c:v>
                </c:pt>
                <c:pt idx="47">
                  <c:v>229.6540540540542</c:v>
                </c:pt>
                <c:pt idx="48">
                  <c:v>209.82722513089007</c:v>
                </c:pt>
                <c:pt idx="49">
                  <c:v>237.76028495102403</c:v>
                </c:pt>
                <c:pt idx="50">
                  <c:v>221.70080428954424</c:v>
                </c:pt>
                <c:pt idx="51">
                  <c:v>257.78206039076389</c:v>
                </c:pt>
                <c:pt idx="52">
                  <c:v>208.76962699822377</c:v>
                </c:pt>
                <c:pt idx="53">
                  <c:v>264.65396825396829</c:v>
                </c:pt>
                <c:pt idx="54">
                  <c:v>186.9833628318583</c:v>
                </c:pt>
                <c:pt idx="55">
                  <c:v>187.76368421052643</c:v>
                </c:pt>
                <c:pt idx="56">
                  <c:v>184.56094986807389</c:v>
                </c:pt>
                <c:pt idx="57">
                  <c:v>173.94531250000009</c:v>
                </c:pt>
                <c:pt idx="58">
                  <c:v>174.66724587315372</c:v>
                </c:pt>
                <c:pt idx="59">
                  <c:v>160.85172413793111</c:v>
                </c:pt>
                <c:pt idx="60">
                  <c:v>169.7156089193825</c:v>
                </c:pt>
                <c:pt idx="61">
                  <c:v>196.26412213740457</c:v>
                </c:pt>
                <c:pt idx="62">
                  <c:v>187.18618925831206</c:v>
                </c:pt>
                <c:pt idx="63">
                  <c:v>159.11546218487391</c:v>
                </c:pt>
                <c:pt idx="64">
                  <c:v>187.20306382978725</c:v>
                </c:pt>
                <c:pt idx="65">
                  <c:v>178.82840236686388</c:v>
                </c:pt>
                <c:pt idx="66">
                  <c:v>170.5522920203735</c:v>
                </c:pt>
                <c:pt idx="67">
                  <c:v>155.33046357615902</c:v>
                </c:pt>
                <c:pt idx="68">
                  <c:v>172.57703035274815</c:v>
                </c:pt>
                <c:pt idx="69">
                  <c:v>202.91606557377051</c:v>
                </c:pt>
                <c:pt idx="70">
                  <c:v>198.86125101543456</c:v>
                </c:pt>
                <c:pt idx="71">
                  <c:v>284.08532477947091</c:v>
                </c:pt>
                <c:pt idx="72">
                  <c:v>224.11584000000002</c:v>
                </c:pt>
                <c:pt idx="73">
                  <c:v>245.96992840095467</c:v>
                </c:pt>
                <c:pt idx="74">
                  <c:v>242.89090909090902</c:v>
                </c:pt>
                <c:pt idx="75">
                  <c:v>286.87962085308067</c:v>
                </c:pt>
                <c:pt idx="76">
                  <c:v>248.20000000000007</c:v>
                </c:pt>
                <c:pt idx="77">
                  <c:v>205.51000775795194</c:v>
                </c:pt>
                <c:pt idx="78">
                  <c:v>206.35352112676051</c:v>
                </c:pt>
                <c:pt idx="79">
                  <c:v>208.81395348837211</c:v>
                </c:pt>
                <c:pt idx="80">
                  <c:v>157.94239631336407</c:v>
                </c:pt>
                <c:pt idx="81">
                  <c:v>198.4039694656488</c:v>
                </c:pt>
                <c:pt idx="82">
                  <c:v>169.88578052550227</c:v>
                </c:pt>
                <c:pt idx="83">
                  <c:v>182.3524413328164</c:v>
                </c:pt>
                <c:pt idx="84">
                  <c:v>175.33735960535859</c:v>
                </c:pt>
                <c:pt idx="85">
                  <c:v>183.78783748395833</c:v>
                </c:pt>
                <c:pt idx="86">
                  <c:v>192.07505603885937</c:v>
                </c:pt>
                <c:pt idx="87">
                  <c:v>189.55179149138243</c:v>
                </c:pt>
                <c:pt idx="88">
                  <c:v>165.82857741414739</c:v>
                </c:pt>
              </c:numCache>
            </c:numRef>
          </c:val>
        </c:ser>
        <c:marker val="1"/>
        <c:axId val="114367872"/>
        <c:axId val="114386048"/>
      </c:lineChart>
      <c:lineChart>
        <c:grouping val="standard"/>
        <c:ser>
          <c:idx val="1"/>
          <c:order val="1"/>
          <c:tx>
            <c:strRef>
              <c:f>'Tab2'!$L$70</c:f>
              <c:strCache>
                <c:ptCount val="1"/>
                <c:pt idx="0">
                  <c:v>Antall</c:v>
                </c:pt>
              </c:strCache>
            </c:strRef>
          </c:tx>
          <c:spPr>
            <a:ln w="25400"/>
          </c:spPr>
          <c:marker>
            <c:symbol val="none"/>
          </c:marker>
          <c:val>
            <c:numRef>
              <c:f>'Tab2'!$R$103:$R$191</c:f>
              <c:numCache>
                <c:formatCode>#,##0</c:formatCode>
                <c:ptCount val="89"/>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numCache>
            </c:numRef>
          </c:val>
        </c:ser>
        <c:upDownBars>
          <c:gapWidth val="150"/>
          <c:upBars/>
          <c:downBars/>
        </c:upDownBars>
        <c:marker val="1"/>
        <c:axId val="114390144"/>
        <c:axId val="114387968"/>
      </c:lineChart>
      <c:catAx>
        <c:axId val="114367872"/>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114386048"/>
        <c:crosses val="autoZero"/>
        <c:auto val="1"/>
        <c:lblAlgn val="ctr"/>
        <c:lblOffset val="100"/>
        <c:tickLblSkip val="1"/>
        <c:tickMarkSkip val="4"/>
      </c:catAx>
      <c:valAx>
        <c:axId val="114386048"/>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14367872"/>
        <c:crosses val="autoZero"/>
        <c:crossBetween val="between"/>
      </c:valAx>
      <c:valAx>
        <c:axId val="114387968"/>
        <c:scaling>
          <c:orientation val="minMax"/>
        </c:scaling>
        <c:axPos val="r"/>
        <c:title>
          <c:tx>
            <c:rich>
              <a:bodyPr rot="-5400000" vert="horz"/>
              <a:lstStyle/>
              <a:p>
                <a:pPr>
                  <a:defRPr/>
                </a:pPr>
                <a:r>
                  <a:rPr lang="en-US"/>
                  <a:t>Antall meldte innbrudd/tyveri/ran</a:t>
                </a:r>
              </a:p>
            </c:rich>
          </c:tx>
        </c:title>
        <c:numFmt formatCode="#,##0" sourceLinked="1"/>
        <c:tickLblPos val="nextTo"/>
        <c:crossAx val="114390144"/>
        <c:crosses val="max"/>
        <c:crossBetween val="between"/>
      </c:valAx>
      <c:catAx>
        <c:axId val="114390144"/>
        <c:scaling>
          <c:orientation val="minMax"/>
        </c:scaling>
        <c:delete val="1"/>
        <c:axPos val="b"/>
        <c:tickLblPos val="none"/>
        <c:crossAx val="114387968"/>
        <c:crosses val="autoZero"/>
        <c:lblAlgn val="ctr"/>
        <c:lblOffset val="100"/>
      </c:catAx>
    </c:plotArea>
    <c:legend>
      <c:legendPos val="r"/>
      <c:layout>
        <c:manualLayout>
          <c:xMode val="edge"/>
          <c:yMode val="edge"/>
          <c:x val="0.54813905737860114"/>
          <c:y val="5.4665550527114352E-2"/>
          <c:w val="0.2317650782352112"/>
          <c:h val="0.1014803566673607"/>
        </c:manualLayout>
      </c:layout>
    </c:legend>
    <c:plotVisOnly val="1"/>
  </c:chart>
  <c:spPr>
    <a:ln>
      <a:noFill/>
    </a:ln>
  </c:spPr>
  <c:printSettings>
    <c:headerFooter/>
    <c:pageMargins b="0.75000000000000921" l="0.70000000000000062" r="0.70000000000000062" t="0.7500000000000092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79"/>
          <c:w val="0.50084317032040471"/>
          <c:h val="0.78779840848808169"/>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7911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68.854927988206839</c:v>
                </c:pt>
                <c:pt idx="1">
                  <c:v>324.46505219135713</c:v>
                </c:pt>
                <c:pt idx="2">
                  <c:v>58.150059359065288</c:v>
                </c:pt>
                <c:pt idx="3">
                  <c:v>540.4696469051255</c:v>
                </c:pt>
                <c:pt idx="4" formatCode="0.000">
                  <c:v>2426.749071321859</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021" r="0.7500000000000102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4202"/>
          <c:h val="0.73545163548808024"/>
        </c:manualLayout>
      </c:layout>
      <c:barChart>
        <c:barDir val="col"/>
        <c:grouping val="clustered"/>
        <c:ser>
          <c:idx val="0"/>
          <c:order val="0"/>
          <c:tx>
            <c:strRef>
              <c:f>'Tab2'!$W$82</c:f>
              <c:strCache>
                <c:ptCount val="1"/>
                <c:pt idx="0">
                  <c:v>2011</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1837.795880035093</c:v>
                </c:pt>
                <c:pt idx="1">
                  <c:v>1679.793808602383</c:v>
                </c:pt>
                <c:pt idx="2">
                  <c:v>617.82424198479623</c:v>
                </c:pt>
                <c:pt idx="3">
                  <c:v>356.23623342938049</c:v>
                </c:pt>
                <c:pt idx="4">
                  <c:v>162.14213150549935</c:v>
                </c:pt>
                <c:pt idx="5">
                  <c:v>347.53323942363625</c:v>
                </c:pt>
                <c:pt idx="6">
                  <c:v>42.528881402172203</c:v>
                </c:pt>
                <c:pt idx="7">
                  <c:v>177.62726986279887</c:v>
                </c:pt>
                <c:pt idx="8">
                  <c:v>24.37490860947257</c:v>
                </c:pt>
                <c:pt idx="9">
                  <c:v>158.55459892509373</c:v>
                </c:pt>
              </c:numCache>
            </c:numRef>
          </c:val>
        </c:ser>
        <c:ser>
          <c:idx val="1"/>
          <c:order val="1"/>
          <c:tx>
            <c:strRef>
              <c:f>'Tab2'!$X$82</c:f>
              <c:strCache>
                <c:ptCount val="1"/>
                <c:pt idx="0">
                  <c:v>2012</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1641.1329101833539</c:v>
                </c:pt>
                <c:pt idx="1">
                  <c:v>1141.2049003762484</c:v>
                </c:pt>
                <c:pt idx="2">
                  <c:v>619.62139610450618</c:v>
                </c:pt>
                <c:pt idx="3">
                  <c:v>416.98003576595471</c:v>
                </c:pt>
                <c:pt idx="4">
                  <c:v>160.19006953521418</c:v>
                </c:pt>
                <c:pt idx="5">
                  <c:v>433.66874899144364</c:v>
                </c:pt>
                <c:pt idx="6">
                  <c:v>43.997332892470908</c:v>
                </c:pt>
                <c:pt idx="7">
                  <c:v>207.81839803160426</c:v>
                </c:pt>
                <c:pt idx="8">
                  <c:v>24.66118280746571</c:v>
                </c:pt>
                <c:pt idx="9">
                  <c:v>283.52182940384847</c:v>
                </c:pt>
              </c:numCache>
            </c:numRef>
          </c:val>
        </c:ser>
        <c:ser>
          <c:idx val="2"/>
          <c:order val="2"/>
          <c:tx>
            <c:strRef>
              <c:f>'Tab2'!$Y$82</c:f>
              <c:strCache>
                <c:ptCount val="1"/>
                <c:pt idx="0">
                  <c:v>2013</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1787.5488480332388</c:v>
                </c:pt>
                <c:pt idx="1">
                  <c:v>1178.7579968222551</c:v>
                </c:pt>
                <c:pt idx="2">
                  <c:v>697.50382103852712</c:v>
                </c:pt>
                <c:pt idx="3">
                  <c:v>428.3086866135688</c:v>
                </c:pt>
                <c:pt idx="4">
                  <c:v>161.66765046716696</c:v>
                </c:pt>
                <c:pt idx="5">
                  <c:v>417.48621703025185</c:v>
                </c:pt>
                <c:pt idx="6">
                  <c:v>31.948394489102466</c:v>
                </c:pt>
                <c:pt idx="7">
                  <c:v>207.84476701898808</c:v>
                </c:pt>
                <c:pt idx="8">
                  <c:v>25.357250488457183</c:v>
                </c:pt>
                <c:pt idx="9">
                  <c:v>209.44572730197467</c:v>
                </c:pt>
              </c:numCache>
            </c:numRef>
          </c:val>
        </c:ser>
        <c:axId val="112831488"/>
        <c:axId val="114123520"/>
      </c:barChart>
      <c:catAx>
        <c:axId val="112831488"/>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114123520"/>
        <c:crosses val="autoZero"/>
        <c:auto val="1"/>
        <c:lblAlgn val="ctr"/>
        <c:lblOffset val="100"/>
        <c:tickLblSkip val="1"/>
        <c:tickMarkSkip val="1"/>
      </c:catAx>
      <c:valAx>
        <c:axId val="114123520"/>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592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283148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021" r="0.7500000000000102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103"/>
          <c:h val="0.81504826950718323"/>
        </c:manualLayout>
      </c:layout>
      <c:barChart>
        <c:barDir val="col"/>
        <c:grouping val="clustered"/>
        <c:ser>
          <c:idx val="0"/>
          <c:order val="0"/>
          <c:tx>
            <c:strRef>
              <c:f>'Tab2'!$W$100</c:f>
              <c:strCache>
                <c:ptCount val="1"/>
                <c:pt idx="0">
                  <c:v>2011</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5959.2581261013765</c:v>
                </c:pt>
                <c:pt idx="1">
                  <c:v>26141.662648809524</c:v>
                </c:pt>
                <c:pt idx="2">
                  <c:v>6732.4599932123638</c:v>
                </c:pt>
                <c:pt idx="3" formatCode="_ * #,##0_ ;_ * \-#,##0_ ;_ * &quot;-&quot;??_ ;_ @_ ">
                  <c:v>30050.962461556534</c:v>
                </c:pt>
              </c:numCache>
            </c:numRef>
          </c:val>
        </c:ser>
        <c:ser>
          <c:idx val="1"/>
          <c:order val="1"/>
          <c:tx>
            <c:strRef>
              <c:f>'Tab2'!$X$100</c:f>
              <c:strCache>
                <c:ptCount val="1"/>
                <c:pt idx="0">
                  <c:v>2012</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6822.44890070785</c:v>
                </c:pt>
                <c:pt idx="1">
                  <c:v>18517.39324404762</c:v>
                </c:pt>
                <c:pt idx="2">
                  <c:v>7564.3716625186662</c:v>
                </c:pt>
                <c:pt idx="3" formatCode="_ * #,##0_ ;_ * \-#,##0_ ;_ * &quot;-&quot;??_ ;_ @_ ">
                  <c:v>38225.990610829307</c:v>
                </c:pt>
              </c:numCache>
            </c:numRef>
          </c:val>
        </c:ser>
        <c:ser>
          <c:idx val="2"/>
          <c:order val="2"/>
          <c:tx>
            <c:strRef>
              <c:f>'Tab2'!$Y$100</c:f>
              <c:strCache>
                <c:ptCount val="1"/>
                <c:pt idx="0">
                  <c:v>2013</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5520.4451678348678</c:v>
                </c:pt>
                <c:pt idx="1">
                  <c:v>21974.571815476189</c:v>
                </c:pt>
                <c:pt idx="2">
                  <c:v>5958.3970505452735</c:v>
                </c:pt>
                <c:pt idx="3" formatCode="_ * #,##0_ ;_ * \-#,##0_ ;_ * &quot;-&quot;??_ ;_ @_ ">
                  <c:v>34036.539075749577</c:v>
                </c:pt>
              </c:numCache>
            </c:numRef>
          </c:val>
        </c:ser>
        <c:axId val="114149248"/>
        <c:axId val="114150784"/>
      </c:barChart>
      <c:catAx>
        <c:axId val="11414924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4150784"/>
        <c:crosses val="autoZero"/>
        <c:auto val="1"/>
        <c:lblAlgn val="ctr"/>
        <c:lblOffset val="100"/>
        <c:tickLblSkip val="1"/>
        <c:tickMarkSkip val="1"/>
      </c:catAx>
      <c:valAx>
        <c:axId val="114150784"/>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414924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5717"/>
          <c:h val="0.16300973350118336"/>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021" r="0.7500000000000102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2011</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1745.6995274172209</c:v>
                </c:pt>
                <c:pt idx="1">
                  <c:v>1061.4209517567813</c:v>
                </c:pt>
                <c:pt idx="2">
                  <c:v>156.46911510151821</c:v>
                </c:pt>
                <c:pt idx="3">
                  <c:v>554.00009436195569</c:v>
                </c:pt>
              </c:numCache>
            </c:numRef>
          </c:val>
        </c:ser>
        <c:ser>
          <c:idx val="1"/>
          <c:order val="1"/>
          <c:tx>
            <c:strRef>
              <c:f>'Tab2'!$X$111</c:f>
              <c:strCache>
                <c:ptCount val="1"/>
                <c:pt idx="0">
                  <c:v>2012</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1165.2695598150794</c:v>
                </c:pt>
                <c:pt idx="1">
                  <c:v>869.15461769403078</c:v>
                </c:pt>
                <c:pt idx="2">
                  <c:v>175.73767321176348</c:v>
                </c:pt>
                <c:pt idx="3">
                  <c:v>572.17595983872843</c:v>
                </c:pt>
              </c:numCache>
            </c:numRef>
          </c:val>
        </c:ser>
        <c:ser>
          <c:idx val="2"/>
          <c:order val="2"/>
          <c:tx>
            <c:strRef>
              <c:f>'Tab2'!$Y$111</c:f>
              <c:strCache>
                <c:ptCount val="1"/>
                <c:pt idx="0">
                  <c:v>2013</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1176.1797003846598</c:v>
                </c:pt>
                <c:pt idx="1">
                  <c:v>1023.0812127444322</c:v>
                </c:pt>
                <c:pt idx="2">
                  <c:v>167.84779905693762</c:v>
                </c:pt>
                <c:pt idx="3">
                  <c:v>599.19813266946448</c:v>
                </c:pt>
              </c:numCache>
            </c:numRef>
          </c:val>
        </c:ser>
        <c:axId val="113152384"/>
        <c:axId val="113153920"/>
      </c:barChart>
      <c:catAx>
        <c:axId val="113152384"/>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153920"/>
        <c:crosses val="autoZero"/>
        <c:auto val="1"/>
        <c:lblAlgn val="ctr"/>
        <c:lblOffset val="100"/>
        <c:tickLblSkip val="1"/>
        <c:tickMarkSkip val="1"/>
      </c:catAx>
      <c:valAx>
        <c:axId val="113153920"/>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6768"/>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152384"/>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45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021" r="0.7500000000000102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488"/>
          <c:y val="1.0723874628061805E-2"/>
          <c:w val="0.81766992340769262"/>
          <c:h val="0.80965253441863694"/>
        </c:manualLayout>
      </c:layout>
      <c:bar3DChart>
        <c:barDir val="bar"/>
        <c:grouping val="clustered"/>
        <c:ser>
          <c:idx val="0"/>
          <c:order val="0"/>
          <c:tx>
            <c:strRef>
              <c:f>'Tab2'!$W$121</c:f>
              <c:strCache>
                <c:ptCount val="1"/>
                <c:pt idx="0">
                  <c:v>2011</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61217.965909090904</c:v>
                </c:pt>
                <c:pt idx="1">
                  <c:v>29339.685714285715</c:v>
                </c:pt>
                <c:pt idx="2">
                  <c:v>19430.908571428572</c:v>
                </c:pt>
                <c:pt idx="3">
                  <c:v>12853.480372536946</c:v>
                </c:pt>
              </c:numCache>
            </c:numRef>
          </c:val>
        </c:ser>
        <c:ser>
          <c:idx val="1"/>
          <c:order val="1"/>
          <c:tx>
            <c:strRef>
              <c:f>'Tab2'!$X$121</c:f>
              <c:strCache>
                <c:ptCount val="1"/>
                <c:pt idx="0">
                  <c:v>2012</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64072.416666666664</c:v>
                </c:pt>
                <c:pt idx="1">
                  <c:v>26771.16</c:v>
                </c:pt>
                <c:pt idx="2">
                  <c:v>24800.057142857142</c:v>
                </c:pt>
                <c:pt idx="3">
                  <c:v>11277.261560960591</c:v>
                </c:pt>
              </c:numCache>
            </c:numRef>
          </c:val>
        </c:ser>
        <c:ser>
          <c:idx val="2"/>
          <c:order val="2"/>
          <c:tx>
            <c:strRef>
              <c:f>'Tab2'!$Y$121</c:f>
              <c:strCache>
                <c:ptCount val="1"/>
                <c:pt idx="0">
                  <c:v>2013</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65994.352272727265</c:v>
                </c:pt>
                <c:pt idx="1">
                  <c:v>26063.868571428571</c:v>
                </c:pt>
                <c:pt idx="2">
                  <c:v>23110.982857142859</c:v>
                </c:pt>
                <c:pt idx="3">
                  <c:v>10340.010252463055</c:v>
                </c:pt>
              </c:numCache>
            </c:numRef>
          </c:val>
        </c:ser>
        <c:shape val="cylinder"/>
        <c:axId val="114166784"/>
        <c:axId val="114189056"/>
        <c:axId val="0"/>
      </c:bar3DChart>
      <c:catAx>
        <c:axId val="11416678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4189056"/>
        <c:crosses val="autoZero"/>
        <c:auto val="1"/>
        <c:lblAlgn val="ctr"/>
        <c:lblOffset val="100"/>
        <c:tickLblSkip val="1"/>
        <c:tickMarkSkip val="1"/>
      </c:catAx>
      <c:valAx>
        <c:axId val="114189056"/>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4166784"/>
        <c:crosses val="autoZero"/>
        <c:crossBetween val="between"/>
      </c:valAx>
      <c:spPr>
        <a:noFill/>
        <a:ln w="25400">
          <a:noFill/>
        </a:ln>
      </c:spPr>
    </c:plotArea>
    <c:legend>
      <c:legendPos val="r"/>
      <c:layout>
        <c:manualLayout>
          <c:xMode val="edge"/>
          <c:yMode val="edge"/>
          <c:x val="0.82142936080358375"/>
          <c:y val="0.11796274795409452"/>
          <c:w val="9.7744360902258562E-2"/>
          <c:h val="0.23056328414712846"/>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021" r="0.7500000000000102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0901"/>
          <c:y val="3.8990869354381667E-2"/>
          <c:w val="0.79213628009473036"/>
          <c:h val="0.80045961203995464"/>
        </c:manualLayout>
      </c:layout>
      <c:bar3DChart>
        <c:barDir val="bar"/>
        <c:grouping val="clustered"/>
        <c:ser>
          <c:idx val="0"/>
          <c:order val="0"/>
          <c:tx>
            <c:strRef>
              <c:f>'Tab2'!$W$128</c:f>
              <c:strCache>
                <c:ptCount val="1"/>
                <c:pt idx="0">
                  <c:v>2011</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1005.8554778554778</c:v>
                </c:pt>
                <c:pt idx="1">
                  <c:v>1857.0920879120879</c:v>
                </c:pt>
                <c:pt idx="2">
                  <c:v>2942.4667950892858</c:v>
                </c:pt>
                <c:pt idx="3">
                  <c:v>3363.6685714285713</c:v>
                </c:pt>
                <c:pt idx="4">
                  <c:v>4588.0201801029161</c:v>
                </c:pt>
              </c:numCache>
            </c:numRef>
          </c:val>
        </c:ser>
        <c:ser>
          <c:idx val="1"/>
          <c:order val="1"/>
          <c:tx>
            <c:strRef>
              <c:f>'Tab2'!$X$128</c:f>
              <c:strCache>
                <c:ptCount val="1"/>
                <c:pt idx="0">
                  <c:v>2012</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1395.4976689976691</c:v>
                </c:pt>
                <c:pt idx="1">
                  <c:v>1751.780879120879</c:v>
                </c:pt>
                <c:pt idx="2">
                  <c:v>2584.1868574776786</c:v>
                </c:pt>
                <c:pt idx="3">
                  <c:v>3681.2742857142857</c:v>
                </c:pt>
                <c:pt idx="4">
                  <c:v>4489.7456646655228</c:v>
                </c:pt>
              </c:numCache>
            </c:numRef>
          </c:val>
        </c:ser>
        <c:ser>
          <c:idx val="2"/>
          <c:order val="2"/>
          <c:tx>
            <c:strRef>
              <c:f>'Tab2'!$Y$128</c:f>
              <c:strCache>
                <c:ptCount val="1"/>
                <c:pt idx="0">
                  <c:v>2013</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760.32167832167829</c:v>
                </c:pt>
                <c:pt idx="1">
                  <c:v>1440.3474725274725</c:v>
                </c:pt>
                <c:pt idx="2">
                  <c:v>2444.9848950892856</c:v>
                </c:pt>
                <c:pt idx="3">
                  <c:v>3055.9542857142856</c:v>
                </c:pt>
                <c:pt idx="4">
                  <c:v>4526.8953644939966</c:v>
                </c:pt>
              </c:numCache>
            </c:numRef>
          </c:val>
        </c:ser>
        <c:shape val="cylinder"/>
        <c:axId val="114227072"/>
        <c:axId val="114228608"/>
        <c:axId val="0"/>
      </c:bar3DChart>
      <c:catAx>
        <c:axId val="114227072"/>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4228608"/>
        <c:crosses val="autoZero"/>
        <c:auto val="1"/>
        <c:lblAlgn val="ctr"/>
        <c:lblOffset val="100"/>
        <c:tickLblSkip val="1"/>
        <c:tickMarkSkip val="1"/>
      </c:catAx>
      <c:valAx>
        <c:axId val="114228608"/>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4227072"/>
        <c:crosses val="autoZero"/>
        <c:crossBetween val="between"/>
      </c:valAx>
      <c:spPr>
        <a:noFill/>
        <a:ln w="25400">
          <a:noFill/>
        </a:ln>
      </c:spPr>
    </c:plotArea>
    <c:legend>
      <c:legendPos val="r"/>
      <c:layout>
        <c:manualLayout>
          <c:xMode val="edge"/>
          <c:yMode val="edge"/>
          <c:x val="0.80711767770601706"/>
          <c:y val="0.56422090587300433"/>
          <c:w val="0.10299645128628925"/>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021" r="0.7500000000000102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79866"/>
          <c:h val="0.75545138253068145"/>
        </c:manualLayout>
      </c:layout>
      <c:lineChart>
        <c:grouping val="standard"/>
        <c:ser>
          <c:idx val="0"/>
          <c:order val="0"/>
          <c:tx>
            <c:strRef>
              <c:f>'Tab2'!$M$70</c:f>
              <c:strCache>
                <c:ptCount val="1"/>
                <c:pt idx="0">
                  <c:v>Erstatning</c:v>
                </c:pt>
              </c:strCache>
            </c:strRef>
          </c:tx>
          <c:spPr>
            <a:ln w="50800"/>
          </c:spPr>
          <c:marker>
            <c:symbol val="none"/>
          </c:marker>
          <c:cat>
            <c:numRef>
              <c:f>'Tab2'!$K$71:$K$191</c:f>
              <c:numCache>
                <c:formatCode>General</c:formatCode>
                <c:ptCount val="12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'Tab2'!$N$71:$N$191</c:f>
              <c:numCache>
                <c:formatCode>#,##0.0</c:formatCode>
                <c:ptCount val="121"/>
                <c:pt idx="0">
                  <c:v>197.58847583643126</c:v>
                </c:pt>
                <c:pt idx="1">
                  <c:v>165.51115173674592</c:v>
                </c:pt>
                <c:pt idx="2">
                  <c:v>151.35949367088611</c:v>
                </c:pt>
                <c:pt idx="3">
                  <c:v>185.40960854092526</c:v>
                </c:pt>
                <c:pt idx="4">
                  <c:v>198.81989528795816</c:v>
                </c:pt>
                <c:pt idx="5">
                  <c:v>188.06907216494844</c:v>
                </c:pt>
                <c:pt idx="6">
                  <c:v>186.46712095400341</c:v>
                </c:pt>
                <c:pt idx="7">
                  <c:v>208.56442953020132</c:v>
                </c:pt>
                <c:pt idx="8">
                  <c:v>225.38145695364238</c:v>
                </c:pt>
                <c:pt idx="9">
                  <c:v>246.34829268292683</c:v>
                </c:pt>
                <c:pt idx="10">
                  <c:v>218.29354838709679</c:v>
                </c:pt>
                <c:pt idx="11">
                  <c:v>247.57428571428571</c:v>
                </c:pt>
                <c:pt idx="12">
                  <c:v>229.53937500000001</c:v>
                </c:pt>
                <c:pt idx="13">
                  <c:v>245.61692307692309</c:v>
                </c:pt>
                <c:pt idx="14">
                  <c:v>197.68835820895524</c:v>
                </c:pt>
                <c:pt idx="15">
                  <c:v>231.34072992700729</c:v>
                </c:pt>
                <c:pt idx="16">
                  <c:v>252.73531914893616</c:v>
                </c:pt>
                <c:pt idx="17">
                  <c:v>249.40307262569837</c:v>
                </c:pt>
                <c:pt idx="18">
                  <c:v>204.09709543568465</c:v>
                </c:pt>
                <c:pt idx="19">
                  <c:v>240.12635869565219</c:v>
                </c:pt>
                <c:pt idx="20">
                  <c:v>228.5521276595745</c:v>
                </c:pt>
                <c:pt idx="21">
                  <c:v>162.92229465449805</c:v>
                </c:pt>
                <c:pt idx="22">
                  <c:v>253.75558441558442</c:v>
                </c:pt>
                <c:pt idx="23">
                  <c:v>336.15518565941107</c:v>
                </c:pt>
                <c:pt idx="24">
                  <c:v>237.48593155893536</c:v>
                </c:pt>
                <c:pt idx="25">
                  <c:v>191.94545454545457</c:v>
                </c:pt>
                <c:pt idx="26">
                  <c:v>168.89627791563274</c:v>
                </c:pt>
                <c:pt idx="27">
                  <c:v>213.08108108108107</c:v>
                </c:pt>
                <c:pt idx="28">
                  <c:v>228.15382746051037</c:v>
                </c:pt>
                <c:pt idx="29">
                  <c:v>183.55035971223023</c:v>
                </c:pt>
                <c:pt idx="30">
                  <c:v>159.18709677419358</c:v>
                </c:pt>
                <c:pt idx="31">
                  <c:v>185.28789659224444</c:v>
                </c:pt>
                <c:pt idx="32">
                  <c:v>199.94315789473688</c:v>
                </c:pt>
                <c:pt idx="33">
                  <c:v>192.24457274826784</c:v>
                </c:pt>
                <c:pt idx="34">
                  <c:v>201.19676674364899</c:v>
                </c:pt>
                <c:pt idx="35">
                  <c:v>208.0123711340207</c:v>
                </c:pt>
                <c:pt idx="36">
                  <c:v>194.32182857142857</c:v>
                </c:pt>
                <c:pt idx="37">
                  <c:v>167.43860045146729</c:v>
                </c:pt>
                <c:pt idx="38">
                  <c:v>193.47057497181504</c:v>
                </c:pt>
                <c:pt idx="39">
                  <c:v>159.65173572228451</c:v>
                </c:pt>
                <c:pt idx="40">
                  <c:v>200.31915367483293</c:v>
                </c:pt>
                <c:pt idx="41">
                  <c:v>166.71013215859037</c:v>
                </c:pt>
                <c:pt idx="42">
                  <c:v>192.60397350993378</c:v>
                </c:pt>
                <c:pt idx="43">
                  <c:v>227.85626373626366</c:v>
                </c:pt>
                <c:pt idx="44">
                  <c:v>272.90769230769234</c:v>
                </c:pt>
                <c:pt idx="45">
                  <c:v>238.58342420937842</c:v>
                </c:pt>
                <c:pt idx="46">
                  <c:v>242.39804560260586</c:v>
                </c:pt>
                <c:pt idx="47">
                  <c:v>199.79611231101524</c:v>
                </c:pt>
                <c:pt idx="48">
                  <c:v>240.71241970021413</c:v>
                </c:pt>
                <c:pt idx="49">
                  <c:v>207.08416578108404</c:v>
                </c:pt>
                <c:pt idx="50">
                  <c:v>251.62890541976614</c:v>
                </c:pt>
                <c:pt idx="51">
                  <c:v>238.90909090909099</c:v>
                </c:pt>
                <c:pt idx="52">
                  <c:v>523.92611464968149</c:v>
                </c:pt>
                <c:pt idx="53">
                  <c:v>324.42397476340699</c:v>
                </c:pt>
                <c:pt idx="54">
                  <c:v>330.21989528795831</c:v>
                </c:pt>
                <c:pt idx="55">
                  <c:v>318.47102803738329</c:v>
                </c:pt>
                <c:pt idx="56">
                  <c:v>344.7730729701953</c:v>
                </c:pt>
                <c:pt idx="57">
                  <c:v>378.3297850562949</c:v>
                </c:pt>
                <c:pt idx="58">
                  <c:v>400.65568065506653</c:v>
                </c:pt>
                <c:pt idx="59">
                  <c:v>357.47743902439026</c:v>
                </c:pt>
                <c:pt idx="60">
                  <c:v>377.12990936555889</c:v>
                </c:pt>
                <c:pt idx="61">
                  <c:v>334.10130391173522</c:v>
                </c:pt>
                <c:pt idx="62">
                  <c:v>339.55971943887778</c:v>
                </c:pt>
                <c:pt idx="63">
                  <c:v>390.2854021847071</c:v>
                </c:pt>
                <c:pt idx="64">
                  <c:v>425.6893491124261</c:v>
                </c:pt>
                <c:pt idx="65">
                  <c:v>427.75714285714287</c:v>
                </c:pt>
                <c:pt idx="66">
                  <c:v>575.60176991150433</c:v>
                </c:pt>
                <c:pt idx="67">
                  <c:v>521.28347826086917</c:v>
                </c:pt>
                <c:pt idx="68">
                  <c:v>434.52447418738052</c:v>
                </c:pt>
                <c:pt idx="69">
                  <c:v>315.56003805899144</c:v>
                </c:pt>
                <c:pt idx="70">
                  <c:v>391.20512820512823</c:v>
                </c:pt>
                <c:pt idx="71">
                  <c:v>596.46741573033705</c:v>
                </c:pt>
                <c:pt idx="72">
                  <c:v>818.58321033210325</c:v>
                </c:pt>
                <c:pt idx="73">
                  <c:v>541.90510948905114</c:v>
                </c:pt>
                <c:pt idx="74">
                  <c:v>486.70268270120272</c:v>
                </c:pt>
                <c:pt idx="75">
                  <c:v>615.77884084636594</c:v>
                </c:pt>
                <c:pt idx="76">
                  <c:v>560.82433668801468</c:v>
                </c:pt>
                <c:pt idx="77">
                  <c:v>487.97181818181821</c:v>
                </c:pt>
                <c:pt idx="78">
                  <c:v>603.04927007299273</c:v>
                </c:pt>
                <c:pt idx="79">
                  <c:v>549.51243243243255</c:v>
                </c:pt>
                <c:pt idx="80">
                  <c:v>718.68691099476439</c:v>
                </c:pt>
                <c:pt idx="81">
                  <c:v>475.16954585930563</c:v>
                </c:pt>
                <c:pt idx="82">
                  <c:v>505.52010723860587</c:v>
                </c:pt>
                <c:pt idx="83">
                  <c:v>550.68969804618109</c:v>
                </c:pt>
                <c:pt idx="84">
                  <c:v>604.13658969804612</c:v>
                </c:pt>
                <c:pt idx="85">
                  <c:v>399.41428571428565</c:v>
                </c:pt>
                <c:pt idx="86">
                  <c:v>528.04194690265479</c:v>
                </c:pt>
                <c:pt idx="87">
                  <c:v>493.55684210526351</c:v>
                </c:pt>
                <c:pt idx="88">
                  <c:v>483.07124010554088</c:v>
                </c:pt>
                <c:pt idx="89">
                  <c:v>368.65000000000003</c:v>
                </c:pt>
                <c:pt idx="90">
                  <c:v>511.78644656820154</c:v>
                </c:pt>
                <c:pt idx="91">
                  <c:v>542.36482758620684</c:v>
                </c:pt>
                <c:pt idx="92">
                  <c:v>659.25385934819906</c:v>
                </c:pt>
                <c:pt idx="93">
                  <c:v>483.47175572519075</c:v>
                </c:pt>
                <c:pt idx="94">
                  <c:v>556.29360613810729</c:v>
                </c:pt>
                <c:pt idx="95">
                  <c:v>580.36840336134469</c:v>
                </c:pt>
                <c:pt idx="96">
                  <c:v>726.44629787234044</c:v>
                </c:pt>
                <c:pt idx="97">
                  <c:v>571.14015215553684</c:v>
                </c:pt>
                <c:pt idx="98">
                  <c:v>729.72733446519567</c:v>
                </c:pt>
                <c:pt idx="99">
                  <c:v>616.97086092715199</c:v>
                </c:pt>
                <c:pt idx="100">
                  <c:v>638.02838392124681</c:v>
                </c:pt>
                <c:pt idx="101">
                  <c:v>590.65377049180336</c:v>
                </c:pt>
                <c:pt idx="102">
                  <c:v>771.42794476035783</c:v>
                </c:pt>
                <c:pt idx="103">
                  <c:v>740.87682437850867</c:v>
                </c:pt>
                <c:pt idx="104">
                  <c:v>777.46751999999992</c:v>
                </c:pt>
                <c:pt idx="105">
                  <c:v>631.17995226730329</c:v>
                </c:pt>
                <c:pt idx="106">
                  <c:v>833.77177033492808</c:v>
                </c:pt>
                <c:pt idx="107">
                  <c:v>788.08862559241732</c:v>
                </c:pt>
                <c:pt idx="108">
                  <c:v>1728.7473198286561</c:v>
                </c:pt>
                <c:pt idx="109">
                  <c:v>881.74699717475914</c:v>
                </c:pt>
                <c:pt idx="110">
                  <c:v>885.98883266483074</c:v>
                </c:pt>
                <c:pt idx="111">
                  <c:v>906.4042783384408</c:v>
                </c:pt>
                <c:pt idx="112">
                  <c:v>1071.2036333397932</c:v>
                </c:pt>
                <c:pt idx="113">
                  <c:v>778.95433427208729</c:v>
                </c:pt>
                <c:pt idx="114">
                  <c:v>928.78343223935781</c:v>
                </c:pt>
                <c:pt idx="115">
                  <c:v>782.74546768956668</c:v>
                </c:pt>
                <c:pt idx="116">
                  <c:v>867.17476662866864</c:v>
                </c:pt>
                <c:pt idx="117">
                  <c:v>633.98407180155687</c:v>
                </c:pt>
                <c:pt idx="118">
                  <c:v>874.08661897852971</c:v>
                </c:pt>
                <c:pt idx="119">
                  <c:v>823.03532558613699</c:v>
                </c:pt>
                <c:pt idx="120">
                  <c:v>1010.7734688317172</c:v>
                </c:pt>
              </c:numCache>
            </c:numRef>
          </c:val>
        </c:ser>
        <c:marker val="1"/>
        <c:axId val="114271744"/>
        <c:axId val="114273664"/>
      </c:lineChart>
      <c:lineChart>
        <c:grouping val="standard"/>
        <c:ser>
          <c:idx val="1"/>
          <c:order val="1"/>
          <c:tx>
            <c:strRef>
              <c:f>'Tab2'!$L$70</c:f>
              <c:strCache>
                <c:ptCount val="1"/>
                <c:pt idx="0">
                  <c:v>Antall</c:v>
                </c:pt>
              </c:strCache>
            </c:strRef>
          </c:tx>
          <c:spPr>
            <a:ln w="25400"/>
          </c:spPr>
          <c:marker>
            <c:symbol val="none"/>
          </c:marker>
          <c:val>
            <c:numRef>
              <c:f>'Tab2'!$L$71:$L$191</c:f>
              <c:numCache>
                <c:formatCode>#,##0</c:formatCode>
                <c:ptCount val="121"/>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numCache>
            </c:numRef>
          </c:val>
        </c:ser>
        <c:upDownBars>
          <c:gapWidth val="150"/>
          <c:upBars/>
          <c:downBars/>
        </c:upDownBars>
        <c:marker val="1"/>
        <c:axId val="114281856"/>
        <c:axId val="114279936"/>
      </c:lineChart>
      <c:catAx>
        <c:axId val="114271744"/>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114273664"/>
        <c:crosses val="autoZero"/>
        <c:auto val="1"/>
        <c:lblAlgn val="ctr"/>
        <c:lblOffset val="100"/>
        <c:tickLblSkip val="1"/>
        <c:tickMarkSkip val="4"/>
      </c:catAx>
      <c:valAx>
        <c:axId val="11427366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14271744"/>
        <c:crosses val="autoZero"/>
        <c:crossBetween val="between"/>
      </c:valAx>
      <c:valAx>
        <c:axId val="114279936"/>
        <c:scaling>
          <c:orientation val="minMax"/>
        </c:scaling>
        <c:axPos val="r"/>
        <c:title>
          <c:tx>
            <c:rich>
              <a:bodyPr rot="-5400000" vert="horz"/>
              <a:lstStyle/>
              <a:p>
                <a:pPr>
                  <a:defRPr/>
                </a:pPr>
                <a:r>
                  <a:rPr lang="en-US"/>
                  <a:t>Antall meldte vannskader</a:t>
                </a:r>
              </a:p>
            </c:rich>
          </c:tx>
        </c:title>
        <c:numFmt formatCode="#,##0" sourceLinked="1"/>
        <c:tickLblPos val="nextTo"/>
        <c:crossAx val="114281856"/>
        <c:crosses val="max"/>
        <c:crossBetween val="between"/>
      </c:valAx>
      <c:catAx>
        <c:axId val="114281856"/>
        <c:scaling>
          <c:orientation val="minMax"/>
        </c:scaling>
        <c:delete val="1"/>
        <c:axPos val="b"/>
        <c:tickLblPos val="none"/>
        <c:crossAx val="114279936"/>
        <c:crosses val="autoZero"/>
        <c:lblAlgn val="ctr"/>
        <c:lblOffset val="100"/>
      </c:catAx>
    </c:plotArea>
    <c:legend>
      <c:legendPos val="r"/>
      <c:layout>
        <c:manualLayout>
          <c:xMode val="edge"/>
          <c:yMode val="edge"/>
          <c:x val="0.17254097125419141"/>
          <c:y val="8.1243623616814989E-2"/>
          <c:w val="0.2317650782352112"/>
          <c:h val="0.1014803566673608"/>
        </c:manualLayout>
      </c:layout>
    </c:legend>
    <c:plotVisOnly val="1"/>
  </c:chart>
  <c:spPr>
    <a:ln>
      <a:noFill/>
    </a:ln>
  </c:spPr>
  <c:printSettings>
    <c:headerFooter/>
    <c:pageMargins b="0.75000000000000877" l="0.70000000000000062" r="0.70000000000000062" t="0.75000000000000877"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79889"/>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'Tab2'!$K$103:$K$191</c:f>
              <c:numCache>
                <c:formatCode>General</c:formatCode>
                <c:ptCount val="8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numCache>
            </c:numRef>
          </c:cat>
          <c:val>
            <c:numRef>
              <c:f>'Tab2'!$Q$103:$Q$191</c:f>
              <c:numCache>
                <c:formatCode>#,##0.0</c:formatCode>
                <c:ptCount val="89"/>
                <c:pt idx="0">
                  <c:v>579.23578947368412</c:v>
                </c:pt>
                <c:pt idx="1">
                  <c:v>560.34665127020787</c:v>
                </c:pt>
                <c:pt idx="2">
                  <c:v>653.81362586605076</c:v>
                </c:pt>
                <c:pt idx="3">
                  <c:v>642.70103092783552</c:v>
                </c:pt>
                <c:pt idx="4">
                  <c:v>614.952</c:v>
                </c:pt>
                <c:pt idx="5">
                  <c:v>611.02483069977427</c:v>
                </c:pt>
                <c:pt idx="6">
                  <c:v>652.40766629086829</c:v>
                </c:pt>
                <c:pt idx="7">
                  <c:v>626.24680851063817</c:v>
                </c:pt>
                <c:pt idx="8">
                  <c:v>657.58530066815149</c:v>
                </c:pt>
                <c:pt idx="9">
                  <c:v>510.69449339207051</c:v>
                </c:pt>
                <c:pt idx="10">
                  <c:v>563.45364238410627</c:v>
                </c:pt>
                <c:pt idx="11">
                  <c:v>674.32747252747231</c:v>
                </c:pt>
                <c:pt idx="12">
                  <c:v>617.4356043956044</c:v>
                </c:pt>
                <c:pt idx="13">
                  <c:v>708.29901853871331</c:v>
                </c:pt>
                <c:pt idx="14">
                  <c:v>607.06514657980472</c:v>
                </c:pt>
                <c:pt idx="15">
                  <c:v>554.26393088552913</c:v>
                </c:pt>
                <c:pt idx="16">
                  <c:v>763.92077087794439</c:v>
                </c:pt>
                <c:pt idx="17">
                  <c:v>645.68926673751344</c:v>
                </c:pt>
                <c:pt idx="18">
                  <c:v>681.29713071200831</c:v>
                </c:pt>
                <c:pt idx="19">
                  <c:v>513.79344608879478</c:v>
                </c:pt>
                <c:pt idx="20">
                  <c:v>669.41464968152866</c:v>
                </c:pt>
                <c:pt idx="21">
                  <c:v>808.71104100946388</c:v>
                </c:pt>
                <c:pt idx="22">
                  <c:v>800.64565445026165</c:v>
                </c:pt>
                <c:pt idx="23">
                  <c:v>908.47476635514056</c:v>
                </c:pt>
                <c:pt idx="24">
                  <c:v>844.98437821171638</c:v>
                </c:pt>
                <c:pt idx="25">
                  <c:v>893.57379733879202</c:v>
                </c:pt>
                <c:pt idx="26">
                  <c:v>968.75557830092146</c:v>
                </c:pt>
                <c:pt idx="27">
                  <c:v>753.14634146341461</c:v>
                </c:pt>
                <c:pt idx="28">
                  <c:v>793.42839879154087</c:v>
                </c:pt>
                <c:pt idx="29">
                  <c:v>760.32758274824471</c:v>
                </c:pt>
                <c:pt idx="30">
                  <c:v>569.83887775551136</c:v>
                </c:pt>
                <c:pt idx="31">
                  <c:v>963.77398212512344</c:v>
                </c:pt>
                <c:pt idx="32">
                  <c:v>892.97573964497053</c:v>
                </c:pt>
                <c:pt idx="33">
                  <c:v>1124.4857142857143</c:v>
                </c:pt>
                <c:pt idx="34">
                  <c:v>732.58407079645986</c:v>
                </c:pt>
                <c:pt idx="35">
                  <c:v>1187.6782608695653</c:v>
                </c:pt>
                <c:pt idx="36">
                  <c:v>1029.9699808795413</c:v>
                </c:pt>
                <c:pt idx="37">
                  <c:v>842.91037107516649</c:v>
                </c:pt>
                <c:pt idx="38">
                  <c:v>881.241025641026</c:v>
                </c:pt>
                <c:pt idx="39">
                  <c:v>909.46516853932565</c:v>
                </c:pt>
                <c:pt idx="40">
                  <c:v>1063.0793357933578</c:v>
                </c:pt>
                <c:pt idx="41">
                  <c:v>1106.5894160583941</c:v>
                </c:pt>
                <c:pt idx="42">
                  <c:v>1424.8573543015725</c:v>
                </c:pt>
                <c:pt idx="43">
                  <c:v>971.05446182152741</c:v>
                </c:pt>
                <c:pt idx="44">
                  <c:v>986.28142726441013</c:v>
                </c:pt>
                <c:pt idx="45">
                  <c:v>823.1612727272726</c:v>
                </c:pt>
                <c:pt idx="46">
                  <c:v>1074.099087591241</c:v>
                </c:pt>
                <c:pt idx="47">
                  <c:v>1110.9810810810811</c:v>
                </c:pt>
                <c:pt idx="48">
                  <c:v>1246.5801047120422</c:v>
                </c:pt>
                <c:pt idx="49">
                  <c:v>956.8915405164737</c:v>
                </c:pt>
                <c:pt idx="50">
                  <c:v>1010.100804289544</c:v>
                </c:pt>
                <c:pt idx="51">
                  <c:v>889.57566607460058</c:v>
                </c:pt>
                <c:pt idx="52">
                  <c:v>857.95097690941407</c:v>
                </c:pt>
                <c:pt idx="53">
                  <c:v>820.7285714285714</c:v>
                </c:pt>
                <c:pt idx="54">
                  <c:v>758.98035398230081</c:v>
                </c:pt>
                <c:pt idx="55">
                  <c:v>817.67684210526386</c:v>
                </c:pt>
                <c:pt idx="56">
                  <c:v>826.53720316622696</c:v>
                </c:pt>
                <c:pt idx="57">
                  <c:v>850.3359375</c:v>
                </c:pt>
                <c:pt idx="58">
                  <c:v>949.93866203301502</c:v>
                </c:pt>
                <c:pt idx="59">
                  <c:v>901.44931034482727</c:v>
                </c:pt>
                <c:pt idx="60">
                  <c:v>1067.4277873070328</c:v>
                </c:pt>
                <c:pt idx="61">
                  <c:v>904.08549618320615</c:v>
                </c:pt>
                <c:pt idx="62">
                  <c:v>958.78312020460373</c:v>
                </c:pt>
                <c:pt idx="63">
                  <c:v>912.07058823529417</c:v>
                </c:pt>
                <c:pt idx="64">
                  <c:v>1221.4049361702127</c:v>
                </c:pt>
                <c:pt idx="65">
                  <c:v>1157.0530853761622</c:v>
                </c:pt>
                <c:pt idx="66">
                  <c:v>758.05976230899876</c:v>
                </c:pt>
                <c:pt idx="67">
                  <c:v>991.70016556291375</c:v>
                </c:pt>
                <c:pt idx="68">
                  <c:v>1038.6959803117311</c:v>
                </c:pt>
                <c:pt idx="69">
                  <c:v>1242.6993442622954</c:v>
                </c:pt>
                <c:pt idx="70">
                  <c:v>1586.7270511779038</c:v>
                </c:pt>
                <c:pt idx="71">
                  <c:v>1222.325581395349</c:v>
                </c:pt>
                <c:pt idx="72">
                  <c:v>1103.65488</c:v>
                </c:pt>
                <c:pt idx="73">
                  <c:v>1126.7785202863963</c:v>
                </c:pt>
                <c:pt idx="74">
                  <c:v>1339.2531100478468</c:v>
                </c:pt>
                <c:pt idx="75">
                  <c:v>1237.4018957345977</c:v>
                </c:pt>
                <c:pt idx="76">
                  <c:v>1683.0839160839164</c:v>
                </c:pt>
                <c:pt idx="77">
                  <c:v>1408.4979053529867</c:v>
                </c:pt>
                <c:pt idx="78">
                  <c:v>1322.430985915493</c:v>
                </c:pt>
                <c:pt idx="79">
                  <c:v>1335.1869767441872</c:v>
                </c:pt>
                <c:pt idx="80">
                  <c:v>1714.3562211981568</c:v>
                </c:pt>
                <c:pt idx="81">
                  <c:v>1538.0821374045804</c:v>
                </c:pt>
                <c:pt idx="82">
                  <c:v>1305.2670788253474</c:v>
                </c:pt>
                <c:pt idx="83">
                  <c:v>1295.7376126570853</c:v>
                </c:pt>
                <c:pt idx="84">
                  <c:v>1147.6937519261887</c:v>
                </c:pt>
                <c:pt idx="85">
                  <c:v>1035.4330640611572</c:v>
                </c:pt>
                <c:pt idx="86">
                  <c:v>1144.2523466705588</c:v>
                </c:pt>
                <c:pt idx="87">
                  <c:v>1066.1436220037453</c:v>
                </c:pt>
                <c:pt idx="88">
                  <c:v>1134.3713395958598</c:v>
                </c:pt>
              </c:numCache>
            </c:numRef>
          </c:val>
        </c:ser>
        <c:marker val="1"/>
        <c:axId val="114309760"/>
        <c:axId val="114319744"/>
      </c:lineChart>
      <c:lineChart>
        <c:grouping val="standard"/>
        <c:ser>
          <c:idx val="1"/>
          <c:order val="1"/>
          <c:tx>
            <c:strRef>
              <c:f>'Tab2'!$L$70</c:f>
              <c:strCache>
                <c:ptCount val="1"/>
                <c:pt idx="0">
                  <c:v>Antall</c:v>
                </c:pt>
              </c:strCache>
            </c:strRef>
          </c:tx>
          <c:spPr>
            <a:ln w="25400"/>
          </c:spPr>
          <c:marker>
            <c:symbol val="none"/>
          </c:marker>
          <c:val>
            <c:numRef>
              <c:f>'Tab2'!$O$103:$O$191</c:f>
              <c:numCache>
                <c:formatCode>#,##0</c:formatCode>
                <c:ptCount val="89"/>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numCache>
            </c:numRef>
          </c:val>
        </c:ser>
        <c:upDownBars>
          <c:gapWidth val="150"/>
          <c:upBars/>
          <c:downBars/>
        </c:upDownBars>
        <c:marker val="1"/>
        <c:axId val="114332032"/>
        <c:axId val="114321664"/>
      </c:lineChart>
      <c:catAx>
        <c:axId val="114309760"/>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114319744"/>
        <c:crosses val="autoZero"/>
        <c:auto val="1"/>
        <c:lblAlgn val="ctr"/>
        <c:lblOffset val="100"/>
        <c:tickLblSkip val="1"/>
        <c:tickMarkSkip val="4"/>
      </c:catAx>
      <c:valAx>
        <c:axId val="11431974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14309760"/>
        <c:crosses val="autoZero"/>
        <c:crossBetween val="between"/>
      </c:valAx>
      <c:valAx>
        <c:axId val="114321664"/>
        <c:scaling>
          <c:orientation val="minMax"/>
        </c:scaling>
        <c:axPos val="r"/>
        <c:title>
          <c:tx>
            <c:rich>
              <a:bodyPr rot="-5400000" vert="horz"/>
              <a:lstStyle/>
              <a:p>
                <a:pPr>
                  <a:defRPr/>
                </a:pPr>
                <a:r>
                  <a:rPr lang="en-US"/>
                  <a:t>Antall meldte brannskader</a:t>
                </a:r>
              </a:p>
            </c:rich>
          </c:tx>
        </c:title>
        <c:numFmt formatCode="#,##0" sourceLinked="1"/>
        <c:tickLblPos val="nextTo"/>
        <c:crossAx val="114332032"/>
        <c:crosses val="max"/>
        <c:crossBetween val="between"/>
      </c:valAx>
      <c:catAx>
        <c:axId val="114332032"/>
        <c:scaling>
          <c:orientation val="minMax"/>
        </c:scaling>
        <c:delete val="1"/>
        <c:axPos val="b"/>
        <c:tickLblPos val="none"/>
        <c:crossAx val="114321664"/>
        <c:crosses val="autoZero"/>
        <c:lblAlgn val="ctr"/>
        <c:lblOffset val="100"/>
      </c:catAx>
    </c:plotArea>
    <c:legend>
      <c:legendPos val="r"/>
      <c:layout>
        <c:manualLayout>
          <c:xMode val="edge"/>
          <c:yMode val="edge"/>
          <c:x val="0.17254097125419141"/>
          <c:y val="8.1243623616814989E-2"/>
          <c:w val="0.2317650782352112"/>
          <c:h val="0.10148035666736076"/>
        </c:manualLayout>
      </c:layout>
    </c:legend>
    <c:plotVisOnly val="1"/>
  </c:chart>
  <c:spPr>
    <a:ln>
      <a:noFill/>
    </a:ln>
  </c:spPr>
  <c:printSettings>
    <c:headerFooter/>
    <c:pageMargins b="0.75000000000000899" l="0.70000000000000062" r="0.70000000000000062" t="0.75000000000000899"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9525</xdr:rowOff>
    </xdr:from>
    <xdr:to>
      <xdr:col>10</xdr:col>
      <xdr:colOff>0</xdr:colOff>
      <xdr:row>5</xdr:row>
      <xdr:rowOff>9525</xdr:rowOff>
    </xdr:to>
    <xdr:sp macro="" textlink="">
      <xdr:nvSpPr>
        <xdr:cNvPr id="2" name="Line 9"/>
        <xdr:cNvSpPr>
          <a:spLocks noChangeShapeType="1"/>
        </xdr:cNvSpPr>
      </xdr:nvSpPr>
      <xdr:spPr bwMode="auto">
        <a:xfrm flipH="1">
          <a:off x="7210425" y="819150"/>
          <a:ext cx="0" cy="0"/>
        </a:xfrm>
        <a:prstGeom prst="line">
          <a:avLst/>
        </a:prstGeom>
        <a:noFill/>
        <a:ln w="9525">
          <a:solidFill>
            <a:srgbClr val="000000"/>
          </a:solidFill>
          <a:round/>
          <a:headEnd/>
          <a:tailEnd/>
        </a:ln>
      </xdr:spPr>
    </xdr:sp>
    <xdr:clientData/>
  </xdr:twoCellAnchor>
  <xdr:twoCellAnchor>
    <xdr:from>
      <xdr:col>10</xdr:col>
      <xdr:colOff>0</xdr:colOff>
      <xdr:row>16</xdr:row>
      <xdr:rowOff>9525</xdr:rowOff>
    </xdr:from>
    <xdr:to>
      <xdr:col>10</xdr:col>
      <xdr:colOff>0</xdr:colOff>
      <xdr:row>16</xdr:row>
      <xdr:rowOff>9525</xdr:rowOff>
    </xdr:to>
    <xdr:sp macro="" textlink="">
      <xdr:nvSpPr>
        <xdr:cNvPr id="3" name="Line 14"/>
        <xdr:cNvSpPr>
          <a:spLocks noChangeShapeType="1"/>
        </xdr:cNvSpPr>
      </xdr:nvSpPr>
      <xdr:spPr bwMode="auto">
        <a:xfrm flipH="1">
          <a:off x="7210425" y="3409950"/>
          <a:ext cx="0" cy="0"/>
        </a:xfrm>
        <a:prstGeom prst="line">
          <a:avLst/>
        </a:prstGeom>
        <a:noFill/>
        <a:ln w="9525">
          <a:solidFill>
            <a:srgbClr val="000000"/>
          </a:solidFill>
          <a:round/>
          <a:headEnd/>
          <a:tailEnd/>
        </a:ln>
      </xdr:spPr>
    </xdr:sp>
    <xdr:clientData/>
  </xdr:twoCellAnchor>
  <xdr:twoCellAnchor editAs="oneCell">
    <xdr:from>
      <xdr:col>0</xdr:col>
      <xdr:colOff>0</xdr:colOff>
      <xdr:row>0</xdr:row>
      <xdr:rowOff>86911</xdr:rowOff>
    </xdr:from>
    <xdr:to>
      <xdr:col>2</xdr:col>
      <xdr:colOff>78709</xdr:colOff>
      <xdr:row>52</xdr:row>
      <xdr:rowOff>113113</xdr:rowOff>
    </xdr:to>
    <xdr:pic>
      <xdr:nvPicPr>
        <xdr:cNvPr id="4" name="Bilde 12" descr="Stripe_bl _r d.jpg"/>
        <xdr:cNvPicPr>
          <a:picLocks noChangeAspect="1"/>
        </xdr:cNvPicPr>
      </xdr:nvPicPr>
      <xdr:blipFill>
        <a:blip xmlns:r="http://schemas.openxmlformats.org/officeDocument/2006/relationships" r:embed="rId1" cstate="print"/>
        <a:stretch>
          <a:fillRect/>
        </a:stretch>
      </xdr:blipFill>
      <xdr:spPr>
        <a:xfrm>
          <a:off x="0" y="86911"/>
          <a:ext cx="1924178" cy="1038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89</xdr:row>
      <xdr:rowOff>160358</xdr:rowOff>
    </xdr:from>
    <xdr:to>
      <xdr:col>2</xdr:col>
      <xdr:colOff>657225</xdr:colOff>
      <xdr:row>104</xdr:row>
      <xdr:rowOff>141130</xdr:rowOff>
    </xdr:to>
    <xdr:sp macro="" textlink="">
      <xdr:nvSpPr>
        <xdr:cNvPr id="3309" name="Text Box 3"/>
        <xdr:cNvSpPr txBox="1">
          <a:spLocks noChangeArrowheads="1"/>
        </xdr:cNvSpPr>
      </xdr:nvSpPr>
      <xdr:spPr bwMode="auto">
        <a:xfrm>
          <a:off x="790575" y="16752908"/>
          <a:ext cx="2428875" cy="2409647"/>
        </a:xfrm>
        <a:prstGeom prst="rect">
          <a:avLst/>
        </a:prstGeom>
        <a:solidFill>
          <a:srgbClr val="FFFFFF"/>
        </a:solidFill>
        <a:ln w="9525">
          <a:noFill/>
          <a:miter lim="800000"/>
          <a:headEnd/>
          <a:tailEnd/>
        </a:ln>
      </xdr:spPr>
      <xdr:txBody>
        <a:bodyPr/>
        <a:lstStyle/>
        <a:p>
          <a:pPr rtl="0"/>
          <a:endParaRPr lang="nb-NO" sz="1100" b="0" i="0" strike="noStrike" baseline="0">
            <a:solidFill>
              <a:srgbClr val="000000"/>
            </a:solidFill>
            <a:latin typeface="Times New Roman"/>
            <a:ea typeface="+mn-ea"/>
            <a:cs typeface="Times New Roman"/>
          </a:endParaRPr>
        </a:p>
      </xdr:txBody>
    </xdr:sp>
    <xdr:clientData/>
  </xdr:twoCellAnchor>
  <xdr:twoCellAnchor>
    <xdr:from>
      <xdr:col>3</xdr:col>
      <xdr:colOff>276225</xdr:colOff>
      <xdr:row>92</xdr:row>
      <xdr:rowOff>19050</xdr:rowOff>
    </xdr:from>
    <xdr:to>
      <xdr:col>7</xdr:col>
      <xdr:colOff>342900</xdr:colOff>
      <xdr:row>104</xdr:row>
      <xdr:rowOff>133351</xdr:rowOff>
    </xdr:to>
    <xdr:sp macro="" textlink="">
      <xdr:nvSpPr>
        <xdr:cNvPr id="3310" name="Text Box 4"/>
        <xdr:cNvSpPr txBox="1">
          <a:spLocks noChangeArrowheads="1"/>
        </xdr:cNvSpPr>
      </xdr:nvSpPr>
      <xdr:spPr bwMode="auto">
        <a:xfrm>
          <a:off x="3552825" y="17097375"/>
          <a:ext cx="2524125" cy="2057401"/>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77</xdr:row>
      <xdr:rowOff>38100</xdr:rowOff>
    </xdr:from>
    <xdr:to>
      <xdr:col>7</xdr:col>
      <xdr:colOff>457200</xdr:colOff>
      <xdr:row>87</xdr:row>
      <xdr:rowOff>19050</xdr:rowOff>
    </xdr:to>
    <xdr:sp macro="" textlink="">
      <xdr:nvSpPr>
        <xdr:cNvPr id="4" name="TextBox 3"/>
        <xdr:cNvSpPr txBox="1"/>
      </xdr:nvSpPr>
      <xdr:spPr>
        <a:xfrm>
          <a:off x="790575" y="14687550"/>
          <a:ext cx="5400675" cy="1600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nb-NO" sz="1100">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9526</xdr:rowOff>
    </xdr:from>
    <xdr:to>
      <xdr:col>1</xdr:col>
      <xdr:colOff>600075</xdr:colOff>
      <xdr:row>43</xdr:row>
      <xdr:rowOff>161926</xdr:rowOff>
    </xdr:to>
    <xdr:sp macro="" textlink="">
      <xdr:nvSpPr>
        <xdr:cNvPr id="5121" name="Text Box 1"/>
        <xdr:cNvSpPr txBox="1">
          <a:spLocks noChangeArrowheads="1"/>
        </xdr:cNvSpPr>
      </xdr:nvSpPr>
      <xdr:spPr bwMode="auto">
        <a:xfrm>
          <a:off x="0" y="238126"/>
          <a:ext cx="2409825" cy="822960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nb-NO" sz="1200" b="1" i="0" strike="noStrike">
              <a:solidFill>
                <a:srgbClr val="000000"/>
              </a:solidFill>
              <a:latin typeface="Times New Roman"/>
              <a:ea typeface="+mn-ea"/>
              <a:cs typeface="Times New Roman"/>
            </a:rPr>
            <a:t>1. HOVEDTREKK – gunstig brannutvikling, økte vannskader</a:t>
          </a:r>
          <a:endParaRPr lang="en-US" sz="1200" b="1" i="0" strike="noStrike">
            <a:solidFill>
              <a:srgbClr val="000000"/>
            </a:solidFill>
            <a:latin typeface="Times New Roman"/>
            <a:ea typeface="+mn-ea"/>
            <a:cs typeface="Times New Roman"/>
          </a:endParaRPr>
        </a:p>
        <a:p>
          <a:pPr rtl="0"/>
          <a:r>
            <a:rPr lang="en-US" sz="1100" b="0" i="0" strike="noStrike" baseline="0">
              <a:solidFill>
                <a:srgbClr val="000000"/>
              </a:solidFill>
              <a:latin typeface="Times New Roman"/>
              <a:ea typeface="+mn-ea"/>
              <a:cs typeface="Times New Roman"/>
            </a:rPr>
            <a:t>Erstatningene for landbasert forsikring totalt har økt svakt fra samme periode i fjor, med 2 prosent. Brannerstatningene hittil i år er på samme nivå som i fjor. Fjoråret var også et gunstig brannår sammenlignet med 1. kvartal 2011 hvor brannskadene beløp seg til 3 milliarder kr, mot drøye 1 milliard kr i år og tilsvarende i fjor. Vannskadene derimot har økt en del, erstatningene økte med 17 prosent fra samme periode i fjor, og utgjør 1 milliard kr, hvilket er 150 millioner kr mer enn 1. kvartal i fjor. I all hovedsak skyldes de økte vannskadene at vinteren i år var kaldere enn fjoråret som dermed førte til flere frostskader. Men det er langt igjen til rekordvinteren 2010 hvor erstatning etter vannskader i 1. kvartal var på hele 1,7 milliarder.</a:t>
          </a:r>
        </a:p>
        <a:p>
          <a:pPr rtl="0"/>
          <a:endParaRPr lang="en-US" sz="1050" b="0" i="0" strike="noStrike" baseline="0">
            <a:solidFill>
              <a:srgbClr val="000000"/>
            </a:solidFill>
            <a:latin typeface="Times New Roman"/>
            <a:ea typeface="+mn-ea"/>
            <a:cs typeface="Times New Roman"/>
          </a:endParaRPr>
        </a:p>
        <a:p>
          <a:pPr rtl="0" fontAlgn="base"/>
          <a:r>
            <a:rPr lang="en-US" sz="1200" b="1" i="0" strike="noStrike">
              <a:solidFill>
                <a:srgbClr val="000000"/>
              </a:solidFill>
              <a:latin typeface="Times New Roman"/>
              <a:ea typeface="+mn-ea"/>
              <a:cs typeface="Times New Roman"/>
            </a:rPr>
            <a:t>Motorvogn</a:t>
          </a:r>
          <a:endParaRPr lang="nb-NO" sz="1200" b="1" i="0" strike="noStrike">
            <a:solidFill>
              <a:srgbClr val="000000"/>
            </a:solidFill>
            <a:latin typeface="Times New Roman"/>
            <a:ea typeface="+mn-ea"/>
            <a:cs typeface="Times New Roman"/>
          </a:endParaRPr>
        </a:p>
        <a:p>
          <a:r>
            <a:rPr lang="nb-NO" sz="1100" b="0" i="0" strike="noStrike" baseline="0">
              <a:solidFill>
                <a:srgbClr val="000000"/>
              </a:solidFill>
              <a:latin typeface="Times New Roman"/>
              <a:ea typeface="+mn-ea"/>
              <a:cs typeface="Times New Roman"/>
            </a:rPr>
            <a:t>Antall skader innen motorvognforsikringer holder seg stabilt, med 199 000 meldte skader 1. kvartal i år mot 196 000 samme periode i fjor. Erstatningene er også på samme nivå med fjoråret på rundt 3,4 milliarder kr. Kaskoskadene utgjør den største delen med 1,5 milliard og ansvarsskadene samlet med 1,2 milliarder. Tyveri av og fra kjøretøy utgjør en stadig mindre andel av de totale erstatningene og er redusert fra i fjor. Glasskadene har de siste årene vist stor økning og også 1. kvartal i år har erstatningene økt med 18 millioner kr fra 1. kvartal i fjor og de utgjør nå nesten 325 millioner kr, noe som gir en årsprognose på 1,4 milliarder kr av et totalt årestimat på 12,1 milliarder kr for motorvogn samlet.</a:t>
          </a:r>
          <a:endParaRPr lang="en-US" sz="1100" b="0" i="0" strike="noStrike" baseline="0">
            <a:solidFill>
              <a:srgbClr val="000000"/>
            </a:solidFill>
            <a:latin typeface="Times New Roman"/>
            <a:ea typeface="+mn-ea"/>
            <a:cs typeface="Times New Roman"/>
          </a:endParaRPr>
        </a:p>
      </xdr:txBody>
    </xdr:sp>
    <xdr:clientData/>
  </xdr:twoCellAnchor>
  <xdr:twoCellAnchor>
    <xdr:from>
      <xdr:col>2</xdr:col>
      <xdr:colOff>304800</xdr:colOff>
      <xdr:row>2</xdr:row>
      <xdr:rowOff>9525</xdr:rowOff>
    </xdr:from>
    <xdr:to>
      <xdr:col>6</xdr:col>
      <xdr:colOff>457199</xdr:colOff>
      <xdr:row>43</xdr:row>
      <xdr:rowOff>152400</xdr:rowOff>
    </xdr:to>
    <xdr:sp macro="" textlink="">
      <xdr:nvSpPr>
        <xdr:cNvPr id="5122" name="Text Box 2"/>
        <xdr:cNvSpPr txBox="1">
          <a:spLocks noChangeArrowheads="1"/>
        </xdr:cNvSpPr>
      </xdr:nvSpPr>
      <xdr:spPr bwMode="auto">
        <a:xfrm>
          <a:off x="2828925" y="238125"/>
          <a:ext cx="2609849" cy="8220075"/>
        </a:xfrm>
        <a:prstGeom prst="rect">
          <a:avLst/>
        </a:prstGeom>
        <a:solidFill>
          <a:srgbClr val="FFFFFF"/>
        </a:solidFill>
        <a:ln w="9525">
          <a:noFill/>
          <a:miter lim="800000"/>
          <a:headEnd/>
          <a:tailEnd/>
        </a:ln>
      </xdr:spPr>
      <xdr:txBody>
        <a:bodyPr vertOverflow="clip" wrap="square" lIns="27432" tIns="27432" rIns="0" bIns="0" anchor="t" upright="1"/>
        <a:lstStyle/>
        <a:p>
          <a:pPr marL="0" indent="0" rtl="0" fontAlgn="base"/>
          <a:r>
            <a:rPr lang="en-US" sz="1200" b="1" i="0" strike="noStrike">
              <a:solidFill>
                <a:srgbClr val="000000"/>
              </a:solidFill>
              <a:latin typeface="Times New Roman"/>
              <a:ea typeface="+mn-ea"/>
              <a:cs typeface="Times New Roman"/>
            </a:rPr>
            <a:t>Brann-kombinert privatmarkedet</a:t>
          </a:r>
          <a:endParaRPr lang="nb-NO" sz="1200" b="1" i="0" strike="noStrike">
            <a:solidFill>
              <a:srgbClr val="000000"/>
            </a:solidFill>
            <a:latin typeface="Times New Roman"/>
            <a:ea typeface="+mn-ea"/>
            <a:cs typeface="Times New Roman"/>
          </a:endParaRPr>
        </a:p>
        <a:p>
          <a:pPr rtl="0"/>
          <a:r>
            <a:rPr lang="en-US" sz="1100" b="0" i="0" strike="noStrike" baseline="0">
              <a:solidFill>
                <a:srgbClr val="000000"/>
              </a:solidFill>
              <a:latin typeface="Times New Roman"/>
              <a:ea typeface="+mn-ea"/>
              <a:cs typeface="Times New Roman"/>
            </a:rPr>
            <a:t>Antall brannskader er redusert fra i fjor og brannerstatningene er svakt lavere enn samme periode i fjor på rett under 670 millioner kr. Vannskadene har økt en del fra i fjor og er beløper seg til litt mer enn brannerstatningene; antall vannskader økte med nesten 20 prosent fra i fjor og erstatningene økte med 26 prosent. Prosentvis økte vannskadene mest på hjem/innbo og hytter. Innbrudd, tyveri og ran har en gunstig utvikling med 20 prosent færre meldte skader og 12 prosent lavere erstatning, og størst prosentvis reduksjon var det på hytter med 31 prosent færre meldte skader enn i fjor til samme tid.</a:t>
          </a:r>
          <a:endParaRPr lang="nb-NO" sz="1100" b="0" i="0" strike="noStrike" baseline="0">
            <a:solidFill>
              <a:srgbClr val="000000"/>
            </a:solidFill>
            <a:latin typeface="Times New Roman"/>
            <a:ea typeface="+mn-ea"/>
            <a:cs typeface="Times New Roman"/>
          </a:endParaRPr>
        </a:p>
        <a:p>
          <a:pPr rtl="0" eaLnBrk="1" fontAlgn="base" latinLnBrk="0" hangingPunct="1"/>
          <a:endParaRPr lang="en-US" sz="1100" b="0" i="0" baseline="0">
            <a:latin typeface="+mn-lt"/>
            <a:ea typeface="+mn-ea"/>
            <a:cs typeface="+mn-cs"/>
          </a:endParaRPr>
        </a:p>
        <a:p>
          <a:pPr rtl="0" fontAlgn="base"/>
          <a:r>
            <a:rPr lang="en-US" sz="1200" b="1" i="0" strike="noStrike">
              <a:solidFill>
                <a:srgbClr val="000000"/>
              </a:solidFill>
              <a:latin typeface="Times New Roman"/>
              <a:ea typeface="+mn-ea"/>
              <a:cs typeface="Times New Roman"/>
            </a:rPr>
            <a:t>Brann-kombinert Næring</a:t>
          </a:r>
          <a:endParaRPr lang="nb-NO" sz="1200" b="1" i="0" strike="noStrike">
            <a:solidFill>
              <a:srgbClr val="000000"/>
            </a:solidFill>
            <a:latin typeface="Times New Roman"/>
            <a:ea typeface="+mn-ea"/>
            <a:cs typeface="Times New Roman"/>
          </a:endParaRPr>
        </a:p>
        <a:p>
          <a:pPr fontAlgn="base"/>
          <a:r>
            <a:rPr lang="nb-NO" sz="1100" b="0" i="0" strike="noStrike" baseline="0">
              <a:solidFill>
                <a:srgbClr val="000000"/>
              </a:solidFill>
              <a:latin typeface="Times New Roman"/>
              <a:ea typeface="+mn-ea"/>
              <a:cs typeface="Times New Roman"/>
            </a:rPr>
            <a:t>På næringsrelaterte bransjer er det samme utvikling som for private bransjer, med brannerstatning på samme nivå som i fjor og økte vannskadeerstatninger. Erstatning etter brann utgjør nesten 480 millioner kr av et totalt 1,2 milliarder kr 1. kvartal i år, mens erstatning etter vannskader er drøyt 350 millioner. Antall innbrudd, tyveri og ran er redusert, men erstatningene har økt fra i fjor og det er også økning fra 1. kvartal 2011.</a:t>
          </a:r>
          <a:endParaRPr lang="en-US" sz="1100" b="0" i="0" strike="noStrike" baseline="0">
            <a:solidFill>
              <a:srgbClr val="000000"/>
            </a:solidFill>
            <a:latin typeface="Times New Roman"/>
            <a:ea typeface="+mn-ea"/>
            <a:cs typeface="Times New Roman"/>
          </a:endParaRPr>
        </a:p>
        <a:p>
          <a:pPr algn="l" rtl="0">
            <a:defRPr sz="1000"/>
          </a:pPr>
          <a:endParaRPr lang="en-US" sz="1200" b="1"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Reiseforsikring</a:t>
          </a:r>
        </a:p>
        <a:p>
          <a:pPr algn="l" rtl="0">
            <a:defRPr sz="1000"/>
          </a:pPr>
          <a:r>
            <a:rPr lang="nb-NO" sz="1100" b="0" i="0" strike="noStrike" baseline="0">
              <a:solidFill>
                <a:srgbClr val="000000"/>
              </a:solidFill>
              <a:latin typeface="Times New Roman"/>
              <a:ea typeface="+mn-ea"/>
              <a:cs typeface="Times New Roman"/>
            </a:rPr>
            <a:t>Etter flere år med stor økning i reiseskader, ser det nå ut til at økningen har avtatt; antall reiseskader 1. kvartal i år har bare økt med 3 prosent og erstatningene viser en reduksjon på nesten 4 prosent. Det er en reduksjon i antall meldte tyverier og tap av reisegods med rundt 2 prosent sammenliknet med i fjor til samme tid, og med nesten 17 prosent lavere erstatning. Erstatning etter sykdom på reise har også avtatt med nesten 6 prosent, mens det fortsatt er økning i antall meldte skader på nesten 7 prosent.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28575</xdr:colOff>
      <xdr:row>51</xdr:row>
      <xdr:rowOff>0</xdr:rowOff>
    </xdr:to>
    <xdr:sp macro="" textlink="">
      <xdr:nvSpPr>
        <xdr:cNvPr id="6145" name="Text Box 1"/>
        <xdr:cNvSpPr txBox="1">
          <a:spLocks noChangeArrowheads="1"/>
        </xdr:cNvSpPr>
      </xdr:nvSpPr>
      <xdr:spPr bwMode="auto">
        <a:xfrm>
          <a:off x="0" y="711200"/>
          <a:ext cx="2555875" cy="93091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Prinsipper</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er lagt vekt på å kunne presentere så aktuelle tall som mulig. Tidligere tall oppdateres ikke, men presenteres for å vise hva man trodde på tilsvarende tidspunkt for de to foregående år. </a:t>
          </a:r>
        </a:p>
        <a:p>
          <a:pPr algn="l" rtl="0">
            <a:defRPr sz="1000"/>
          </a:pPr>
          <a:endParaRPr lang="en-US" sz="8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Gouda Reiseforsikring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NEMI Forsikring</a:t>
          </a:r>
        </a:p>
        <a:p>
          <a:pPr algn="l" rtl="0">
            <a:defRPr sz="1000"/>
          </a:pPr>
          <a:r>
            <a:rPr lang="en-US" sz="1050" b="0" i="0" strike="noStrike">
              <a:solidFill>
                <a:srgbClr val="000000"/>
              </a:solidFill>
              <a:latin typeface="Times New Roman" pitchFamily="18" charset="0"/>
              <a:cs typeface="Times New Roman" pitchFamily="18" charset="0"/>
            </a:rPr>
            <a:t>     Oslo Forsikring</a:t>
          </a:r>
        </a:p>
        <a:p>
          <a:pPr algn="l" rtl="0">
            <a:defRPr sz="1000"/>
          </a:pPr>
          <a:r>
            <a:rPr lang="en-US" sz="1050" b="0" i="0" strike="noStrike">
              <a:solidFill>
                <a:srgbClr val="000000"/>
              </a:solidFill>
              <a:latin typeface="Times New Roman" pitchFamily="18" charset="0"/>
              <a:cs typeface="Times New Roman" pitchFamily="18" charset="0"/>
            </a:rPr>
            <a:t>     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ea typeface="+mn-ea"/>
              <a:cs typeface="Times New Roman" pitchFamily="18" charset="0"/>
            </a:rPr>
            <a:t>Unison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190500</xdr:rowOff>
    </xdr:from>
    <xdr:to>
      <xdr:col>7</xdr:col>
      <xdr:colOff>0</xdr:colOff>
      <xdr:row>50</xdr:row>
      <xdr:rowOff>28575</xdr:rowOff>
    </xdr:to>
    <xdr:sp macro="" textlink="">
      <xdr:nvSpPr>
        <xdr:cNvPr id="6146" name="Text Box 2"/>
        <xdr:cNvSpPr txBox="1">
          <a:spLocks noChangeArrowheads="1"/>
        </xdr:cNvSpPr>
      </xdr:nvSpPr>
      <xdr:spPr bwMode="auto">
        <a:xfrm>
          <a:off x="2876550" y="695325"/>
          <a:ext cx="2647950" cy="9039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190500</xdr:rowOff>
    </xdr:from>
    <xdr:to>
      <xdr:col>10</xdr:col>
      <xdr:colOff>371475</xdr:colOff>
      <xdr:row>50</xdr:row>
      <xdr:rowOff>38100</xdr:rowOff>
    </xdr:to>
    <xdr:sp macro="" textlink="">
      <xdr:nvSpPr>
        <xdr:cNvPr id="6151" name="Text Box 7"/>
        <xdr:cNvSpPr txBox="1">
          <a:spLocks noChangeArrowheads="1"/>
        </xdr:cNvSpPr>
      </xdr:nvSpPr>
      <xdr:spPr bwMode="auto">
        <a:xfrm>
          <a:off x="5629275" y="695325"/>
          <a:ext cx="2552700" cy="90487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Brannstatistikkene utgitt av FNO. Det henvises til disse statistikkene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190500</xdr:rowOff>
    </xdr:from>
    <xdr:to>
      <xdr:col>14</xdr:col>
      <xdr:colOff>257175</xdr:colOff>
      <xdr:row>50</xdr:row>
      <xdr:rowOff>38100</xdr:rowOff>
    </xdr:to>
    <xdr:sp macro="" textlink="">
      <xdr:nvSpPr>
        <xdr:cNvPr id="6152" name="Text Box 8"/>
        <xdr:cNvSpPr txBox="1">
          <a:spLocks noChangeArrowheads="1"/>
        </xdr:cNvSpPr>
      </xdr:nvSpPr>
      <xdr:spPr bwMode="auto">
        <a:xfrm>
          <a:off x="8562975" y="695325"/>
          <a:ext cx="2552700" cy="90487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emiestat\NyesteKvartal\premiestatistikk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h.no/pagefiles/8372/2009/3%20kvartal%20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nha.FINANS/AppData/Local/Microsoft/Windows/Temporary%20Internet%20Files/Content.Outlook/N3P6LQPH/skadestatistikken_bkup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Datagrunnlag"/>
      <sheetName val="tab17"/>
    </sheetNames>
    <sheetDataSet>
      <sheetData sheetId="0"/>
      <sheetData sheetId="1"/>
      <sheetData sheetId="2"/>
      <sheetData sheetId="3"/>
      <sheetData sheetId="4"/>
      <sheetData sheetId="5"/>
      <sheetData sheetId="6">
        <row r="6">
          <cell r="B6">
            <v>39082</v>
          </cell>
          <cell r="C6">
            <v>39447</v>
          </cell>
          <cell r="D6">
            <v>39813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orside"/>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s>
    <sheetDataSet>
      <sheetData sheetId="0"/>
      <sheetData sheetId="1"/>
      <sheetData sheetId="2"/>
      <sheetData sheetId="3"/>
      <sheetData sheetId="4"/>
      <sheetData sheetId="5"/>
      <sheetData sheetId="6">
        <row r="6">
          <cell r="C6">
            <v>39721</v>
          </cell>
          <cell r="D6">
            <v>40086</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orside"/>
      <sheetName val="Innhold"/>
      <sheetName val="Tab1"/>
      <sheetName val="Tab2"/>
      <sheetName val="Tab3"/>
      <sheetName val="Tab4"/>
      <sheetName val="Tab6 (5)"/>
      <sheetName val="Tab5_gammel"/>
      <sheetName val="Tab6"/>
      <sheetName val="Tab7"/>
      <sheetName val="Tab8"/>
      <sheetName val="Tab9"/>
      <sheetName val="Tab10"/>
      <sheetName val="Tab11"/>
      <sheetName val="Tab12"/>
      <sheetName val="Tab13"/>
      <sheetName val="Tab14"/>
      <sheetName val="Tab15"/>
      <sheetName val="tab16"/>
      <sheetName val="tab17"/>
      <sheetName val="Datagrunnlag"/>
    </sheetNames>
    <sheetDataSet>
      <sheetData sheetId="0"/>
      <sheetData sheetId="1"/>
      <sheetData sheetId="2"/>
      <sheetData sheetId="3"/>
      <sheetData sheetId="4">
        <row r="6">
          <cell r="C6">
            <v>1999</v>
          </cell>
          <cell r="D6">
            <v>2000</v>
          </cell>
          <cell r="E6">
            <v>2001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5:I49"/>
  <sheetViews>
    <sheetView showGridLines="0" showRowColHeaders="0" topLeftCell="A2" zoomScale="80" zoomScaleNormal="80" workbookViewId="0"/>
  </sheetViews>
  <sheetFormatPr baseColWidth="10" defaultColWidth="11.42578125" defaultRowHeight="12.75"/>
  <cols>
    <col min="1" max="1" width="16.28515625" style="99" customWidth="1"/>
    <col min="2" max="2" width="11.42578125" style="99" customWidth="1"/>
    <col min="3" max="3" width="3.5703125" style="99" customWidth="1"/>
    <col min="4" max="4" width="0.5703125" style="99" customWidth="1"/>
    <col min="5" max="7" width="11.42578125" style="99" customWidth="1"/>
    <col min="8" max="8" width="16.85546875" style="99" customWidth="1"/>
    <col min="9" max="9" width="13.7109375" style="99" bestFit="1" customWidth="1"/>
    <col min="10" max="16384" width="11.42578125" style="99"/>
  </cols>
  <sheetData>
    <row r="5" spans="2:9">
      <c r="B5" s="98"/>
      <c r="C5" s="98"/>
      <c r="D5" s="98"/>
      <c r="E5" s="98"/>
      <c r="F5" s="98"/>
      <c r="G5" s="98"/>
      <c r="H5" s="98"/>
    </row>
    <row r="6" spans="2:9" ht="23.25">
      <c r="B6" s="98"/>
      <c r="C6" s="98"/>
      <c r="D6" s="98"/>
      <c r="E6" s="98"/>
      <c r="F6" s="98"/>
      <c r="G6" s="98"/>
      <c r="H6" s="98"/>
      <c r="I6" s="100"/>
    </row>
    <row r="7" spans="2:9">
      <c r="B7" s="98"/>
      <c r="C7" s="98"/>
      <c r="D7" s="98"/>
      <c r="E7" s="98"/>
      <c r="F7" s="98"/>
      <c r="G7" s="98"/>
      <c r="H7" s="98"/>
      <c r="I7" s="98"/>
    </row>
    <row r="8" spans="2:9">
      <c r="B8" s="98"/>
      <c r="C8" s="98"/>
      <c r="D8" s="98"/>
      <c r="F8" s="98"/>
      <c r="G8" s="98"/>
      <c r="H8" s="98"/>
    </row>
    <row r="9" spans="2:9">
      <c r="B9" s="98"/>
      <c r="C9" s="98"/>
      <c r="D9" s="98"/>
      <c r="E9" s="98"/>
      <c r="F9" s="98"/>
      <c r="G9" s="98"/>
      <c r="H9" s="98"/>
    </row>
    <row r="10" spans="2:9" ht="23.25">
      <c r="B10" s="98"/>
      <c r="C10" s="98"/>
      <c r="D10" s="98"/>
      <c r="I10" s="100"/>
    </row>
    <row r="11" spans="2:9">
      <c r="B11" s="98"/>
      <c r="C11" s="98"/>
      <c r="D11" s="98"/>
    </row>
    <row r="12" spans="2:9" ht="21" customHeight="1">
      <c r="B12" s="98"/>
      <c r="C12" s="98"/>
      <c r="D12" s="98"/>
      <c r="E12" s="98"/>
      <c r="F12" s="98"/>
      <c r="G12" s="98"/>
      <c r="H12" s="98"/>
      <c r="I12" s="100"/>
    </row>
    <row r="13" spans="2:9" ht="20.25" customHeight="1">
      <c r="B13" s="98"/>
      <c r="C13" s="98"/>
      <c r="D13" s="101"/>
      <c r="E13" s="102" t="s">
        <v>220</v>
      </c>
      <c r="F13" s="101"/>
      <c r="G13" s="101"/>
      <c r="H13" s="101"/>
      <c r="I13" s="100"/>
    </row>
    <row r="14" spans="2:9">
      <c r="B14" s="98"/>
      <c r="C14" s="98"/>
      <c r="D14" s="98"/>
      <c r="F14" s="98"/>
      <c r="G14" s="98"/>
      <c r="H14" s="98"/>
    </row>
    <row r="15" spans="2:9" ht="18" customHeight="1">
      <c r="B15" s="98"/>
      <c r="C15" s="98"/>
      <c r="D15" s="98"/>
      <c r="F15" s="98"/>
      <c r="G15" s="98"/>
      <c r="H15" s="98"/>
      <c r="I15" s="98"/>
    </row>
    <row r="16" spans="2:9" ht="34.5">
      <c r="B16" s="98"/>
      <c r="C16" s="98"/>
      <c r="D16" s="98"/>
      <c r="E16" s="103" t="s">
        <v>180</v>
      </c>
      <c r="F16" s="98"/>
      <c r="G16" s="98"/>
      <c r="H16" s="98"/>
      <c r="I16" s="98"/>
    </row>
    <row r="17" spans="2:9" ht="33">
      <c r="B17" s="98"/>
      <c r="C17" s="98"/>
      <c r="D17" s="98"/>
      <c r="E17" s="111" t="s">
        <v>104</v>
      </c>
      <c r="F17" s="98"/>
      <c r="G17" s="98"/>
      <c r="H17" s="98"/>
      <c r="I17" s="98"/>
    </row>
    <row r="19" spans="2:9" ht="15.75">
      <c r="E19" s="104"/>
      <c r="I19" s="105"/>
    </row>
    <row r="21" spans="2:9">
      <c r="E21" s="106"/>
    </row>
    <row r="22" spans="2:9" ht="26.25">
      <c r="E22" s="107" t="s">
        <v>219</v>
      </c>
    </row>
    <row r="25" spans="2:9" ht="18.75">
      <c r="E25" s="108" t="s">
        <v>181</v>
      </c>
    </row>
    <row r="26" spans="2:9" ht="18.75">
      <c r="E26" s="108" t="s">
        <v>182</v>
      </c>
    </row>
    <row r="28" spans="2:9" ht="20.25" customHeight="1">
      <c r="D28" s="109"/>
      <c r="E28" s="109"/>
      <c r="F28" s="109"/>
      <c r="G28" s="109"/>
      <c r="H28" s="109"/>
    </row>
    <row r="41" spans="2:9" ht="18.75">
      <c r="I41" s="110"/>
    </row>
    <row r="43" spans="2:9" ht="18.75">
      <c r="B43" s="147"/>
      <c r="C43" s="147"/>
      <c r="D43" s="147"/>
    </row>
    <row r="49" spans="5:5" ht="18.75">
      <c r="E49" s="115" t="s">
        <v>221</v>
      </c>
    </row>
  </sheetData>
  <mergeCells count="1">
    <mergeCell ref="B43:D43"/>
  </mergeCells>
  <pageMargins left="0" right="0" top="0" bottom="0"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170</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c r="A7" s="155" t="s">
        <v>44</v>
      </c>
      <c r="B7" s="19" t="s">
        <v>3</v>
      </c>
      <c r="C7" s="20">
        <v>119248.22857142857</v>
      </c>
      <c r="D7" s="20">
        <v>109466</v>
      </c>
      <c r="E7" s="83">
        <v>115284.6783801617</v>
      </c>
      <c r="F7" s="22" t="s">
        <v>224</v>
      </c>
      <c r="G7" s="23">
        <v>-3.3237811905044339</v>
      </c>
      <c r="H7" s="24">
        <v>5.3155120130101494</v>
      </c>
    </row>
    <row r="8" spans="1:8">
      <c r="A8" s="156"/>
      <c r="B8" s="25" t="s">
        <v>127</v>
      </c>
      <c r="C8" s="26">
        <v>19430.908571428572</v>
      </c>
      <c r="D8" s="26">
        <v>24800.057142857142</v>
      </c>
      <c r="E8" s="26">
        <v>23110.982857142859</v>
      </c>
      <c r="F8" s="27"/>
      <c r="G8" s="28">
        <v>18.939280539488053</v>
      </c>
      <c r="H8" s="29">
        <v>-6.81076771712506</v>
      </c>
    </row>
    <row r="9" spans="1:8">
      <c r="A9" s="30" t="s">
        <v>18</v>
      </c>
      <c r="B9" s="31" t="s">
        <v>3</v>
      </c>
      <c r="C9" s="20">
        <v>12509.902702702702</v>
      </c>
      <c r="D9" s="20">
        <v>8432</v>
      </c>
      <c r="E9" s="39">
        <v>7987.4532745163542</v>
      </c>
      <c r="F9" s="22" t="s">
        <v>224</v>
      </c>
      <c r="G9" s="32">
        <v>-36.150956051874772</v>
      </c>
      <c r="H9" s="33">
        <v>-5.2721385849578581</v>
      </c>
    </row>
    <row r="10" spans="1:8">
      <c r="A10" s="34"/>
      <c r="B10" s="35" t="s">
        <v>127</v>
      </c>
      <c r="C10" s="21">
        <v>1907.3200000000002</v>
      </c>
      <c r="D10" s="21">
        <v>2333.4756756756756</v>
      </c>
      <c r="E10" s="26">
        <v>1738.1816216216216</v>
      </c>
      <c r="F10" s="36"/>
      <c r="G10" s="37">
        <v>-8.8678553351497698</v>
      </c>
      <c r="H10" s="29">
        <v>-25.511046044295355</v>
      </c>
    </row>
    <row r="11" spans="1:8">
      <c r="A11" s="30" t="s">
        <v>19</v>
      </c>
      <c r="B11" s="38" t="s">
        <v>3</v>
      </c>
      <c r="C11" s="39">
        <v>6978.7619047619046</v>
      </c>
      <c r="D11" s="39">
        <v>5975</v>
      </c>
      <c r="E11" s="39">
        <v>6266.5780822701581</v>
      </c>
      <c r="F11" s="40" t="s">
        <v>224</v>
      </c>
      <c r="G11" s="41">
        <v>-10.205016766739007</v>
      </c>
      <c r="H11" s="33">
        <v>4.8799679041030544</v>
      </c>
    </row>
    <row r="12" spans="1:8">
      <c r="A12" s="34"/>
      <c r="B12" s="25" t="s">
        <v>127</v>
      </c>
      <c r="C12" s="26">
        <v>1819.2952380952381</v>
      </c>
      <c r="D12" s="26">
        <v>1377.1904761904761</v>
      </c>
      <c r="E12" s="26">
        <v>1502.4095238095238</v>
      </c>
      <c r="F12" s="27"/>
      <c r="G12" s="28">
        <v>-17.418047805010843</v>
      </c>
      <c r="H12" s="29">
        <v>9.0923550361329006</v>
      </c>
    </row>
    <row r="13" spans="1:8">
      <c r="A13" s="30" t="s">
        <v>20</v>
      </c>
      <c r="B13" s="31" t="s">
        <v>3</v>
      </c>
      <c r="C13" s="20">
        <v>22613.746938775512</v>
      </c>
      <c r="D13" s="20">
        <v>23506</v>
      </c>
      <c r="E13" s="39">
        <v>19551.343078787406</v>
      </c>
      <c r="F13" s="22" t="s">
        <v>224</v>
      </c>
      <c r="G13" s="23">
        <v>-13.542222207930692</v>
      </c>
      <c r="H13" s="24">
        <v>-16.824031826821212</v>
      </c>
    </row>
    <row r="14" spans="1:8">
      <c r="A14" s="34"/>
      <c r="B14" s="35" t="s">
        <v>127</v>
      </c>
      <c r="C14" s="21">
        <v>3824.1297959183671</v>
      </c>
      <c r="D14" s="21">
        <v>4475.436734693878</v>
      </c>
      <c r="E14" s="26">
        <v>3572.5689795918365</v>
      </c>
      <c r="F14" s="36"/>
      <c r="G14" s="42">
        <v>-6.5782499483942871</v>
      </c>
      <c r="H14" s="24">
        <v>-20.173846903095551</v>
      </c>
    </row>
    <row r="15" spans="1:8">
      <c r="A15" s="30" t="s">
        <v>21</v>
      </c>
      <c r="B15" s="38" t="s">
        <v>3</v>
      </c>
      <c r="C15" s="39">
        <v>786.48571428571427</v>
      </c>
      <c r="D15" s="39">
        <v>875</v>
      </c>
      <c r="E15" s="39">
        <v>1016.8029367949972</v>
      </c>
      <c r="F15" s="40" t="s">
        <v>224</v>
      </c>
      <c r="G15" s="41">
        <v>29.284349140207468</v>
      </c>
      <c r="H15" s="33">
        <v>16.206049919428239</v>
      </c>
    </row>
    <row r="16" spans="1:8">
      <c r="A16" s="34"/>
      <c r="B16" s="25" t="s">
        <v>127</v>
      </c>
      <c r="C16" s="26">
        <v>173.98753246753247</v>
      </c>
      <c r="D16" s="26">
        <v>203.37142857142857</v>
      </c>
      <c r="E16" s="26">
        <v>232.40675324675325</v>
      </c>
      <c r="F16" s="27"/>
      <c r="G16" s="28">
        <v>33.576670667550445</v>
      </c>
      <c r="H16" s="29">
        <v>14.276993026641804</v>
      </c>
    </row>
    <row r="17" spans="1:8">
      <c r="A17" s="30" t="s">
        <v>22</v>
      </c>
      <c r="B17" s="38" t="s">
        <v>3</v>
      </c>
      <c r="C17" s="39">
        <v>4277.022857142857</v>
      </c>
      <c r="D17" s="39">
        <v>4731</v>
      </c>
      <c r="E17" s="39">
        <v>4042.7598891700527</v>
      </c>
      <c r="F17" s="40" t="s">
        <v>224</v>
      </c>
      <c r="G17" s="41">
        <v>-5.4772437697304497</v>
      </c>
      <c r="H17" s="33">
        <v>-14.547455312406413</v>
      </c>
    </row>
    <row r="18" spans="1:8">
      <c r="A18" s="34"/>
      <c r="B18" s="25" t="s">
        <v>127</v>
      </c>
      <c r="C18" s="26">
        <v>609.59085714285709</v>
      </c>
      <c r="D18" s="26">
        <v>1105.0057142857142</v>
      </c>
      <c r="E18" s="26">
        <v>778.49828571428566</v>
      </c>
      <c r="F18" s="27"/>
      <c r="G18" s="28">
        <v>27.708327084020752</v>
      </c>
      <c r="H18" s="29">
        <v>-29.548030779414205</v>
      </c>
    </row>
    <row r="19" spans="1:8">
      <c r="A19" s="30" t="s">
        <v>23</v>
      </c>
      <c r="B19" s="31" t="s">
        <v>3</v>
      </c>
      <c r="C19" s="20">
        <v>39268.62857142857</v>
      </c>
      <c r="D19" s="20">
        <v>47642</v>
      </c>
      <c r="E19" s="39">
        <v>50278.753197685633</v>
      </c>
      <c r="F19" s="22" t="s">
        <v>224</v>
      </c>
      <c r="G19" s="23">
        <v>28.037965742118928</v>
      </c>
      <c r="H19" s="24">
        <v>5.5345140793535847</v>
      </c>
    </row>
    <row r="20" spans="1:8">
      <c r="A20" s="30"/>
      <c r="B20" s="35" t="s">
        <v>127</v>
      </c>
      <c r="C20" s="21">
        <v>8624.9485714285729</v>
      </c>
      <c r="D20" s="21">
        <v>10894.657142857142</v>
      </c>
      <c r="E20" s="26">
        <v>11342.052857142857</v>
      </c>
      <c r="F20" s="36"/>
      <c r="G20" s="42">
        <v>31.502846228151412</v>
      </c>
      <c r="H20" s="24">
        <v>4.1065607519282139</v>
      </c>
    </row>
    <row r="21" spans="1:8">
      <c r="A21" s="43" t="s">
        <v>12</v>
      </c>
      <c r="B21" s="38" t="s">
        <v>3</v>
      </c>
      <c r="C21" s="39">
        <v>1496</v>
      </c>
      <c r="D21" s="39">
        <v>1264</v>
      </c>
      <c r="E21" s="39">
        <v>1099.990361445783</v>
      </c>
      <c r="F21" s="40" t="s">
        <v>224</v>
      </c>
      <c r="G21" s="41">
        <v>-26.4712325236776</v>
      </c>
      <c r="H21" s="33">
        <v>-12.975446088150079</v>
      </c>
    </row>
    <row r="22" spans="1:8">
      <c r="A22" s="34"/>
      <c r="B22" s="25" t="s">
        <v>127</v>
      </c>
      <c r="C22" s="26">
        <v>255</v>
      </c>
      <c r="D22" s="26">
        <v>249</v>
      </c>
      <c r="E22" s="26">
        <v>206</v>
      </c>
      <c r="F22" s="27"/>
      <c r="G22" s="28">
        <v>-19.215686274509807</v>
      </c>
      <c r="H22" s="29">
        <v>-17.269076305220892</v>
      </c>
    </row>
    <row r="23" spans="1:8">
      <c r="A23" s="43" t="s">
        <v>24</v>
      </c>
      <c r="B23" s="31" t="s">
        <v>3</v>
      </c>
      <c r="C23" s="20">
        <v>4034.1759398496242</v>
      </c>
      <c r="D23" s="20">
        <v>3913</v>
      </c>
      <c r="E23" s="39">
        <v>3375.5209547786153</v>
      </c>
      <c r="F23" s="22" t="s">
        <v>224</v>
      </c>
      <c r="G23" s="23">
        <v>-16.326878026434329</v>
      </c>
      <c r="H23" s="24">
        <v>-13.735728219304491</v>
      </c>
    </row>
    <row r="24" spans="1:8">
      <c r="A24" s="34"/>
      <c r="B24" s="35" t="s">
        <v>127</v>
      </c>
      <c r="C24" s="21">
        <v>1091.8875187969925</v>
      </c>
      <c r="D24" s="21">
        <v>1141.7939849624061</v>
      </c>
      <c r="E24" s="26">
        <v>959.97233082706771</v>
      </c>
      <c r="F24" s="36"/>
      <c r="G24" s="42">
        <v>-12.081389859210475</v>
      </c>
      <c r="H24" s="24">
        <v>-15.924208441273663</v>
      </c>
    </row>
    <row r="25" spans="1:8">
      <c r="A25" s="30" t="s">
        <v>25</v>
      </c>
      <c r="B25" s="38" t="s">
        <v>3</v>
      </c>
      <c r="C25" s="39">
        <v>186</v>
      </c>
      <c r="D25" s="39">
        <v>174</v>
      </c>
      <c r="E25" s="39">
        <v>206.21176470588236</v>
      </c>
      <c r="F25" s="40" t="s">
        <v>224</v>
      </c>
      <c r="G25" s="41">
        <v>10.866540164452871</v>
      </c>
      <c r="H25" s="33">
        <v>18.512508451656529</v>
      </c>
    </row>
    <row r="26" spans="1:8">
      <c r="A26" s="30"/>
      <c r="B26" s="25" t="s">
        <v>127</v>
      </c>
      <c r="C26" s="26">
        <v>25</v>
      </c>
      <c r="D26" s="26">
        <v>34</v>
      </c>
      <c r="E26" s="26">
        <v>35</v>
      </c>
      <c r="F26" s="27"/>
      <c r="G26" s="28">
        <v>40</v>
      </c>
      <c r="H26" s="29">
        <v>2.941176470588232</v>
      </c>
    </row>
    <row r="27" spans="1:8">
      <c r="A27" s="43" t="s">
        <v>9</v>
      </c>
      <c r="B27" s="31" t="s">
        <v>3</v>
      </c>
      <c r="C27" s="39">
        <v>9</v>
      </c>
      <c r="D27" s="39">
        <v>10</v>
      </c>
      <c r="E27" s="39">
        <v>22.25</v>
      </c>
      <c r="F27" s="22" t="s">
        <v>224</v>
      </c>
      <c r="G27" s="23">
        <v>147.22222222222223</v>
      </c>
      <c r="H27" s="24">
        <v>122.5</v>
      </c>
    </row>
    <row r="28" spans="1:8">
      <c r="A28" s="34"/>
      <c r="B28" s="25" t="s">
        <v>127</v>
      </c>
      <c r="C28" s="26">
        <v>4</v>
      </c>
      <c r="D28" s="26">
        <v>1</v>
      </c>
      <c r="E28" s="26">
        <v>3</v>
      </c>
      <c r="F28" s="27"/>
      <c r="G28" s="28">
        <v>-25</v>
      </c>
      <c r="H28" s="29">
        <v>200</v>
      </c>
    </row>
    <row r="29" spans="1:8">
      <c r="A29" s="30" t="s">
        <v>26</v>
      </c>
      <c r="B29" s="31" t="s">
        <v>3</v>
      </c>
      <c r="C29" s="44">
        <v>28108.352380952383</v>
      </c>
      <c r="D29" s="44">
        <v>13930</v>
      </c>
      <c r="E29" s="39">
        <v>28341.064264851448</v>
      </c>
      <c r="F29" s="22" t="s">
        <v>224</v>
      </c>
      <c r="G29" s="23">
        <v>0.82791008432340618</v>
      </c>
      <c r="H29" s="24">
        <v>103.45344052298236</v>
      </c>
    </row>
    <row r="30" spans="1:8" ht="13.5" thickBot="1">
      <c r="A30" s="45"/>
      <c r="B30" s="46" t="s">
        <v>127</v>
      </c>
      <c r="C30" s="47">
        <v>1410.6590476190474</v>
      </c>
      <c r="D30" s="47">
        <v>3187.8380952380953</v>
      </c>
      <c r="E30" s="47">
        <v>2966.0819047619048</v>
      </c>
      <c r="F30" s="48"/>
      <c r="G30" s="49">
        <v>110.26214022219943</v>
      </c>
      <c r="H30" s="50">
        <v>-6.9563191056485607</v>
      </c>
    </row>
    <row r="31" spans="1:8">
      <c r="A31" s="51"/>
      <c r="B31" s="52"/>
      <c r="C31" s="53"/>
      <c r="D31" s="59"/>
      <c r="E31" s="53"/>
      <c r="F31" s="53"/>
      <c r="G31" s="54"/>
      <c r="H31" s="55"/>
    </row>
    <row r="32" spans="1:8" ht="16.5" thickBot="1">
      <c r="A32" s="4" t="s">
        <v>45</v>
      </c>
      <c r="B32" s="5"/>
      <c r="C32" s="5"/>
      <c r="D32" s="5"/>
      <c r="E32" s="5"/>
      <c r="F32" s="5"/>
      <c r="G32" s="5"/>
      <c r="H32" s="6"/>
    </row>
    <row r="33" spans="1:8">
      <c r="A33" s="7"/>
      <c r="B33" s="8"/>
      <c r="C33" s="159" t="s">
        <v>16</v>
      </c>
      <c r="D33" s="153"/>
      <c r="E33" s="153"/>
      <c r="F33" s="160"/>
      <c r="G33" s="153" t="s">
        <v>1</v>
      </c>
      <c r="H33" s="154"/>
    </row>
    <row r="34" spans="1:8">
      <c r="A34" s="12"/>
      <c r="B34" s="13"/>
      <c r="C34" s="14">
        <v>2011</v>
      </c>
      <c r="D34" s="15">
        <v>2012</v>
      </c>
      <c r="E34" s="15">
        <v>2013</v>
      </c>
      <c r="F34" s="16"/>
      <c r="G34" s="17" t="s">
        <v>222</v>
      </c>
      <c r="H34" s="18" t="s">
        <v>223</v>
      </c>
    </row>
    <row r="35" spans="1:8" ht="12.75" customHeight="1">
      <c r="A35" s="155" t="s">
        <v>44</v>
      </c>
      <c r="B35" s="19" t="s">
        <v>3</v>
      </c>
      <c r="C35" s="84">
        <v>1379.6285415780656</v>
      </c>
      <c r="D35" s="84">
        <v>1300.9363715846609</v>
      </c>
      <c r="E35" s="85">
        <v>1361.6624620576233</v>
      </c>
      <c r="F35" s="22" t="s">
        <v>224</v>
      </c>
      <c r="G35" s="23">
        <v>-1.3022403479629361</v>
      </c>
      <c r="H35" s="24">
        <v>4.6678755240728833</v>
      </c>
    </row>
    <row r="36" spans="1:8" ht="12.75" customHeight="1">
      <c r="A36" s="156"/>
      <c r="B36" s="25" t="s">
        <v>127</v>
      </c>
      <c r="C36" s="86">
        <v>327.93117962105407</v>
      </c>
      <c r="D36" s="86">
        <v>323.70634922611288</v>
      </c>
      <c r="E36" s="86">
        <v>333.60932956679039</v>
      </c>
      <c r="F36" s="27"/>
      <c r="G36" s="28">
        <v>1.7315065777819001</v>
      </c>
      <c r="H36" s="29">
        <v>3.0592481007408736</v>
      </c>
    </row>
    <row r="37" spans="1:8">
      <c r="A37" s="30" t="s">
        <v>18</v>
      </c>
      <c r="B37" s="31" t="s">
        <v>3</v>
      </c>
      <c r="C37" s="84">
        <v>479.28183805512413</v>
      </c>
      <c r="D37" s="84">
        <v>415.46900827342296</v>
      </c>
      <c r="E37" s="87">
        <v>425.39789708366601</v>
      </c>
      <c r="F37" s="22" t="s">
        <v>224</v>
      </c>
      <c r="G37" s="32">
        <v>-11.242641947400628</v>
      </c>
      <c r="H37" s="33">
        <v>2.3898025153560383</v>
      </c>
    </row>
    <row r="38" spans="1:8">
      <c r="A38" s="34"/>
      <c r="B38" s="35" t="s">
        <v>127</v>
      </c>
      <c r="C38" s="87">
        <v>139.44179141974269</v>
      </c>
      <c r="D38" s="87">
        <v>115.89712636242895</v>
      </c>
      <c r="E38" s="87">
        <v>120.31886119751465</v>
      </c>
      <c r="F38" s="36"/>
      <c r="G38" s="37">
        <v>-13.713916055958336</v>
      </c>
      <c r="H38" s="29">
        <v>3.8152238747130269</v>
      </c>
    </row>
    <row r="39" spans="1:8">
      <c r="A39" s="30" t="s">
        <v>19</v>
      </c>
      <c r="B39" s="38" t="s">
        <v>3</v>
      </c>
      <c r="C39" s="88">
        <v>161.50081730479627</v>
      </c>
      <c r="D39" s="88">
        <v>142.06705910020278</v>
      </c>
      <c r="E39" s="88">
        <v>189.22899989528204</v>
      </c>
      <c r="F39" s="40" t="s">
        <v>224</v>
      </c>
      <c r="G39" s="41">
        <v>17.16906641912226</v>
      </c>
      <c r="H39" s="33">
        <v>33.196957193162547</v>
      </c>
    </row>
    <row r="40" spans="1:8">
      <c r="A40" s="34"/>
      <c r="B40" s="25" t="s">
        <v>127</v>
      </c>
      <c r="C40" s="86">
        <v>39.468449877586011</v>
      </c>
      <c r="D40" s="86">
        <v>27.980581299285529</v>
      </c>
      <c r="E40" s="86">
        <v>39.847230056545889</v>
      </c>
      <c r="F40" s="27"/>
      <c r="G40" s="28">
        <v>0.95970371305355684</v>
      </c>
      <c r="H40" s="29">
        <v>42.410301023886774</v>
      </c>
    </row>
    <row r="41" spans="1:8">
      <c r="A41" s="30" t="s">
        <v>20</v>
      </c>
      <c r="B41" s="31" t="s">
        <v>3</v>
      </c>
      <c r="C41" s="84">
        <v>307.52293694841234</v>
      </c>
      <c r="D41" s="84">
        <v>328.67322605049281</v>
      </c>
      <c r="E41" s="87">
        <v>303.44228900045761</v>
      </c>
      <c r="F41" s="22" t="s">
        <v>224</v>
      </c>
      <c r="G41" s="23">
        <v>-1.3269410042865388</v>
      </c>
      <c r="H41" s="24">
        <v>-7.6766024885029935</v>
      </c>
    </row>
    <row r="42" spans="1:8">
      <c r="A42" s="34"/>
      <c r="B42" s="35" t="s">
        <v>127</v>
      </c>
      <c r="C42" s="87">
        <v>59.035410042739294</v>
      </c>
      <c r="D42" s="87">
        <v>73.281044267677942</v>
      </c>
      <c r="E42" s="87">
        <v>64.200942213316054</v>
      </c>
      <c r="F42" s="36"/>
      <c r="G42" s="42">
        <v>8.749887850083752</v>
      </c>
      <c r="H42" s="24">
        <v>-12.390792387175139</v>
      </c>
    </row>
    <row r="43" spans="1:8">
      <c r="A43" s="30" t="s">
        <v>21</v>
      </c>
      <c r="B43" s="38" t="s">
        <v>3</v>
      </c>
      <c r="C43" s="88">
        <v>4.1627791930314899</v>
      </c>
      <c r="D43" s="88">
        <v>4.1457410865807249</v>
      </c>
      <c r="E43" s="88">
        <v>4.856966434706484</v>
      </c>
      <c r="F43" s="40" t="s">
        <v>224</v>
      </c>
      <c r="G43" s="41">
        <v>16.676052451618546</v>
      </c>
      <c r="H43" s="33">
        <v>17.155565995858055</v>
      </c>
    </row>
    <row r="44" spans="1:8">
      <c r="A44" s="34"/>
      <c r="B44" s="25" t="s">
        <v>127</v>
      </c>
      <c r="C44" s="86">
        <v>1.0196442925752998</v>
      </c>
      <c r="D44" s="86">
        <v>1.090121451555327</v>
      </c>
      <c r="E44" s="86">
        <v>1.2465909885350124</v>
      </c>
      <c r="F44" s="27"/>
      <c r="G44" s="28">
        <v>22.257437972463606</v>
      </c>
      <c r="H44" s="29">
        <v>14.3534040868972</v>
      </c>
    </row>
    <row r="45" spans="1:8">
      <c r="A45" s="30" t="s">
        <v>22</v>
      </c>
      <c r="B45" s="38" t="s">
        <v>3</v>
      </c>
      <c r="C45" s="88">
        <v>23.659419880570226</v>
      </c>
      <c r="D45" s="88">
        <v>21.989571995654501</v>
      </c>
      <c r="E45" s="88">
        <v>25.962748458488363</v>
      </c>
      <c r="F45" s="40" t="s">
        <v>224</v>
      </c>
      <c r="G45" s="41">
        <v>9.7353552603785261</v>
      </c>
      <c r="H45" s="33">
        <v>18.068457465288674</v>
      </c>
    </row>
    <row r="46" spans="1:8">
      <c r="A46" s="34"/>
      <c r="B46" s="25" t="s">
        <v>127</v>
      </c>
      <c r="C46" s="86">
        <v>3.3997071136062074</v>
      </c>
      <c r="D46" s="86">
        <v>4.4776268028656894</v>
      </c>
      <c r="E46" s="86">
        <v>4.6413911126327907</v>
      </c>
      <c r="F46" s="27"/>
      <c r="G46" s="28">
        <v>36.52326384402798</v>
      </c>
      <c r="H46" s="29">
        <v>3.6573907781303205</v>
      </c>
    </row>
    <row r="47" spans="1:8">
      <c r="A47" s="30" t="s">
        <v>23</v>
      </c>
      <c r="B47" s="31" t="s">
        <v>3</v>
      </c>
      <c r="C47" s="84">
        <v>175.86300214960741</v>
      </c>
      <c r="D47" s="84">
        <v>198.64957067614182</v>
      </c>
      <c r="E47" s="87">
        <v>215.75454982122397</v>
      </c>
      <c r="F47" s="22" t="s">
        <v>224</v>
      </c>
      <c r="G47" s="23">
        <v>22.683308702805306</v>
      </c>
      <c r="H47" s="24">
        <v>8.6106298074856653</v>
      </c>
    </row>
    <row r="48" spans="1:8">
      <c r="A48" s="30"/>
      <c r="B48" s="35" t="s">
        <v>127</v>
      </c>
      <c r="C48" s="87">
        <v>43.286002495611001</v>
      </c>
      <c r="D48" s="87">
        <v>51.22583228513669</v>
      </c>
      <c r="E48" s="87">
        <v>54.766291519967915</v>
      </c>
      <c r="F48" s="36"/>
      <c r="G48" s="42">
        <v>26.521943266812315</v>
      </c>
      <c r="H48" s="24">
        <v>6.9114723507547495</v>
      </c>
    </row>
    <row r="49" spans="1:8">
      <c r="A49" s="43" t="s">
        <v>12</v>
      </c>
      <c r="B49" s="38" t="s">
        <v>3</v>
      </c>
      <c r="C49" s="88">
        <v>20.904674108752072</v>
      </c>
      <c r="D49" s="88">
        <v>13.675301680021533</v>
      </c>
      <c r="E49" s="88">
        <v>20.367676957678185</v>
      </c>
      <c r="F49" s="40" t="s">
        <v>224</v>
      </c>
      <c r="G49" s="41">
        <v>-2.5687898710129389</v>
      </c>
      <c r="H49" s="33">
        <v>48.937679286692827</v>
      </c>
    </row>
    <row r="50" spans="1:8">
      <c r="A50" s="34"/>
      <c r="B50" s="25" t="s">
        <v>127</v>
      </c>
      <c r="C50" s="86">
        <v>2.221011733533385</v>
      </c>
      <c r="D50" s="86">
        <v>2.8512395161402564</v>
      </c>
      <c r="E50" s="86">
        <v>3.215143287255755</v>
      </c>
      <c r="F50" s="27"/>
      <c r="G50" s="28">
        <v>44.760301745043762</v>
      </c>
      <c r="H50" s="29">
        <v>12.763002513661775</v>
      </c>
    </row>
    <row r="51" spans="1:8">
      <c r="A51" s="43" t="s">
        <v>24</v>
      </c>
      <c r="B51" s="31" t="s">
        <v>3</v>
      </c>
      <c r="C51" s="84">
        <v>88.945649486663228</v>
      </c>
      <c r="D51" s="84">
        <v>96.198411198213478</v>
      </c>
      <c r="E51" s="87">
        <v>94.739712789888884</v>
      </c>
      <c r="F51" s="22" t="s">
        <v>224</v>
      </c>
      <c r="G51" s="23">
        <v>6.5141615544607845</v>
      </c>
      <c r="H51" s="24">
        <v>-1.516343555112357</v>
      </c>
    </row>
    <row r="52" spans="1:8">
      <c r="A52" s="34"/>
      <c r="B52" s="35" t="s">
        <v>127</v>
      </c>
      <c r="C52" s="87">
        <v>20.336188605457412</v>
      </c>
      <c r="D52" s="87">
        <v>24.757532122814265</v>
      </c>
      <c r="E52" s="87">
        <v>23.402140623545005</v>
      </c>
      <c r="F52" s="36"/>
      <c r="G52" s="42">
        <v>15.076335480409611</v>
      </c>
      <c r="H52" s="24">
        <v>-5.4746631956109013</v>
      </c>
    </row>
    <row r="53" spans="1:8">
      <c r="A53" s="30" t="s">
        <v>25</v>
      </c>
      <c r="B53" s="38" t="s">
        <v>3</v>
      </c>
      <c r="C53" s="88">
        <v>0.41366799331823495</v>
      </c>
      <c r="D53" s="88">
        <v>0.49651837522880643</v>
      </c>
      <c r="E53" s="88">
        <v>0.83107160677527714</v>
      </c>
      <c r="F53" s="40" t="s">
        <v>224</v>
      </c>
      <c r="G53" s="41">
        <v>100.90304790294314</v>
      </c>
      <c r="H53" s="33">
        <v>67.379828871852197</v>
      </c>
    </row>
    <row r="54" spans="1:8">
      <c r="A54" s="30"/>
      <c r="B54" s="25" t="s">
        <v>127</v>
      </c>
      <c r="C54" s="86">
        <v>2.442309128663683E-2</v>
      </c>
      <c r="D54" s="86">
        <v>0.11050370746680861</v>
      </c>
      <c r="E54" s="86">
        <v>9.6173877139952541E-2</v>
      </c>
      <c r="F54" s="27"/>
      <c r="G54" s="28">
        <v>293.78257244845321</v>
      </c>
      <c r="H54" s="29">
        <v>-12.967737151407562</v>
      </c>
    </row>
    <row r="55" spans="1:8">
      <c r="A55" s="43" t="s">
        <v>9</v>
      </c>
      <c r="B55" s="31" t="s">
        <v>3</v>
      </c>
      <c r="C55" s="84">
        <v>7.7671377476540002E-2</v>
      </c>
      <c r="D55" s="84">
        <v>6.6027480967032939E-2</v>
      </c>
      <c r="E55" s="87">
        <v>2.1685204296874008E-2</v>
      </c>
      <c r="F55" s="22" t="s">
        <v>224</v>
      </c>
      <c r="G55" s="23">
        <v>-72.080829513518225</v>
      </c>
      <c r="H55" s="24">
        <v>-67.157304838418298</v>
      </c>
    </row>
    <row r="56" spans="1:8">
      <c r="A56" s="34"/>
      <c r="B56" s="25" t="s">
        <v>127</v>
      </c>
      <c r="C56" s="86">
        <v>7.5384952706312125E-2</v>
      </c>
      <c r="D56" s="86">
        <v>1.5138978555258897E-2</v>
      </c>
      <c r="E56" s="86">
        <v>6.6701985363205336E-3</v>
      </c>
      <c r="F56" s="27"/>
      <c r="G56" s="28">
        <v>-91.151817044567807</v>
      </c>
      <c r="H56" s="29">
        <v>-55.94023393339522</v>
      </c>
    </row>
    <row r="57" spans="1:8">
      <c r="A57" s="30" t="s">
        <v>26</v>
      </c>
      <c r="B57" s="31" t="s">
        <v>3</v>
      </c>
      <c r="C57" s="89">
        <v>117.2960850803136</v>
      </c>
      <c r="D57" s="89">
        <v>79.505935667734335</v>
      </c>
      <c r="E57" s="87">
        <v>96.210040552564578</v>
      </c>
      <c r="F57" s="22" t="s">
        <v>224</v>
      </c>
      <c r="G57" s="23">
        <v>-17.976767522386822</v>
      </c>
      <c r="H57" s="24">
        <v>21.009884035122695</v>
      </c>
    </row>
    <row r="58" spans="1:8" ht="13.5" thickBot="1">
      <c r="A58" s="45"/>
      <c r="B58" s="46" t="s">
        <v>127</v>
      </c>
      <c r="C58" s="90">
        <v>19.623165996209821</v>
      </c>
      <c r="D58" s="90">
        <v>22.019602432186193</v>
      </c>
      <c r="E58" s="90">
        <v>21.867894491801053</v>
      </c>
      <c r="F58" s="48"/>
      <c r="G58" s="49">
        <v>11.439176002612413</v>
      </c>
      <c r="H58" s="50">
        <v>-0.68896766348237293</v>
      </c>
    </row>
    <row r="59" spans="1:8">
      <c r="A59" s="51"/>
      <c r="B59" s="52"/>
      <c r="C59" s="53"/>
      <c r="D59" s="53"/>
      <c r="E59" s="53"/>
      <c r="F59" s="53"/>
      <c r="G59" s="54"/>
      <c r="H59" s="55"/>
    </row>
    <row r="60" spans="1:8">
      <c r="A60" s="56"/>
      <c r="B60" s="56"/>
      <c r="C60" s="56"/>
      <c r="D60" s="56"/>
      <c r="E60" s="56"/>
      <c r="F60" s="56"/>
      <c r="G60" s="56"/>
      <c r="H60" s="56"/>
    </row>
    <row r="61" spans="1:8" ht="12.75" customHeight="1">
      <c r="A61" s="150">
        <v>14</v>
      </c>
      <c r="H61" s="57" t="s">
        <v>225</v>
      </c>
    </row>
    <row r="62" spans="1:8" ht="12.75" customHeight="1">
      <c r="A62" s="151"/>
      <c r="H62" s="57" t="s">
        <v>226</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171</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c r="A7" s="155" t="s">
        <v>46</v>
      </c>
      <c r="B7" s="19" t="s">
        <v>3</v>
      </c>
      <c r="C7" s="20">
        <v>111907.64</v>
      </c>
      <c r="D7" s="20">
        <v>100999</v>
      </c>
      <c r="E7" s="83">
        <v>98691.409107277155</v>
      </c>
      <c r="F7" s="22" t="s">
        <v>224</v>
      </c>
      <c r="G7" s="23">
        <v>-11.809945141120707</v>
      </c>
      <c r="H7" s="24">
        <v>-2.2847660795877687</v>
      </c>
    </row>
    <row r="8" spans="1:8">
      <c r="A8" s="156"/>
      <c r="B8" s="25" t="s">
        <v>127</v>
      </c>
      <c r="C8" s="26">
        <v>29339.685714285715</v>
      </c>
      <c r="D8" s="26">
        <v>26771.16</v>
      </c>
      <c r="E8" s="26">
        <v>26063.868571428571</v>
      </c>
      <c r="F8" s="27"/>
      <c r="G8" s="28">
        <v>-11.16514053612417</v>
      </c>
      <c r="H8" s="29">
        <v>-2.6419902184717756</v>
      </c>
    </row>
    <row r="9" spans="1:8">
      <c r="A9" s="30" t="s">
        <v>18</v>
      </c>
      <c r="B9" s="31" t="s">
        <v>3</v>
      </c>
      <c r="C9" s="20">
        <v>11000.408648648649</v>
      </c>
      <c r="D9" s="20">
        <v>9109</v>
      </c>
      <c r="E9" s="21">
        <v>8539.5692509347191</v>
      </c>
      <c r="F9" s="22" t="s">
        <v>224</v>
      </c>
      <c r="G9" s="32">
        <v>-22.37043619298845</v>
      </c>
      <c r="H9" s="33">
        <v>-6.2512981563868806</v>
      </c>
    </row>
    <row r="10" spans="1:8">
      <c r="A10" s="34"/>
      <c r="B10" s="35" t="s">
        <v>127</v>
      </c>
      <c r="C10" s="21">
        <v>2385.9310810810807</v>
      </c>
      <c r="D10" s="21">
        <v>2607.8521621621621</v>
      </c>
      <c r="E10" s="21">
        <v>2209.2032432432434</v>
      </c>
      <c r="F10" s="36"/>
      <c r="G10" s="37">
        <v>-7.4070805833067368</v>
      </c>
      <c r="H10" s="29">
        <v>-15.2864845907676</v>
      </c>
    </row>
    <row r="11" spans="1:8">
      <c r="A11" s="30" t="s">
        <v>19</v>
      </c>
      <c r="B11" s="38" t="s">
        <v>3</v>
      </c>
      <c r="C11" s="39">
        <v>53896.26666666667</v>
      </c>
      <c r="D11" s="39">
        <v>44868</v>
      </c>
      <c r="E11" s="39">
        <v>50441.812403472468</v>
      </c>
      <c r="F11" s="40" t="s">
        <v>224</v>
      </c>
      <c r="G11" s="41">
        <v>-6.4094499987523079</v>
      </c>
      <c r="H11" s="33">
        <v>12.422689675208318</v>
      </c>
    </row>
    <row r="12" spans="1:8">
      <c r="A12" s="34"/>
      <c r="B12" s="25" t="s">
        <v>127</v>
      </c>
      <c r="C12" s="26">
        <v>16169.869047619048</v>
      </c>
      <c r="D12" s="26">
        <v>11487.316666666668</v>
      </c>
      <c r="E12" s="26">
        <v>13578.028571428571</v>
      </c>
      <c r="F12" s="27"/>
      <c r="G12" s="28">
        <v>-16.028827868411938</v>
      </c>
      <c r="H12" s="29">
        <v>18.200176467918112</v>
      </c>
    </row>
    <row r="13" spans="1:8">
      <c r="A13" s="30" t="s">
        <v>20</v>
      </c>
      <c r="B13" s="31" t="s">
        <v>3</v>
      </c>
      <c r="C13" s="20">
        <v>5423.3771428571426</v>
      </c>
      <c r="D13" s="20">
        <v>5548</v>
      </c>
      <c r="E13" s="21">
        <v>4379.5333545171134</v>
      </c>
      <c r="F13" s="22" t="s">
        <v>224</v>
      </c>
      <c r="G13" s="23">
        <v>-19.247117816890594</v>
      </c>
      <c r="H13" s="24">
        <v>-21.06104263667784</v>
      </c>
    </row>
    <row r="14" spans="1:8">
      <c r="A14" s="34"/>
      <c r="B14" s="35" t="s">
        <v>127</v>
      </c>
      <c r="C14" s="21">
        <v>1108.3836734693878</v>
      </c>
      <c r="D14" s="21">
        <v>1171.5942857142857</v>
      </c>
      <c r="E14" s="21">
        <v>914.69551020408164</v>
      </c>
      <c r="F14" s="36"/>
      <c r="G14" s="42">
        <v>-17.474830052217968</v>
      </c>
      <c r="H14" s="24">
        <v>-21.927281367165477</v>
      </c>
    </row>
    <row r="15" spans="1:8">
      <c r="A15" s="30" t="s">
        <v>21</v>
      </c>
      <c r="B15" s="38" t="s">
        <v>3</v>
      </c>
      <c r="C15" s="39">
        <v>2954.36</v>
      </c>
      <c r="D15" s="39">
        <v>3006</v>
      </c>
      <c r="E15" s="39">
        <v>2773.2918009043256</v>
      </c>
      <c r="F15" s="40" t="s">
        <v>224</v>
      </c>
      <c r="G15" s="41">
        <v>-6.1288468262389983</v>
      </c>
      <c r="H15" s="33">
        <v>-7.7414570557443341</v>
      </c>
    </row>
    <row r="16" spans="1:8">
      <c r="A16" s="34"/>
      <c r="B16" s="25" t="s">
        <v>127</v>
      </c>
      <c r="C16" s="26">
        <v>676.41168831168829</v>
      </c>
      <c r="D16" s="26">
        <v>619.34</v>
      </c>
      <c r="E16" s="26">
        <v>591.11844155844153</v>
      </c>
      <c r="F16" s="27"/>
      <c r="G16" s="28">
        <v>-12.609664827959605</v>
      </c>
      <c r="H16" s="29">
        <v>-4.556714961339253</v>
      </c>
    </row>
    <row r="17" spans="1:8">
      <c r="A17" s="30" t="s">
        <v>22</v>
      </c>
      <c r="B17" s="38" t="s">
        <v>3</v>
      </c>
      <c r="C17" s="39">
        <v>862.66399999999999</v>
      </c>
      <c r="D17" s="39">
        <v>741</v>
      </c>
      <c r="E17" s="39">
        <v>508.27815043554995</v>
      </c>
      <c r="F17" s="40" t="s">
        <v>224</v>
      </c>
      <c r="G17" s="41">
        <v>-41.08040321196318</v>
      </c>
      <c r="H17" s="33">
        <v>-31.406457431099881</v>
      </c>
    </row>
    <row r="18" spans="1:8">
      <c r="A18" s="34"/>
      <c r="B18" s="25" t="s">
        <v>127</v>
      </c>
      <c r="C18" s="26">
        <v>163.16857142857143</v>
      </c>
      <c r="D18" s="26">
        <v>182.916</v>
      </c>
      <c r="E18" s="26">
        <v>113.88685714285714</v>
      </c>
      <c r="F18" s="27"/>
      <c r="G18" s="28">
        <v>-30.202945245057705</v>
      </c>
      <c r="H18" s="29">
        <v>-37.738165527970693</v>
      </c>
    </row>
    <row r="19" spans="1:8">
      <c r="A19" s="30" t="s">
        <v>23</v>
      </c>
      <c r="B19" s="31" t="s">
        <v>3</v>
      </c>
      <c r="C19" s="20">
        <v>23921.11</v>
      </c>
      <c r="D19" s="20">
        <v>25498</v>
      </c>
      <c r="E19" s="21">
        <v>20828.635627144187</v>
      </c>
      <c r="F19" s="22" t="s">
        <v>224</v>
      </c>
      <c r="G19" s="23">
        <v>-12.927804658127542</v>
      </c>
      <c r="H19" s="24">
        <v>-18.312669122502996</v>
      </c>
    </row>
    <row r="20" spans="1:8">
      <c r="A20" s="30"/>
      <c r="B20" s="35" t="s">
        <v>127</v>
      </c>
      <c r="C20" s="21">
        <v>6273.0732142857141</v>
      </c>
      <c r="D20" s="21">
        <v>7280.0275000000001</v>
      </c>
      <c r="E20" s="21">
        <v>5775.988571428571</v>
      </c>
      <c r="F20" s="36"/>
      <c r="G20" s="42">
        <v>-7.9241007697013544</v>
      </c>
      <c r="H20" s="24">
        <v>-20.659797350647764</v>
      </c>
    </row>
    <row r="21" spans="1:8">
      <c r="A21" s="43" t="s">
        <v>12</v>
      </c>
      <c r="B21" s="38" t="s">
        <v>3</v>
      </c>
      <c r="C21" s="39">
        <v>736</v>
      </c>
      <c r="D21" s="39">
        <v>615</v>
      </c>
      <c r="E21" s="39">
        <v>411.26943222292056</v>
      </c>
      <c r="F21" s="40" t="s">
        <v>224</v>
      </c>
      <c r="G21" s="41">
        <v>-44.121001056668405</v>
      </c>
      <c r="H21" s="33">
        <v>-33.126921589769026</v>
      </c>
    </row>
    <row r="22" spans="1:8">
      <c r="A22" s="34"/>
      <c r="B22" s="25" t="s">
        <v>127</v>
      </c>
      <c r="C22" s="26">
        <v>172</v>
      </c>
      <c r="D22" s="26">
        <v>148</v>
      </c>
      <c r="E22" s="26">
        <v>98</v>
      </c>
      <c r="F22" s="27"/>
      <c r="G22" s="28">
        <v>-43.02325581395349</v>
      </c>
      <c r="H22" s="29">
        <v>-33.78378378378379</v>
      </c>
    </row>
    <row r="23" spans="1:8">
      <c r="A23" s="43" t="s">
        <v>24</v>
      </c>
      <c r="B23" s="31" t="s">
        <v>3</v>
      </c>
      <c r="C23" s="20">
        <v>6382.3663157894734</v>
      </c>
      <c r="D23" s="20">
        <v>5715</v>
      </c>
      <c r="E23" s="21">
        <v>5183.44625796946</v>
      </c>
      <c r="F23" s="22" t="s">
        <v>224</v>
      </c>
      <c r="G23" s="23">
        <v>-18.784883200044149</v>
      </c>
      <c r="H23" s="24">
        <v>-9.3010278570523184</v>
      </c>
    </row>
    <row r="24" spans="1:8">
      <c r="A24" s="34"/>
      <c r="B24" s="35" t="s">
        <v>127</v>
      </c>
      <c r="C24" s="21">
        <v>1611.2909774436091</v>
      </c>
      <c r="D24" s="21">
        <v>1514.0915789473684</v>
      </c>
      <c r="E24" s="21">
        <v>1351.0159398496241</v>
      </c>
      <c r="F24" s="36"/>
      <c r="G24" s="42">
        <v>-16.153198971356744</v>
      </c>
      <c r="H24" s="24">
        <v>-10.770526787495783</v>
      </c>
    </row>
    <row r="25" spans="1:8">
      <c r="A25" s="30" t="s">
        <v>25</v>
      </c>
      <c r="B25" s="38" t="s">
        <v>3</v>
      </c>
      <c r="C25" s="39">
        <v>141</v>
      </c>
      <c r="D25" s="39">
        <v>112</v>
      </c>
      <c r="E25" s="39">
        <v>69.17407407407407</v>
      </c>
      <c r="F25" s="40" t="s">
        <v>224</v>
      </c>
      <c r="G25" s="41">
        <v>-50.940372997110586</v>
      </c>
      <c r="H25" s="33">
        <v>-38.237433862433868</v>
      </c>
    </row>
    <row r="26" spans="1:8">
      <c r="A26" s="30"/>
      <c r="B26" s="25" t="s">
        <v>127</v>
      </c>
      <c r="C26" s="26">
        <v>30</v>
      </c>
      <c r="D26" s="26">
        <v>36</v>
      </c>
      <c r="E26" s="26">
        <v>19</v>
      </c>
      <c r="F26" s="27"/>
      <c r="G26" s="28">
        <v>-36.666666666666671</v>
      </c>
      <c r="H26" s="29">
        <v>-47.222222222222221</v>
      </c>
    </row>
    <row r="27" spans="1:8">
      <c r="A27" s="43" t="s">
        <v>9</v>
      </c>
      <c r="B27" s="31" t="s">
        <v>3</v>
      </c>
      <c r="C27" s="20">
        <v>3</v>
      </c>
      <c r="D27" s="20">
        <v>3</v>
      </c>
      <c r="E27" s="21">
        <v>1.1666666666666665</v>
      </c>
      <c r="F27" s="22" t="s">
        <v>224</v>
      </c>
      <c r="G27" s="23">
        <v>-61.111111111111114</v>
      </c>
      <c r="H27" s="24">
        <v>-61.111111111111114</v>
      </c>
    </row>
    <row r="28" spans="1:8">
      <c r="A28" s="34"/>
      <c r="B28" s="25" t="s">
        <v>127</v>
      </c>
      <c r="C28" s="26">
        <v>2</v>
      </c>
      <c r="D28" s="26">
        <v>3</v>
      </c>
      <c r="E28" s="26">
        <v>1</v>
      </c>
      <c r="F28" s="27"/>
      <c r="G28" s="28">
        <v>-50</v>
      </c>
      <c r="H28" s="29">
        <v>-66.666666666666671</v>
      </c>
    </row>
    <row r="29" spans="1:8">
      <c r="A29" s="30" t="s">
        <v>26</v>
      </c>
      <c r="B29" s="31" t="s">
        <v>3</v>
      </c>
      <c r="C29" s="44">
        <v>8553.0533333333333</v>
      </c>
      <c r="D29" s="44">
        <v>7888</v>
      </c>
      <c r="E29" s="21">
        <v>8450.1635133461223</v>
      </c>
      <c r="F29" s="22" t="s">
        <v>224</v>
      </c>
      <c r="G29" s="23">
        <v>-1.2029601123405058</v>
      </c>
      <c r="H29" s="24">
        <v>7.1268193882622057</v>
      </c>
    </row>
    <row r="30" spans="1:8" ht="13.5" thickBot="1">
      <c r="A30" s="45"/>
      <c r="B30" s="46" t="s">
        <v>127</v>
      </c>
      <c r="C30" s="47">
        <v>1437.9738095238095</v>
      </c>
      <c r="D30" s="47">
        <v>2128.2633333333333</v>
      </c>
      <c r="E30" s="47">
        <v>1897.4057142857143</v>
      </c>
      <c r="F30" s="48"/>
      <c r="G30" s="49">
        <v>31.949949416258647</v>
      </c>
      <c r="H30" s="50">
        <v>-10.847230012934745</v>
      </c>
    </row>
    <row r="31" spans="1:8">
      <c r="A31" s="51"/>
      <c r="B31" s="52"/>
      <c r="C31" s="53"/>
      <c r="D31" s="59"/>
      <c r="E31" s="53"/>
      <c r="F31" s="53"/>
      <c r="G31" s="54"/>
      <c r="H31" s="55"/>
    </row>
    <row r="32" spans="1:8" ht="16.5" thickBot="1">
      <c r="A32" s="4" t="s">
        <v>116</v>
      </c>
      <c r="B32" s="5"/>
      <c r="C32" s="5"/>
      <c r="D32" s="5"/>
      <c r="E32" s="5"/>
      <c r="F32" s="5"/>
      <c r="G32" s="5"/>
      <c r="H32" s="6"/>
    </row>
    <row r="33" spans="1:8">
      <c r="A33" s="7"/>
      <c r="B33" s="8"/>
      <c r="C33" s="159" t="s">
        <v>16</v>
      </c>
      <c r="D33" s="153"/>
      <c r="E33" s="153"/>
      <c r="F33" s="160"/>
      <c r="G33" s="153" t="s">
        <v>1</v>
      </c>
      <c r="H33" s="154"/>
    </row>
    <row r="34" spans="1:8">
      <c r="A34" s="12"/>
      <c r="B34" s="13"/>
      <c r="C34" s="14">
        <v>2011</v>
      </c>
      <c r="D34" s="15">
        <v>2012</v>
      </c>
      <c r="E34" s="15">
        <v>2013</v>
      </c>
      <c r="F34" s="16"/>
      <c r="G34" s="17" t="s">
        <v>222</v>
      </c>
      <c r="H34" s="18" t="s">
        <v>223</v>
      </c>
    </row>
    <row r="35" spans="1:8" ht="12.75" customHeight="1">
      <c r="A35" s="155" t="s">
        <v>46</v>
      </c>
      <c r="B35" s="19" t="s">
        <v>3</v>
      </c>
      <c r="C35" s="84">
        <v>4500.0005198269055</v>
      </c>
      <c r="D35" s="84">
        <v>3933.3546353749939</v>
      </c>
      <c r="E35" s="85">
        <v>4405.0956090271548</v>
      </c>
      <c r="F35" s="22" t="s">
        <v>224</v>
      </c>
      <c r="G35" s="23">
        <v>-2.1089977741469426</v>
      </c>
      <c r="H35" s="24">
        <v>11.993349631114228</v>
      </c>
    </row>
    <row r="36" spans="1:8" ht="12.75" customHeight="1">
      <c r="A36" s="156"/>
      <c r="B36" s="25" t="s">
        <v>127</v>
      </c>
      <c r="C36" s="86">
        <v>1304.5244583571048</v>
      </c>
      <c r="D36" s="86">
        <v>1113.18490371742</v>
      </c>
      <c r="E36" s="86">
        <v>1256.6381562539493</v>
      </c>
      <c r="F36" s="27"/>
      <c r="G36" s="28">
        <v>-3.6707860704629951</v>
      </c>
      <c r="H36" s="29">
        <v>12.886740743381893</v>
      </c>
    </row>
    <row r="37" spans="1:8">
      <c r="A37" s="30" t="s">
        <v>18</v>
      </c>
      <c r="B37" s="31" t="s">
        <v>3</v>
      </c>
      <c r="C37" s="84">
        <v>1748.8934246101005</v>
      </c>
      <c r="D37" s="84">
        <v>1511.669592911981</v>
      </c>
      <c r="E37" s="87">
        <v>1587.5519937847239</v>
      </c>
      <c r="F37" s="22" t="s">
        <v>224</v>
      </c>
      <c r="G37" s="32">
        <v>-9.2253437833895617</v>
      </c>
      <c r="H37" s="33">
        <v>5.0197742435612582</v>
      </c>
    </row>
    <row r="38" spans="1:8">
      <c r="A38" s="34"/>
      <c r="B38" s="35" t="s">
        <v>127</v>
      </c>
      <c r="C38" s="87">
        <v>531.74043738112164</v>
      </c>
      <c r="D38" s="87">
        <v>471.45474705446838</v>
      </c>
      <c r="E38" s="87">
        <v>490.90507371944739</v>
      </c>
      <c r="F38" s="36"/>
      <c r="G38" s="37">
        <v>-7.6795670953280819</v>
      </c>
      <c r="H38" s="29">
        <v>4.1255977984100838</v>
      </c>
    </row>
    <row r="39" spans="1:8">
      <c r="A39" s="30" t="s">
        <v>19</v>
      </c>
      <c r="B39" s="38" t="s">
        <v>3</v>
      </c>
      <c r="C39" s="88">
        <v>1977.0282081059347</v>
      </c>
      <c r="D39" s="88">
        <v>1707.9021518919524</v>
      </c>
      <c r="E39" s="88">
        <v>2047.5687986957723</v>
      </c>
      <c r="F39" s="40" t="s">
        <v>224</v>
      </c>
      <c r="G39" s="41">
        <v>3.5680113364400654</v>
      </c>
      <c r="H39" s="33">
        <v>19.887945361948852</v>
      </c>
    </row>
    <row r="40" spans="1:8">
      <c r="A40" s="34"/>
      <c r="B40" s="25" t="s">
        <v>127</v>
      </c>
      <c r="C40" s="86">
        <v>576.27709095045725</v>
      </c>
      <c r="D40" s="86">
        <v>449.65675609414734</v>
      </c>
      <c r="E40" s="86">
        <v>557.05239987224707</v>
      </c>
      <c r="F40" s="27"/>
      <c r="G40" s="28">
        <v>-3.336015153144956</v>
      </c>
      <c r="H40" s="29">
        <v>23.883916414593727</v>
      </c>
    </row>
    <row r="41" spans="1:8">
      <c r="A41" s="30" t="s">
        <v>20</v>
      </c>
      <c r="B41" s="31" t="s">
        <v>3</v>
      </c>
      <c r="C41" s="84">
        <v>107.0677398288225</v>
      </c>
      <c r="D41" s="84">
        <v>110.87257660158642</v>
      </c>
      <c r="E41" s="87">
        <v>94.972076633176712</v>
      </c>
      <c r="F41" s="22" t="s">
        <v>224</v>
      </c>
      <c r="G41" s="23">
        <v>-11.297206063174642</v>
      </c>
      <c r="H41" s="24">
        <v>-14.341237892889552</v>
      </c>
    </row>
    <row r="42" spans="1:8">
      <c r="A42" s="34"/>
      <c r="B42" s="35" t="s">
        <v>127</v>
      </c>
      <c r="C42" s="87">
        <v>26.86999035988941</v>
      </c>
      <c r="D42" s="87">
        <v>28.375618266369383</v>
      </c>
      <c r="E42" s="87">
        <v>24.146884762396326</v>
      </c>
      <c r="F42" s="36"/>
      <c r="G42" s="42">
        <v>-10.134375044503344</v>
      </c>
      <c r="H42" s="24">
        <v>-14.90270084787872</v>
      </c>
    </row>
    <row r="43" spans="1:8">
      <c r="A43" s="30" t="s">
        <v>21</v>
      </c>
      <c r="B43" s="38" t="s">
        <v>3</v>
      </c>
      <c r="C43" s="88">
        <v>23.679315930953656</v>
      </c>
      <c r="D43" s="88">
        <v>21.120860882420235</v>
      </c>
      <c r="E43" s="88">
        <v>22.906546334201789</v>
      </c>
      <c r="F43" s="40" t="s">
        <v>224</v>
      </c>
      <c r="G43" s="41">
        <v>-3.2634793969774307</v>
      </c>
      <c r="H43" s="33">
        <v>8.4546054335685312</v>
      </c>
    </row>
    <row r="44" spans="1:8">
      <c r="A44" s="34"/>
      <c r="B44" s="25" t="s">
        <v>127</v>
      </c>
      <c r="C44" s="86">
        <v>5.1414957658223921</v>
      </c>
      <c r="D44" s="86">
        <v>4.6092478661474212</v>
      </c>
      <c r="E44" s="86">
        <v>4.9905006851058564</v>
      </c>
      <c r="F44" s="27"/>
      <c r="G44" s="28">
        <v>-2.9367928632803881</v>
      </c>
      <c r="H44" s="29">
        <v>8.2714757381251474</v>
      </c>
    </row>
    <row r="45" spans="1:8">
      <c r="A45" s="30" t="s">
        <v>22</v>
      </c>
      <c r="B45" s="38" t="s">
        <v>3</v>
      </c>
      <c r="C45" s="88">
        <v>7.2351333719966062</v>
      </c>
      <c r="D45" s="88">
        <v>4.9992291625055989</v>
      </c>
      <c r="E45" s="88">
        <v>4.5223450256811732</v>
      </c>
      <c r="F45" s="40" t="s">
        <v>224</v>
      </c>
      <c r="G45" s="41">
        <v>-37.494655686862785</v>
      </c>
      <c r="H45" s="33">
        <v>-9.5391533639040631</v>
      </c>
    </row>
    <row r="46" spans="1:8">
      <c r="A46" s="34"/>
      <c r="B46" s="25" t="s">
        <v>127</v>
      </c>
      <c r="C46" s="86">
        <v>1.9180937171549755</v>
      </c>
      <c r="D46" s="86">
        <v>1.3411452295435164</v>
      </c>
      <c r="E46" s="86">
        <v>1.2084068261123415</v>
      </c>
      <c r="F46" s="27"/>
      <c r="G46" s="28">
        <v>-36.999594164527139</v>
      </c>
      <c r="H46" s="29">
        <v>-9.8973922068346667</v>
      </c>
    </row>
    <row r="47" spans="1:8">
      <c r="A47" s="30" t="s">
        <v>23</v>
      </c>
      <c r="B47" s="31" t="s">
        <v>3</v>
      </c>
      <c r="C47" s="84">
        <v>317.1939739774644</v>
      </c>
      <c r="D47" s="84">
        <v>252.97221744601828</v>
      </c>
      <c r="E47" s="87">
        <v>258.94581841303028</v>
      </c>
      <c r="F47" s="22" t="s">
        <v>224</v>
      </c>
      <c r="G47" s="23">
        <v>-18.36357571174176</v>
      </c>
      <c r="H47" s="24">
        <v>2.3613664090550657</v>
      </c>
    </row>
    <row r="48" spans="1:8">
      <c r="A48" s="30"/>
      <c r="B48" s="35" t="s">
        <v>127</v>
      </c>
      <c r="C48" s="87">
        <v>86.519129970355138</v>
      </c>
      <c r="D48" s="87">
        <v>77.609457888592615</v>
      </c>
      <c r="E48" s="87">
        <v>76.270607327697618</v>
      </c>
      <c r="F48" s="36"/>
      <c r="G48" s="42">
        <v>-11.845383380726389</v>
      </c>
      <c r="H48" s="24">
        <v>-1.7251126310106457</v>
      </c>
    </row>
    <row r="49" spans="1:8">
      <c r="A49" s="43" t="s">
        <v>12</v>
      </c>
      <c r="B49" s="38" t="s">
        <v>3</v>
      </c>
      <c r="C49" s="88">
        <v>8.1906416789914473</v>
      </c>
      <c r="D49" s="88">
        <v>6.9060175866315827</v>
      </c>
      <c r="E49" s="88">
        <v>36.546151529014168</v>
      </c>
      <c r="F49" s="40" t="s">
        <v>224</v>
      </c>
      <c r="G49" s="41">
        <v>346.19399750758316</v>
      </c>
      <c r="H49" s="33">
        <v>429.19285348706433</v>
      </c>
    </row>
    <row r="50" spans="1:8">
      <c r="A50" s="34"/>
      <c r="B50" s="25" t="s">
        <v>127</v>
      </c>
      <c r="C50" s="86">
        <v>3.0414487295351909</v>
      </c>
      <c r="D50" s="86">
        <v>1.5630725682767932</v>
      </c>
      <c r="E50" s="86">
        <v>9.5094088544119177</v>
      </c>
      <c r="F50" s="27"/>
      <c r="G50" s="28">
        <v>212.66050162434243</v>
      </c>
      <c r="H50" s="29">
        <v>508.37922994807275</v>
      </c>
    </row>
    <row r="51" spans="1:8">
      <c r="A51" s="43" t="s">
        <v>24</v>
      </c>
      <c r="B51" s="31" t="s">
        <v>3</v>
      </c>
      <c r="C51" s="84">
        <v>145.3618357581629</v>
      </c>
      <c r="D51" s="84">
        <v>140.16103685559059</v>
      </c>
      <c r="E51" s="87">
        <v>154.55935201864199</v>
      </c>
      <c r="F51" s="22" t="s">
        <v>224</v>
      </c>
      <c r="G51" s="23">
        <v>6.3273253344027012</v>
      </c>
      <c r="H51" s="24">
        <v>10.272694527713952</v>
      </c>
    </row>
    <row r="52" spans="1:8">
      <c r="A52" s="34"/>
      <c r="B52" s="35" t="s">
        <v>127</v>
      </c>
      <c r="C52" s="87">
        <v>31.668602714995213</v>
      </c>
      <c r="D52" s="87">
        <v>36.403031393492199</v>
      </c>
      <c r="E52" s="87">
        <v>37.72621072110109</v>
      </c>
      <c r="F52" s="36"/>
      <c r="G52" s="42">
        <v>19.128118978351935</v>
      </c>
      <c r="H52" s="24">
        <v>3.6348053361441828</v>
      </c>
    </row>
    <row r="53" spans="1:8">
      <c r="A53" s="30" t="s">
        <v>25</v>
      </c>
      <c r="B53" s="38" t="s">
        <v>3</v>
      </c>
      <c r="C53" s="88">
        <v>0.30213041762863541</v>
      </c>
      <c r="D53" s="88">
        <v>0.48099982309689926</v>
      </c>
      <c r="E53" s="88">
        <v>0.20247536507145969</v>
      </c>
      <c r="F53" s="40" t="s">
        <v>224</v>
      </c>
      <c r="G53" s="41">
        <v>-32.984117699683935</v>
      </c>
      <c r="H53" s="33">
        <v>-57.905314025308854</v>
      </c>
    </row>
    <row r="54" spans="1:8">
      <c r="A54" s="30"/>
      <c r="B54" s="25" t="s">
        <v>127</v>
      </c>
      <c r="C54" s="86">
        <v>6.8007414008621286E-2</v>
      </c>
      <c r="D54" s="86">
        <v>0.12758745803667718</v>
      </c>
      <c r="E54" s="86">
        <v>5.0692627386974193E-2</v>
      </c>
      <c r="F54" s="27"/>
      <c r="G54" s="28">
        <v>-25.460145594496652</v>
      </c>
      <c r="H54" s="29">
        <v>-60.268330314722832</v>
      </c>
    </row>
    <row r="55" spans="1:8">
      <c r="A55" s="43" t="s">
        <v>9</v>
      </c>
      <c r="B55" s="31" t="s">
        <v>3</v>
      </c>
      <c r="C55" s="84">
        <v>2.6059685116721711E-2</v>
      </c>
      <c r="D55" s="84">
        <v>3.6997302072374429E-2</v>
      </c>
      <c r="E55" s="87">
        <v>3.870590035990953E-3</v>
      </c>
      <c r="F55" s="22" t="s">
        <v>224</v>
      </c>
      <c r="G55" s="23">
        <v>-85.147211032464426</v>
      </c>
      <c r="H55" s="24">
        <v>-89.538183004751886</v>
      </c>
    </row>
    <row r="56" spans="1:8">
      <c r="A56" s="34"/>
      <c r="B56" s="25" t="s">
        <v>127</v>
      </c>
      <c r="C56" s="86">
        <v>9.3884330971943028E-3</v>
      </c>
      <c r="D56" s="86">
        <v>5.6844579020407522E-2</v>
      </c>
      <c r="E56" s="86">
        <v>2.847820966696969E-3</v>
      </c>
      <c r="F56" s="27"/>
      <c r="G56" s="28">
        <v>-69.666706497082785</v>
      </c>
      <c r="H56" s="29">
        <v>-94.990162622763762</v>
      </c>
    </row>
    <row r="57" spans="1:8">
      <c r="A57" s="30" t="s">
        <v>26</v>
      </c>
      <c r="B57" s="31" t="s">
        <v>3</v>
      </c>
      <c r="C57" s="84">
        <v>165.02205646173351</v>
      </c>
      <c r="D57" s="84">
        <v>176.23295491113788</v>
      </c>
      <c r="E57" s="87">
        <v>226.27760129449609</v>
      </c>
      <c r="F57" s="22" t="s">
        <v>224</v>
      </c>
      <c r="G57" s="23">
        <v>37.119610642451875</v>
      </c>
      <c r="H57" s="24">
        <v>28.396871861220433</v>
      </c>
    </row>
    <row r="58" spans="1:8" ht="13.5" thickBot="1">
      <c r="A58" s="45"/>
      <c r="B58" s="46" t="s">
        <v>127</v>
      </c>
      <c r="C58" s="90">
        <v>41.270772920667909</v>
      </c>
      <c r="D58" s="90">
        <v>41.987395319325323</v>
      </c>
      <c r="E58" s="90">
        <v>54.775123037075929</v>
      </c>
      <c r="F58" s="48"/>
      <c r="G58" s="49">
        <v>32.721340456517595</v>
      </c>
      <c r="H58" s="50">
        <v>30.45611098401443</v>
      </c>
    </row>
    <row r="59" spans="1:8">
      <c r="A59" s="51"/>
      <c r="B59" s="52"/>
      <c r="C59" s="53"/>
      <c r="D59" s="53"/>
      <c r="E59" s="53"/>
      <c r="F59" s="53"/>
      <c r="G59" s="54"/>
      <c r="H59" s="55"/>
    </row>
    <row r="60" spans="1:8">
      <c r="A60" s="56"/>
      <c r="B60" s="56"/>
      <c r="C60" s="56"/>
      <c r="D60" s="56"/>
      <c r="E60" s="56"/>
      <c r="F60" s="56"/>
      <c r="G60" s="56"/>
      <c r="H60" s="56"/>
    </row>
    <row r="61" spans="1:8" ht="12.75" customHeight="1">
      <c r="A61" s="58" t="s">
        <v>225</v>
      </c>
      <c r="G61" s="57"/>
      <c r="H61" s="158">
        <v>15</v>
      </c>
    </row>
    <row r="62" spans="1:8" ht="12.75" customHeight="1">
      <c r="A62" s="58" t="s">
        <v>226</v>
      </c>
      <c r="G62" s="57"/>
      <c r="H62" s="149"/>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172</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ht="12.75" customHeight="1">
      <c r="A7" s="155" t="s">
        <v>47</v>
      </c>
      <c r="B7" s="19" t="s">
        <v>3</v>
      </c>
      <c r="C7" s="20">
        <v>15098.097142857143</v>
      </c>
      <c r="D7" s="20">
        <v>13654</v>
      </c>
      <c r="E7" s="83">
        <v>12128.740278012103</v>
      </c>
      <c r="F7" s="22" t="s">
        <v>224</v>
      </c>
      <c r="G7" s="23">
        <v>-19.667093387658014</v>
      </c>
      <c r="H7" s="24">
        <v>-11.170790405653264</v>
      </c>
    </row>
    <row r="8" spans="1:8" ht="12.75" customHeight="1">
      <c r="A8" s="156"/>
      <c r="B8" s="25" t="s">
        <v>127</v>
      </c>
      <c r="C8" s="26">
        <v>3363.6685714285713</v>
      </c>
      <c r="D8" s="26">
        <v>3681.2742857142857</v>
      </c>
      <c r="E8" s="26">
        <v>3055.9542857142856</v>
      </c>
      <c r="F8" s="27"/>
      <c r="G8" s="28">
        <v>-9.1481749518382998</v>
      </c>
      <c r="H8" s="29">
        <v>-16.986509329843855</v>
      </c>
    </row>
    <row r="9" spans="1:8">
      <c r="A9" s="30" t="s">
        <v>18</v>
      </c>
      <c r="B9" s="31" t="s">
        <v>3</v>
      </c>
      <c r="C9" s="20">
        <v>1632.1870270270269</v>
      </c>
      <c r="D9" s="20">
        <v>1223</v>
      </c>
      <c r="E9" s="21">
        <v>1431.4161536247109</v>
      </c>
      <c r="F9" s="22" t="s">
        <v>224</v>
      </c>
      <c r="G9" s="32">
        <v>-12.300727188600035</v>
      </c>
      <c r="H9" s="33">
        <v>17.041386232601056</v>
      </c>
    </row>
    <row r="10" spans="1:8">
      <c r="A10" s="34"/>
      <c r="B10" s="35" t="s">
        <v>127</v>
      </c>
      <c r="C10" s="21">
        <v>223.85594594594593</v>
      </c>
      <c r="D10" s="21">
        <v>305.29675675675674</v>
      </c>
      <c r="E10" s="21">
        <v>280.61270270270268</v>
      </c>
      <c r="F10" s="36"/>
      <c r="G10" s="37">
        <v>25.354143048075059</v>
      </c>
      <c r="H10" s="29">
        <v>-8.0852657317027905</v>
      </c>
    </row>
    <row r="11" spans="1:8">
      <c r="A11" s="30" t="s">
        <v>19</v>
      </c>
      <c r="B11" s="38" t="s">
        <v>3</v>
      </c>
      <c r="C11" s="39">
        <v>4879.4571428571426</v>
      </c>
      <c r="D11" s="39">
        <v>3428</v>
      </c>
      <c r="E11" s="39">
        <v>5007.9836522680043</v>
      </c>
      <c r="F11" s="40" t="s">
        <v>224</v>
      </c>
      <c r="G11" s="41">
        <v>2.6340329599780858</v>
      </c>
      <c r="H11" s="33">
        <v>46.090538280863598</v>
      </c>
    </row>
    <row r="12" spans="1:8">
      <c r="A12" s="34"/>
      <c r="B12" s="25" t="s">
        <v>127</v>
      </c>
      <c r="C12" s="26">
        <v>1605.7785714285715</v>
      </c>
      <c r="D12" s="26">
        <v>926.61428571428576</v>
      </c>
      <c r="E12" s="26">
        <v>1439.3976190476189</v>
      </c>
      <c r="F12" s="27"/>
      <c r="G12" s="28">
        <v>-10.361388259959952</v>
      </c>
      <c r="H12" s="29">
        <v>55.339459065003666</v>
      </c>
    </row>
    <row r="13" spans="1:8">
      <c r="A13" s="30" t="s">
        <v>20</v>
      </c>
      <c r="B13" s="31" t="s">
        <v>3</v>
      </c>
      <c r="C13" s="20">
        <v>2225.5853061224489</v>
      </c>
      <c r="D13" s="20">
        <v>2440</v>
      </c>
      <c r="E13" s="21">
        <v>1753.0663216479163</v>
      </c>
      <c r="F13" s="22" t="s">
        <v>224</v>
      </c>
      <c r="G13" s="23">
        <v>-21.231223228094734</v>
      </c>
      <c r="H13" s="24">
        <v>-28.153019604593595</v>
      </c>
    </row>
    <row r="14" spans="1:8">
      <c r="A14" s="34"/>
      <c r="B14" s="35" t="s">
        <v>127</v>
      </c>
      <c r="C14" s="21">
        <v>403.66693877551018</v>
      </c>
      <c r="D14" s="21">
        <v>498.89632653061227</v>
      </c>
      <c r="E14" s="21">
        <v>343.85061224489795</v>
      </c>
      <c r="F14" s="36"/>
      <c r="G14" s="42">
        <v>-14.81823770657563</v>
      </c>
      <c r="H14" s="24">
        <v>-31.077742216288044</v>
      </c>
    </row>
    <row r="15" spans="1:8">
      <c r="A15" s="30" t="s">
        <v>21</v>
      </c>
      <c r="B15" s="38" t="s">
        <v>3</v>
      </c>
      <c r="C15" s="39">
        <v>305.42233766233767</v>
      </c>
      <c r="D15" s="39">
        <v>354</v>
      </c>
      <c r="E15" s="39">
        <v>323.08103055116823</v>
      </c>
      <c r="F15" s="40" t="s">
        <v>224</v>
      </c>
      <c r="G15" s="41">
        <v>5.7817293338751341</v>
      </c>
      <c r="H15" s="33">
        <v>-8.7341721606869385</v>
      </c>
    </row>
    <row r="16" spans="1:8">
      <c r="A16" s="34"/>
      <c r="B16" s="25" t="s">
        <v>127</v>
      </c>
      <c r="C16" s="26">
        <v>46.000259740259736</v>
      </c>
      <c r="D16" s="26">
        <v>56.855584415584417</v>
      </c>
      <c r="E16" s="26">
        <v>50.766493506493504</v>
      </c>
      <c r="F16" s="27"/>
      <c r="G16" s="28">
        <v>10.361319247209224</v>
      </c>
      <c r="H16" s="29">
        <v>-10.709749924621065</v>
      </c>
    </row>
    <row r="17" spans="1:8">
      <c r="A17" s="30" t="s">
        <v>22</v>
      </c>
      <c r="B17" s="38" t="s">
        <v>3</v>
      </c>
      <c r="C17" s="39">
        <v>302.50971428571427</v>
      </c>
      <c r="D17" s="39">
        <v>274</v>
      </c>
      <c r="E17" s="39">
        <v>210.79431352810076</v>
      </c>
      <c r="F17" s="40" t="s">
        <v>224</v>
      </c>
      <c r="G17" s="41">
        <v>-30.318167128672826</v>
      </c>
      <c r="H17" s="33">
        <v>-23.067768785364677</v>
      </c>
    </row>
    <row r="18" spans="1:8">
      <c r="A18" s="34"/>
      <c r="B18" s="25" t="s">
        <v>127</v>
      </c>
      <c r="C18" s="26">
        <v>43.266857142857141</v>
      </c>
      <c r="D18" s="26">
        <v>78.627428571428567</v>
      </c>
      <c r="E18" s="26">
        <v>45.295428571428573</v>
      </c>
      <c r="F18" s="27"/>
      <c r="G18" s="28">
        <v>4.6885111665808239</v>
      </c>
      <c r="H18" s="29">
        <v>-42.392331283884928</v>
      </c>
    </row>
    <row r="19" spans="1:8">
      <c r="A19" s="30" t="s">
        <v>23</v>
      </c>
      <c r="B19" s="31" t="s">
        <v>3</v>
      </c>
      <c r="C19" s="20">
        <v>2905.1171428571429</v>
      </c>
      <c r="D19" s="20">
        <v>3356</v>
      </c>
      <c r="E19" s="21">
        <v>2055.8584210917325</v>
      </c>
      <c r="F19" s="22" t="s">
        <v>224</v>
      </c>
      <c r="G19" s="23">
        <v>-29.233200590671402</v>
      </c>
      <c r="H19" s="24">
        <v>-38.740809860198681</v>
      </c>
    </row>
    <row r="20" spans="1:8">
      <c r="A20" s="30"/>
      <c r="B20" s="35" t="s">
        <v>127</v>
      </c>
      <c r="C20" s="21">
        <v>590.75107142857144</v>
      </c>
      <c r="D20" s="21">
        <v>838.52928571428572</v>
      </c>
      <c r="E20" s="21">
        <v>477.28678571428571</v>
      </c>
      <c r="F20" s="36"/>
      <c r="G20" s="42">
        <v>-19.206784583547702</v>
      </c>
      <c r="H20" s="24">
        <v>-43.080487009142708</v>
      </c>
    </row>
    <row r="21" spans="1:8">
      <c r="A21" s="43" t="s">
        <v>12</v>
      </c>
      <c r="B21" s="38" t="s">
        <v>3</v>
      </c>
      <c r="C21" s="39">
        <v>43</v>
      </c>
      <c r="D21" s="39">
        <v>34</v>
      </c>
      <c r="E21" s="39">
        <v>46.899999999999991</v>
      </c>
      <c r="F21" s="40" t="s">
        <v>224</v>
      </c>
      <c r="G21" s="41">
        <v>9.0697674418604493</v>
      </c>
      <c r="H21" s="33">
        <v>37.941176470588204</v>
      </c>
    </row>
    <row r="22" spans="1:8">
      <c r="A22" s="34"/>
      <c r="B22" s="25" t="s">
        <v>127</v>
      </c>
      <c r="C22" s="26">
        <v>10</v>
      </c>
      <c r="D22" s="26">
        <v>6</v>
      </c>
      <c r="E22" s="26">
        <v>9</v>
      </c>
      <c r="F22" s="27"/>
      <c r="G22" s="28">
        <v>-10</v>
      </c>
      <c r="H22" s="29">
        <v>50</v>
      </c>
    </row>
    <row r="23" spans="1:8">
      <c r="A23" s="43" t="s">
        <v>24</v>
      </c>
      <c r="B23" s="31" t="s">
        <v>3</v>
      </c>
      <c r="C23" s="20">
        <v>1571.9813533834586</v>
      </c>
      <c r="D23" s="20">
        <v>1548</v>
      </c>
      <c r="E23" s="21">
        <v>1118.9263538070747</v>
      </c>
      <c r="F23" s="22" t="s">
        <v>224</v>
      </c>
      <c r="G23" s="23">
        <v>-28.820634456079873</v>
      </c>
      <c r="H23" s="24">
        <v>-27.717935800576569</v>
      </c>
    </row>
    <row r="24" spans="1:8">
      <c r="A24" s="34"/>
      <c r="B24" s="35" t="s">
        <v>127</v>
      </c>
      <c r="C24" s="21">
        <v>353.10541353383456</v>
      </c>
      <c r="D24" s="21">
        <v>449.49533834586464</v>
      </c>
      <c r="E24" s="21">
        <v>296.02270676691728</v>
      </c>
      <c r="F24" s="36"/>
      <c r="G24" s="42">
        <v>-16.165910965691737</v>
      </c>
      <c r="H24" s="24">
        <v>-34.143319960497053</v>
      </c>
    </row>
    <row r="25" spans="1:8">
      <c r="A25" s="30" t="s">
        <v>25</v>
      </c>
      <c r="B25" s="38" t="s">
        <v>3</v>
      </c>
      <c r="C25" s="39">
        <v>15</v>
      </c>
      <c r="D25" s="39">
        <v>15</v>
      </c>
      <c r="E25" s="39">
        <v>3.5</v>
      </c>
      <c r="F25" s="40" t="s">
        <v>224</v>
      </c>
      <c r="G25" s="41">
        <v>-76.666666666666671</v>
      </c>
      <c r="H25" s="33">
        <v>-76.666666666666671</v>
      </c>
    </row>
    <row r="26" spans="1:8">
      <c r="A26" s="30"/>
      <c r="B26" s="25" t="s">
        <v>127</v>
      </c>
      <c r="C26" s="26">
        <v>5</v>
      </c>
      <c r="D26" s="26">
        <v>4</v>
      </c>
      <c r="E26" s="26">
        <v>1</v>
      </c>
      <c r="F26" s="27"/>
      <c r="G26" s="28">
        <v>-80</v>
      </c>
      <c r="H26" s="29">
        <v>-75</v>
      </c>
    </row>
    <row r="27" spans="1:8">
      <c r="A27" s="43" t="s">
        <v>9</v>
      </c>
      <c r="B27" s="31" t="s">
        <v>3</v>
      </c>
      <c r="C27" s="20">
        <v>0</v>
      </c>
      <c r="D27" s="20">
        <v>0</v>
      </c>
      <c r="E27" s="21">
        <v>0</v>
      </c>
      <c r="F27" s="22" t="s">
        <v>224</v>
      </c>
      <c r="G27" s="23" t="s">
        <v>228</v>
      </c>
      <c r="H27" s="24" t="s">
        <v>228</v>
      </c>
    </row>
    <row r="28" spans="1:8">
      <c r="A28" s="34"/>
      <c r="B28" s="25" t="s">
        <v>127</v>
      </c>
      <c r="C28" s="26">
        <v>0</v>
      </c>
      <c r="D28" s="26">
        <v>0</v>
      </c>
      <c r="E28" s="26">
        <v>0</v>
      </c>
      <c r="F28" s="27"/>
      <c r="G28" s="28" t="s">
        <v>228</v>
      </c>
      <c r="H28" s="29" t="s">
        <v>228</v>
      </c>
    </row>
    <row r="29" spans="1:8">
      <c r="A29" s="30" t="s">
        <v>26</v>
      </c>
      <c r="B29" s="31" t="s">
        <v>3</v>
      </c>
      <c r="C29" s="20">
        <v>1549.0914285714287</v>
      </c>
      <c r="D29" s="20">
        <v>1286</v>
      </c>
      <c r="E29" s="21">
        <v>709.66537940137414</v>
      </c>
      <c r="F29" s="22" t="s">
        <v>224</v>
      </c>
      <c r="G29" s="23">
        <v>-54.188283124397167</v>
      </c>
      <c r="H29" s="24">
        <v>-44.816066920577434</v>
      </c>
    </row>
    <row r="30" spans="1:8" ht="13.5" thickBot="1">
      <c r="A30" s="45"/>
      <c r="B30" s="46" t="s">
        <v>127</v>
      </c>
      <c r="C30" s="47">
        <v>179.55571428571429</v>
      </c>
      <c r="D30" s="47">
        <v>570.52285714285711</v>
      </c>
      <c r="E30" s="47">
        <v>162.07952380952381</v>
      </c>
      <c r="F30" s="48"/>
      <c r="G30" s="49">
        <v>-9.7330182699626278</v>
      </c>
      <c r="H30" s="50">
        <v>-71.591055155755214</v>
      </c>
    </row>
    <row r="31" spans="1:8">
      <c r="A31" s="51"/>
      <c r="B31" s="52"/>
      <c r="C31" s="53"/>
      <c r="D31" s="59"/>
      <c r="E31" s="53"/>
      <c r="F31" s="53"/>
      <c r="G31" s="54"/>
      <c r="H31" s="55"/>
    </row>
    <row r="32" spans="1:8" ht="16.5" thickBot="1">
      <c r="A32" s="4" t="s">
        <v>115</v>
      </c>
      <c r="B32" s="5"/>
      <c r="C32" s="5"/>
      <c r="D32" s="5"/>
      <c r="E32" s="5"/>
      <c r="F32" s="5"/>
      <c r="G32" s="5"/>
      <c r="H32" s="6"/>
    </row>
    <row r="33" spans="1:8">
      <c r="A33" s="7"/>
      <c r="B33" s="8"/>
      <c r="C33" s="159" t="s">
        <v>16</v>
      </c>
      <c r="D33" s="153"/>
      <c r="E33" s="153"/>
      <c r="F33" s="160"/>
      <c r="G33" s="153" t="s">
        <v>1</v>
      </c>
      <c r="H33" s="154"/>
    </row>
    <row r="34" spans="1:8">
      <c r="A34" s="12"/>
      <c r="B34" s="13"/>
      <c r="C34" s="14">
        <v>2011</v>
      </c>
      <c r="D34" s="15">
        <v>2012</v>
      </c>
      <c r="E34" s="15">
        <v>2013</v>
      </c>
      <c r="F34" s="16"/>
      <c r="G34" s="17" t="s">
        <v>222</v>
      </c>
      <c r="H34" s="18" t="s">
        <v>223</v>
      </c>
    </row>
    <row r="35" spans="1:8" ht="12.75" customHeight="1">
      <c r="A35" s="155" t="s">
        <v>47</v>
      </c>
      <c r="B35" s="19" t="s">
        <v>3</v>
      </c>
      <c r="C35" s="84">
        <v>669.59931894463659</v>
      </c>
      <c r="D35" s="84">
        <v>560.50862801026369</v>
      </c>
      <c r="E35" s="85">
        <v>579.13671451737946</v>
      </c>
      <c r="F35" s="22" t="s">
        <v>224</v>
      </c>
      <c r="G35" s="23">
        <v>-13.509960638824467</v>
      </c>
      <c r="H35" s="24">
        <v>3.3234254704058941</v>
      </c>
    </row>
    <row r="36" spans="1:8" ht="12.75" customHeight="1">
      <c r="A36" s="156"/>
      <c r="B36" s="25" t="s">
        <v>127</v>
      </c>
      <c r="C36" s="86">
        <v>178.60657149136429</v>
      </c>
      <c r="D36" s="86">
        <v>161.91466810342735</v>
      </c>
      <c r="E36" s="86">
        <v>162.79279406370409</v>
      </c>
      <c r="F36" s="27"/>
      <c r="G36" s="28">
        <v>-8.8539728945106617</v>
      </c>
      <c r="H36" s="29">
        <v>0.54233873345917516</v>
      </c>
    </row>
    <row r="37" spans="1:8">
      <c r="A37" s="30" t="s">
        <v>18</v>
      </c>
      <c r="B37" s="31" t="s">
        <v>3</v>
      </c>
      <c r="C37" s="84">
        <v>268.7775762009976</v>
      </c>
      <c r="D37" s="84">
        <v>252.79593586831822</v>
      </c>
      <c r="E37" s="87">
        <v>210.6359834453402</v>
      </c>
      <c r="F37" s="22" t="s">
        <v>224</v>
      </c>
      <c r="G37" s="32">
        <v>-21.631861399098966</v>
      </c>
      <c r="H37" s="33">
        <v>-16.677464484610709</v>
      </c>
    </row>
    <row r="38" spans="1:8">
      <c r="A38" s="34"/>
      <c r="B38" s="35" t="s">
        <v>127</v>
      </c>
      <c r="C38" s="87">
        <v>63.500755897205771</v>
      </c>
      <c r="D38" s="87">
        <v>69.877229599368377</v>
      </c>
      <c r="E38" s="87">
        <v>55.101371842244809</v>
      </c>
      <c r="F38" s="36"/>
      <c r="G38" s="37">
        <v>-13.227219009105625</v>
      </c>
      <c r="H38" s="29">
        <v>-21.145454451813478</v>
      </c>
    </row>
    <row r="39" spans="1:8">
      <c r="A39" s="30" t="s">
        <v>19</v>
      </c>
      <c r="B39" s="38" t="s">
        <v>3</v>
      </c>
      <c r="C39" s="88">
        <v>220.87220671859831</v>
      </c>
      <c r="D39" s="88">
        <v>149.16802567678772</v>
      </c>
      <c r="E39" s="88">
        <v>207.23464857637373</v>
      </c>
      <c r="F39" s="40" t="s">
        <v>224</v>
      </c>
      <c r="G39" s="41">
        <v>-6.1744111424573589</v>
      </c>
      <c r="H39" s="33">
        <v>38.926990309171771</v>
      </c>
    </row>
    <row r="40" spans="1:8">
      <c r="A40" s="34"/>
      <c r="B40" s="25" t="s">
        <v>127</v>
      </c>
      <c r="C40" s="86">
        <v>76.433836859997015</v>
      </c>
      <c r="D40" s="86">
        <v>51.594620879879926</v>
      </c>
      <c r="E40" s="86">
        <v>71.69073120254987</v>
      </c>
      <c r="F40" s="27"/>
      <c r="G40" s="28">
        <v>-6.2055051169746207</v>
      </c>
      <c r="H40" s="29">
        <v>38.950010640560237</v>
      </c>
    </row>
    <row r="41" spans="1:8">
      <c r="A41" s="30" t="s">
        <v>20</v>
      </c>
      <c r="B41" s="31" t="s">
        <v>3</v>
      </c>
      <c r="C41" s="84">
        <v>62.012565660878344</v>
      </c>
      <c r="D41" s="84">
        <v>61.499349223168487</v>
      </c>
      <c r="E41" s="87">
        <v>53.253184380216908</v>
      </c>
      <c r="F41" s="22" t="s">
        <v>224</v>
      </c>
      <c r="G41" s="23">
        <v>-14.125171547590782</v>
      </c>
      <c r="H41" s="24">
        <v>-13.408540004265646</v>
      </c>
    </row>
    <row r="42" spans="1:8">
      <c r="A42" s="34"/>
      <c r="B42" s="35" t="s">
        <v>127</v>
      </c>
      <c r="C42" s="87">
        <v>14.315064430264758</v>
      </c>
      <c r="D42" s="87">
        <v>15.384948413301812</v>
      </c>
      <c r="E42" s="87">
        <v>12.960424939768403</v>
      </c>
      <c r="F42" s="36"/>
      <c r="G42" s="42">
        <v>-9.4630345332738557</v>
      </c>
      <c r="H42" s="24">
        <v>-15.75906144369759</v>
      </c>
    </row>
    <row r="43" spans="1:8">
      <c r="A43" s="30" t="s">
        <v>21</v>
      </c>
      <c r="B43" s="38" t="s">
        <v>3</v>
      </c>
      <c r="C43" s="88">
        <v>4.8965511310136778</v>
      </c>
      <c r="D43" s="88">
        <v>4.5925671223877425</v>
      </c>
      <c r="E43" s="88">
        <v>5.8779351744083668</v>
      </c>
      <c r="F43" s="40" t="s">
        <v>224</v>
      </c>
      <c r="G43" s="41">
        <v>20.042352609754616</v>
      </c>
      <c r="H43" s="33">
        <v>27.988007965190988</v>
      </c>
    </row>
    <row r="44" spans="1:8">
      <c r="A44" s="34"/>
      <c r="B44" s="25" t="s">
        <v>127</v>
      </c>
      <c r="C44" s="86">
        <v>0.61360626313558841</v>
      </c>
      <c r="D44" s="86">
        <v>0.78398339441189258</v>
      </c>
      <c r="E44" s="86">
        <v>0.89530168871001614</v>
      </c>
      <c r="F44" s="27"/>
      <c r="G44" s="28">
        <v>45.908173123093036</v>
      </c>
      <c r="H44" s="29">
        <v>14.199062772449309</v>
      </c>
    </row>
    <row r="45" spans="1:8">
      <c r="A45" s="30" t="s">
        <v>22</v>
      </c>
      <c r="B45" s="38" t="s">
        <v>3</v>
      </c>
      <c r="C45" s="88">
        <v>1.5697735887663069</v>
      </c>
      <c r="D45" s="88">
        <v>1.4321116524709214</v>
      </c>
      <c r="E45" s="88">
        <v>1.6236934019595888</v>
      </c>
      <c r="F45" s="40" t="s">
        <v>224</v>
      </c>
      <c r="G45" s="41">
        <v>3.4348783531042812</v>
      </c>
      <c r="H45" s="33">
        <v>13.377570747233165</v>
      </c>
    </row>
    <row r="46" spans="1:8">
      <c r="A46" s="34"/>
      <c r="B46" s="25" t="s">
        <v>127</v>
      </c>
      <c r="C46" s="86">
        <v>0.34280891645646805</v>
      </c>
      <c r="D46" s="86">
        <v>0.38210033767426688</v>
      </c>
      <c r="E46" s="86">
        <v>0.40339713499698931</v>
      </c>
      <c r="F46" s="27"/>
      <c r="G46" s="28">
        <v>17.674049778753371</v>
      </c>
      <c r="H46" s="29">
        <v>5.5736138450831447</v>
      </c>
    </row>
    <row r="47" spans="1:8">
      <c r="A47" s="30" t="s">
        <v>23</v>
      </c>
      <c r="B47" s="31" t="s">
        <v>3</v>
      </c>
      <c r="C47" s="84">
        <v>58.773888572398995</v>
      </c>
      <c r="D47" s="84">
        <v>42.501700106843046</v>
      </c>
      <c r="E47" s="87">
        <v>41.670396811616193</v>
      </c>
      <c r="F47" s="22" t="s">
        <v>224</v>
      </c>
      <c r="G47" s="23">
        <v>-29.100493733223615</v>
      </c>
      <c r="H47" s="24">
        <v>-1.9559295113773771</v>
      </c>
    </row>
    <row r="48" spans="1:8">
      <c r="A48" s="30"/>
      <c r="B48" s="35" t="s">
        <v>127</v>
      </c>
      <c r="C48" s="87">
        <v>12.148699552945446</v>
      </c>
      <c r="D48" s="87">
        <v>10.731384107663422</v>
      </c>
      <c r="E48" s="87">
        <v>9.7979715334291075</v>
      </c>
      <c r="F48" s="36"/>
      <c r="G48" s="42">
        <v>-19.349626758580968</v>
      </c>
      <c r="H48" s="24">
        <v>-8.6979700369475381</v>
      </c>
    </row>
    <row r="49" spans="1:8">
      <c r="A49" s="43" t="s">
        <v>12</v>
      </c>
      <c r="B49" s="38" t="s">
        <v>3</v>
      </c>
      <c r="C49" s="88">
        <v>0.64480051737942257</v>
      </c>
      <c r="D49" s="88">
        <v>1.3574247322548776</v>
      </c>
      <c r="E49" s="88">
        <v>2.8966263120963731</v>
      </c>
      <c r="F49" s="40" t="s">
        <v>224</v>
      </c>
      <c r="G49" s="41">
        <v>349.22828596179613</v>
      </c>
      <c r="H49" s="33">
        <v>113.3913021670572</v>
      </c>
    </row>
    <row r="50" spans="1:8">
      <c r="A50" s="34"/>
      <c r="B50" s="25" t="s">
        <v>127</v>
      </c>
      <c r="C50" s="86">
        <v>9.2216924608044204E-2</v>
      </c>
      <c r="D50" s="86">
        <v>7.3252732715975349E-2</v>
      </c>
      <c r="E50" s="86">
        <v>0.19725684990172471</v>
      </c>
      <c r="F50" s="27"/>
      <c r="G50" s="28">
        <v>113.90525734851681</v>
      </c>
      <c r="H50" s="29">
        <v>169.28258180695269</v>
      </c>
    </row>
    <row r="51" spans="1:8">
      <c r="A51" s="43" t="s">
        <v>24</v>
      </c>
      <c r="B51" s="31" t="s">
        <v>3</v>
      </c>
      <c r="C51" s="84">
        <v>35.251968318630304</v>
      </c>
      <c r="D51" s="84">
        <v>34.79654592927244</v>
      </c>
      <c r="E51" s="87">
        <v>33.70586340910652</v>
      </c>
      <c r="F51" s="22" t="s">
        <v>224</v>
      </c>
      <c r="G51" s="23">
        <v>-4.3858683167676702</v>
      </c>
      <c r="H51" s="24">
        <v>-3.1344562830541918</v>
      </c>
    </row>
    <row r="52" spans="1:8">
      <c r="A52" s="34"/>
      <c r="B52" s="35" t="s">
        <v>127</v>
      </c>
      <c r="C52" s="87">
        <v>7.5883602821865521</v>
      </c>
      <c r="D52" s="87">
        <v>9.1428951112633428</v>
      </c>
      <c r="E52" s="87">
        <v>8.2496184231041454</v>
      </c>
      <c r="F52" s="36"/>
      <c r="G52" s="42">
        <v>8.7141110375304436</v>
      </c>
      <c r="H52" s="24">
        <v>-9.7701732032203807</v>
      </c>
    </row>
    <row r="53" spans="1:8">
      <c r="A53" s="30" t="s">
        <v>25</v>
      </c>
      <c r="B53" s="38" t="s">
        <v>3</v>
      </c>
      <c r="C53" s="88">
        <v>4.6641472512137716E-3</v>
      </c>
      <c r="D53" s="88">
        <v>0.16224073325973154</v>
      </c>
      <c r="E53" s="88">
        <v>5.0019557528500201E-2</v>
      </c>
      <c r="F53" s="40" t="s">
        <v>224</v>
      </c>
      <c r="G53" s="41">
        <v>972.42663737692669</v>
      </c>
      <c r="H53" s="33">
        <v>-69.169544217712712</v>
      </c>
    </row>
    <row r="54" spans="1:8">
      <c r="A54" s="30"/>
      <c r="B54" s="25" t="s">
        <v>127</v>
      </c>
      <c r="C54" s="86">
        <v>7.6220790426446477E-3</v>
      </c>
      <c r="D54" s="86">
        <v>4.5505135304184187E-2</v>
      </c>
      <c r="E54" s="86">
        <v>1.9380960404513339E-2</v>
      </c>
      <c r="F54" s="27"/>
      <c r="G54" s="28">
        <v>154.27393623287182</v>
      </c>
      <c r="H54" s="29">
        <v>-57.409289578068204</v>
      </c>
    </row>
    <row r="55" spans="1:8">
      <c r="A55" s="43" t="s">
        <v>9</v>
      </c>
      <c r="B55" s="31" t="s">
        <v>3</v>
      </c>
      <c r="C55" s="84">
        <v>0</v>
      </c>
      <c r="D55" s="84">
        <v>0</v>
      </c>
      <c r="E55" s="87">
        <v>0</v>
      </c>
      <c r="F55" s="22" t="s">
        <v>224</v>
      </c>
      <c r="G55" s="23" t="s">
        <v>228</v>
      </c>
      <c r="H55" s="24" t="s">
        <v>228</v>
      </c>
    </row>
    <row r="56" spans="1:8">
      <c r="A56" s="34"/>
      <c r="B56" s="25" t="s">
        <v>127</v>
      </c>
      <c r="C56" s="86">
        <v>0</v>
      </c>
      <c r="D56" s="86">
        <v>0</v>
      </c>
      <c r="E56" s="86">
        <v>0</v>
      </c>
      <c r="F56" s="27"/>
      <c r="G56" s="28" t="s">
        <v>228</v>
      </c>
      <c r="H56" s="29" t="s">
        <v>228</v>
      </c>
    </row>
    <row r="57" spans="1:8">
      <c r="A57" s="30" t="s">
        <v>26</v>
      </c>
      <c r="B57" s="31" t="s">
        <v>3</v>
      </c>
      <c r="C57" s="84">
        <v>16.795324088722456</v>
      </c>
      <c r="D57" s="84">
        <v>12.20272696550046</v>
      </c>
      <c r="E57" s="87">
        <v>12.718762054045342</v>
      </c>
      <c r="F57" s="22" t="s">
        <v>224</v>
      </c>
      <c r="G57" s="23">
        <v>-24.272005786505773</v>
      </c>
      <c r="H57" s="24">
        <v>4.2288505676134207</v>
      </c>
    </row>
    <row r="58" spans="1:8" ht="13.5" thickBot="1">
      <c r="A58" s="45"/>
      <c r="B58" s="46" t="s">
        <v>127</v>
      </c>
      <c r="C58" s="90">
        <v>3.5636002855220075</v>
      </c>
      <c r="D58" s="90">
        <v>3.8987483918441357</v>
      </c>
      <c r="E58" s="90">
        <v>3.4773394885945401</v>
      </c>
      <c r="F58" s="48"/>
      <c r="G58" s="49">
        <v>-2.4206080933914791</v>
      </c>
      <c r="H58" s="50">
        <v>-10.808825317662169</v>
      </c>
    </row>
    <row r="59" spans="1:8">
      <c r="A59" s="51"/>
      <c r="B59" s="52"/>
      <c r="C59" s="53"/>
      <c r="D59" s="53"/>
      <c r="E59" s="53"/>
      <c r="F59" s="53"/>
      <c r="G59" s="54"/>
      <c r="H59" s="55"/>
    </row>
    <row r="60" spans="1:8">
      <c r="A60" s="56"/>
      <c r="B60" s="56"/>
      <c r="C60" s="56"/>
      <c r="D60" s="56"/>
      <c r="E60" s="56"/>
      <c r="F60" s="56"/>
      <c r="G60" s="56"/>
      <c r="H60" s="56"/>
    </row>
    <row r="61" spans="1:8" ht="12.75" customHeight="1">
      <c r="A61" s="150">
        <v>16</v>
      </c>
      <c r="H61" s="57" t="s">
        <v>225</v>
      </c>
    </row>
    <row r="62" spans="1:8" ht="12.75" customHeight="1">
      <c r="A62" s="151"/>
      <c r="H62" s="57" t="s">
        <v>226</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191</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c r="A7" s="155" t="s">
        <v>193</v>
      </c>
      <c r="B7" s="19" t="s">
        <v>3</v>
      </c>
      <c r="C7" s="20">
        <v>49158.046243842364</v>
      </c>
      <c r="D7" s="20">
        <v>38994</v>
      </c>
      <c r="E7" s="83">
        <v>37017.242572638621</v>
      </c>
      <c r="F7" s="22" t="s">
        <v>224</v>
      </c>
      <c r="G7" s="23">
        <v>-24.697490235842167</v>
      </c>
      <c r="H7" s="24">
        <v>-5.0693886940590289</v>
      </c>
    </row>
    <row r="8" spans="1:8">
      <c r="A8" s="156"/>
      <c r="B8" s="25" t="s">
        <v>127</v>
      </c>
      <c r="C8" s="26">
        <v>12853.480372536946</v>
      </c>
      <c r="D8" s="26">
        <v>11277.261560960591</v>
      </c>
      <c r="E8" s="26">
        <v>10340.010252463055</v>
      </c>
      <c r="F8" s="27"/>
      <c r="G8" s="28">
        <v>-19.554782418653176</v>
      </c>
      <c r="H8" s="29">
        <v>-8.3109831534110725</v>
      </c>
    </row>
    <row r="9" spans="1:8">
      <c r="A9" s="30" t="s">
        <v>18</v>
      </c>
      <c r="B9" s="31" t="s">
        <v>3</v>
      </c>
      <c r="C9" s="20">
        <v>7127.2118190476185</v>
      </c>
      <c r="D9" s="20">
        <v>5186</v>
      </c>
      <c r="E9" s="39">
        <v>4991.9681368968841</v>
      </c>
      <c r="F9" s="22" t="s">
        <v>224</v>
      </c>
      <c r="G9" s="32">
        <v>-29.959032176429119</v>
      </c>
      <c r="H9" s="33">
        <v>-3.7414551311823345</v>
      </c>
    </row>
    <row r="10" spans="1:8">
      <c r="A10" s="34"/>
      <c r="B10" s="35" t="s">
        <v>127</v>
      </c>
      <c r="C10" s="26">
        <v>1409.1227206959707</v>
      </c>
      <c r="D10" s="26">
        <v>1536.8029547619046</v>
      </c>
      <c r="E10" s="26">
        <v>1268.3938164835165</v>
      </c>
      <c r="F10" s="36"/>
      <c r="G10" s="37">
        <v>-9.9869870910141714</v>
      </c>
      <c r="H10" s="29">
        <v>-17.46542310103591</v>
      </c>
    </row>
    <row r="11" spans="1:8">
      <c r="A11" s="30" t="s">
        <v>19</v>
      </c>
      <c r="B11" s="38" t="s">
        <v>3</v>
      </c>
      <c r="C11" s="20">
        <v>21153.334880952381</v>
      </c>
      <c r="D11" s="20">
        <v>17027</v>
      </c>
      <c r="E11" s="39">
        <v>19091.020367547495</v>
      </c>
      <c r="F11" s="40" t="s">
        <v>224</v>
      </c>
      <c r="G11" s="41">
        <v>-9.7493587891047184</v>
      </c>
      <c r="H11" s="33">
        <v>12.122043622173578</v>
      </c>
    </row>
    <row r="12" spans="1:8">
      <c r="A12" s="34"/>
      <c r="B12" s="25" t="s">
        <v>127</v>
      </c>
      <c r="C12" s="26">
        <v>6476.4697916666664</v>
      </c>
      <c r="D12" s="26">
        <v>4646.0837202380953</v>
      </c>
      <c r="E12" s="26">
        <v>5405.262291666666</v>
      </c>
      <c r="F12" s="27"/>
      <c r="G12" s="28">
        <v>-16.539990681008561</v>
      </c>
      <c r="H12" s="29">
        <v>16.340182767728194</v>
      </c>
    </row>
    <row r="13" spans="1:8">
      <c r="A13" s="30" t="s">
        <v>20</v>
      </c>
      <c r="B13" s="31" t="s">
        <v>3</v>
      </c>
      <c r="C13" s="20">
        <v>5441.5193031358885</v>
      </c>
      <c r="D13" s="20">
        <v>4223</v>
      </c>
      <c r="E13" s="39">
        <v>3251.4109045503383</v>
      </c>
      <c r="F13" s="22" t="s">
        <v>224</v>
      </c>
      <c r="G13" s="23">
        <v>-40.248104923994568</v>
      </c>
      <c r="H13" s="24">
        <v>-23.007082534919761</v>
      </c>
    </row>
    <row r="14" spans="1:8">
      <c r="A14" s="34"/>
      <c r="B14" s="35" t="s">
        <v>127</v>
      </c>
      <c r="C14" s="26">
        <v>1218.1938707633831</v>
      </c>
      <c r="D14" s="26">
        <v>1166.3798257839721</v>
      </c>
      <c r="E14" s="26">
        <v>833.11949952486543</v>
      </c>
      <c r="F14" s="36"/>
      <c r="G14" s="42">
        <v>-31.610269964435972</v>
      </c>
      <c r="H14" s="24">
        <v>-28.572195685492815</v>
      </c>
    </row>
    <row r="15" spans="1:8">
      <c r="A15" s="30" t="s">
        <v>21</v>
      </c>
      <c r="B15" s="38" t="s">
        <v>3</v>
      </c>
      <c r="C15" s="20">
        <v>1257.1500714285714</v>
      </c>
      <c r="D15" s="20">
        <v>1138</v>
      </c>
      <c r="E15" s="39">
        <v>862.73668613375628</v>
      </c>
      <c r="F15" s="40" t="s">
        <v>224</v>
      </c>
      <c r="G15" s="41">
        <v>-31.373611970337052</v>
      </c>
      <c r="H15" s="33">
        <v>-24.18834041003899</v>
      </c>
    </row>
    <row r="16" spans="1:8">
      <c r="A16" s="34"/>
      <c r="B16" s="25" t="s">
        <v>127</v>
      </c>
      <c r="C16" s="26">
        <v>323.8995535714285</v>
      </c>
      <c r="D16" s="26">
        <v>300.03751785714286</v>
      </c>
      <c r="E16" s="26">
        <v>225.70915476190476</v>
      </c>
      <c r="F16" s="27"/>
      <c r="G16" s="28">
        <v>-30.315076920249638</v>
      </c>
      <c r="H16" s="29">
        <v>-24.77302292929518</v>
      </c>
    </row>
    <row r="17" spans="1:8">
      <c r="A17" s="30" t="s">
        <v>23</v>
      </c>
      <c r="B17" s="38" t="s">
        <v>3</v>
      </c>
      <c r="C17" s="20">
        <v>8173.9373848907981</v>
      </c>
      <c r="D17" s="20">
        <v>6170</v>
      </c>
      <c r="E17" s="39">
        <v>5201.9798797374406</v>
      </c>
      <c r="F17" s="40" t="s">
        <v>224</v>
      </c>
      <c r="G17" s="41">
        <v>-36.358946309607219</v>
      </c>
      <c r="H17" s="33">
        <v>-15.689142954012311</v>
      </c>
    </row>
    <row r="18" spans="1:8">
      <c r="A18" s="34"/>
      <c r="B18" s="25" t="s">
        <v>127</v>
      </c>
      <c r="C18" s="26">
        <v>1980.9344880057286</v>
      </c>
      <c r="D18" s="26">
        <v>1693.4843462226995</v>
      </c>
      <c r="E18" s="26">
        <v>1367.3761310418904</v>
      </c>
      <c r="F18" s="27"/>
      <c r="G18" s="28">
        <v>-30.973177592638478</v>
      </c>
      <c r="H18" s="29">
        <v>-19.256641840722665</v>
      </c>
    </row>
    <row r="19" spans="1:8">
      <c r="A19" s="30" t="s">
        <v>48</v>
      </c>
      <c r="B19" s="31" t="s">
        <v>3</v>
      </c>
      <c r="C19" s="20">
        <v>408.84858771049403</v>
      </c>
      <c r="D19" s="20">
        <v>266</v>
      </c>
      <c r="E19" s="39">
        <v>505.52276691513032</v>
      </c>
      <c r="F19" s="22" t="s">
        <v>224</v>
      </c>
      <c r="G19" s="23">
        <v>23.645472214053825</v>
      </c>
      <c r="H19" s="24">
        <v>90.046152975612898</v>
      </c>
    </row>
    <row r="20" spans="1:8">
      <c r="A20" s="30"/>
      <c r="B20" s="35" t="s">
        <v>127</v>
      </c>
      <c r="C20" s="26">
        <v>124.7028050072488</v>
      </c>
      <c r="D20" s="26">
        <v>49.212146927623508</v>
      </c>
      <c r="E20" s="26">
        <v>107.64260053529608</v>
      </c>
      <c r="F20" s="36"/>
      <c r="G20" s="42">
        <v>-13.68069023865263</v>
      </c>
      <c r="H20" s="24">
        <v>118.73177102719472</v>
      </c>
    </row>
    <row r="21" spans="1:8">
      <c r="A21" s="43" t="s">
        <v>12</v>
      </c>
      <c r="B21" s="38" t="s">
        <v>3</v>
      </c>
      <c r="C21" s="39">
        <v>1823.6655238095238</v>
      </c>
      <c r="D21" s="39">
        <v>1187</v>
      </c>
      <c r="E21" s="39">
        <v>778.76517268430439</v>
      </c>
      <c r="F21" s="40" t="s">
        <v>224</v>
      </c>
      <c r="G21" s="41">
        <v>-57.296710251038121</v>
      </c>
      <c r="H21" s="33">
        <v>-34.392150574195085</v>
      </c>
    </row>
    <row r="22" spans="1:8">
      <c r="A22" s="34"/>
      <c r="B22" s="25" t="s">
        <v>127</v>
      </c>
      <c r="C22" s="26">
        <v>512.50238095238092</v>
      </c>
      <c r="D22" s="26">
        <v>432.16638095238096</v>
      </c>
      <c r="E22" s="26">
        <v>258.10828571428573</v>
      </c>
      <c r="F22" s="27"/>
      <c r="G22" s="28">
        <v>-49.637641636972639</v>
      </c>
      <c r="H22" s="29">
        <v>-40.2757139170606</v>
      </c>
    </row>
    <row r="23" spans="1:8">
      <c r="A23" s="43" t="s">
        <v>24</v>
      </c>
      <c r="B23" s="31" t="s">
        <v>3</v>
      </c>
      <c r="C23" s="39">
        <v>1258</v>
      </c>
      <c r="D23" s="39">
        <v>1282</v>
      </c>
      <c r="E23" s="39">
        <v>975.42980189491823</v>
      </c>
      <c r="F23" s="22" t="s">
        <v>224</v>
      </c>
      <c r="G23" s="23">
        <v>-22.461859944760079</v>
      </c>
      <c r="H23" s="24">
        <v>-23.913431989475953</v>
      </c>
    </row>
    <row r="24" spans="1:8">
      <c r="A24" s="34"/>
      <c r="B24" s="35" t="s">
        <v>127</v>
      </c>
      <c r="C24" s="26">
        <v>378</v>
      </c>
      <c r="D24" s="26">
        <v>387</v>
      </c>
      <c r="E24" s="26">
        <v>294</v>
      </c>
      <c r="F24" s="36"/>
      <c r="G24" s="42">
        <v>-22.222222222222214</v>
      </c>
      <c r="H24" s="24">
        <v>-24.031007751937977</v>
      </c>
    </row>
    <row r="25" spans="1:8">
      <c r="A25" s="30" t="s">
        <v>25</v>
      </c>
      <c r="B25" s="38" t="s">
        <v>3</v>
      </c>
      <c r="C25" s="39">
        <v>94</v>
      </c>
      <c r="D25" s="39">
        <v>73</v>
      </c>
      <c r="E25" s="39">
        <v>105</v>
      </c>
      <c r="F25" s="40" t="s">
        <v>224</v>
      </c>
      <c r="G25" s="41">
        <v>11.702127659574458</v>
      </c>
      <c r="H25" s="33">
        <v>43.835616438356169</v>
      </c>
    </row>
    <row r="26" spans="1:8">
      <c r="A26" s="34"/>
      <c r="B26" s="35" t="s">
        <v>127</v>
      </c>
      <c r="C26" s="26">
        <v>16</v>
      </c>
      <c r="D26" s="26">
        <v>16</v>
      </c>
      <c r="E26" s="26">
        <v>21</v>
      </c>
      <c r="F26" s="27"/>
      <c r="G26" s="28">
        <v>31.25</v>
      </c>
      <c r="H26" s="29">
        <v>31.25</v>
      </c>
    </row>
    <row r="27" spans="1:8">
      <c r="A27" s="30" t="s">
        <v>26</v>
      </c>
      <c r="B27" s="38" t="s">
        <v>3</v>
      </c>
      <c r="C27" s="20">
        <v>3242.2315987460815</v>
      </c>
      <c r="D27" s="20">
        <v>3247</v>
      </c>
      <c r="E27" s="21">
        <v>2889.2988769283315</v>
      </c>
      <c r="F27" s="22" t="s">
        <v>224</v>
      </c>
      <c r="G27" s="23">
        <v>-10.885487697863567</v>
      </c>
      <c r="H27" s="24">
        <v>-11.016357347448974</v>
      </c>
    </row>
    <row r="28" spans="1:8" ht="13.5" thickBot="1">
      <c r="A28" s="45"/>
      <c r="B28" s="46" t="s">
        <v>127</v>
      </c>
      <c r="C28" s="47">
        <v>574.05666009852212</v>
      </c>
      <c r="D28" s="47">
        <v>1203.8078996865204</v>
      </c>
      <c r="E28" s="47">
        <v>784.95937438423653</v>
      </c>
      <c r="F28" s="48"/>
      <c r="G28" s="49">
        <v>36.739006607730715</v>
      </c>
      <c r="H28" s="50">
        <v>-34.793634882389028</v>
      </c>
    </row>
    <row r="29" spans="1:8">
      <c r="A29" s="112"/>
      <c r="B29" s="112"/>
      <c r="C29" s="20"/>
      <c r="D29" s="20"/>
      <c r="E29" s="21"/>
      <c r="F29" s="113"/>
      <c r="G29" s="23"/>
      <c r="H29" s="114"/>
    </row>
    <row r="30" spans="1:8">
      <c r="A30" s="62"/>
      <c r="B30" s="66"/>
      <c r="C30" s="21"/>
      <c r="D30" s="21"/>
      <c r="E30" s="21"/>
      <c r="F30" s="67"/>
      <c r="G30" s="42"/>
      <c r="H30" s="64"/>
    </row>
    <row r="31" spans="1:8">
      <c r="A31" s="51"/>
      <c r="B31" s="52"/>
      <c r="C31" s="53"/>
      <c r="D31" s="59"/>
      <c r="E31" s="53"/>
      <c r="F31" s="53"/>
      <c r="G31" s="54"/>
      <c r="H31" s="55"/>
    </row>
    <row r="32" spans="1:8" ht="16.5" thickBot="1">
      <c r="A32" s="4" t="s">
        <v>192</v>
      </c>
      <c r="B32" s="5"/>
      <c r="C32" s="5"/>
      <c r="D32" s="5"/>
      <c r="E32" s="5"/>
      <c r="F32" s="5"/>
      <c r="G32" s="5"/>
      <c r="H32" s="6"/>
    </row>
    <row r="33" spans="1:8">
      <c r="A33" s="7"/>
      <c r="B33" s="8"/>
      <c r="C33" s="159" t="s">
        <v>16</v>
      </c>
      <c r="D33" s="153"/>
      <c r="E33" s="153"/>
      <c r="F33" s="160"/>
      <c r="G33" s="153" t="s">
        <v>1</v>
      </c>
      <c r="H33" s="154"/>
    </row>
    <row r="34" spans="1:8">
      <c r="A34" s="12"/>
      <c r="B34" s="13"/>
      <c r="C34" s="14">
        <v>2011</v>
      </c>
      <c r="D34" s="15">
        <v>2012</v>
      </c>
      <c r="E34" s="15">
        <v>2013</v>
      </c>
      <c r="F34" s="16"/>
      <c r="G34" s="17" t="s">
        <v>222</v>
      </c>
      <c r="H34" s="18" t="s">
        <v>223</v>
      </c>
    </row>
    <row r="35" spans="1:8" ht="12.75" customHeight="1">
      <c r="A35" s="155" t="s">
        <v>193</v>
      </c>
      <c r="B35" s="19" t="s">
        <v>3</v>
      </c>
      <c r="C35" s="84">
        <v>5773.1851242653265</v>
      </c>
      <c r="D35" s="84">
        <v>4591.2209991155569</v>
      </c>
      <c r="E35" s="85">
        <v>4511.9362549089856</v>
      </c>
      <c r="F35" s="22" t="s">
        <v>224</v>
      </c>
      <c r="G35" s="23">
        <v>-21.846672888682789</v>
      </c>
      <c r="H35" s="24">
        <v>-1.7268771035383423</v>
      </c>
    </row>
    <row r="36" spans="1:8" ht="12.75" customHeight="1">
      <c r="A36" s="156"/>
      <c r="B36" s="25" t="s">
        <v>127</v>
      </c>
      <c r="C36" s="86">
        <v>1679.793808602383</v>
      </c>
      <c r="D36" s="86">
        <v>1141.2049003762484</v>
      </c>
      <c r="E36" s="86">
        <v>1178.7579968222551</v>
      </c>
      <c r="F36" s="27"/>
      <c r="G36" s="28">
        <v>-29.827221008571186</v>
      </c>
      <c r="H36" s="29">
        <v>3.2906532765172756</v>
      </c>
    </row>
    <row r="37" spans="1:8">
      <c r="A37" s="30" t="s">
        <v>18</v>
      </c>
      <c r="B37" s="31" t="s">
        <v>3</v>
      </c>
      <c r="C37" s="84">
        <v>3300.2378094618989</v>
      </c>
      <c r="D37" s="84">
        <v>2193.8575866906276</v>
      </c>
      <c r="E37" s="87">
        <v>2009.3822562879438</v>
      </c>
      <c r="F37" s="22" t="s">
        <v>224</v>
      </c>
      <c r="G37" s="32">
        <v>-39.11401625279931</v>
      </c>
      <c r="H37" s="33">
        <v>-8.4087194867083213</v>
      </c>
    </row>
    <row r="38" spans="1:8">
      <c r="A38" s="34"/>
      <c r="B38" s="35" t="s">
        <v>127</v>
      </c>
      <c r="C38" s="86">
        <v>962.1174985541918</v>
      </c>
      <c r="D38" s="86">
        <v>480.04464741588311</v>
      </c>
      <c r="E38" s="86">
        <v>479.55072890285663</v>
      </c>
      <c r="F38" s="36"/>
      <c r="G38" s="37">
        <v>-50.156739730490862</v>
      </c>
      <c r="H38" s="29">
        <v>-0.10289011984308161</v>
      </c>
    </row>
    <row r="39" spans="1:8">
      <c r="A39" s="30" t="s">
        <v>19</v>
      </c>
      <c r="B39" s="38" t="s">
        <v>3</v>
      </c>
      <c r="C39" s="84">
        <v>1165.4451944496116</v>
      </c>
      <c r="D39" s="84">
        <v>1192.5025374371223</v>
      </c>
      <c r="E39" s="87">
        <v>1204.5872064972903</v>
      </c>
      <c r="F39" s="40" t="s">
        <v>224</v>
      </c>
      <c r="G39" s="41">
        <v>3.358545921686499</v>
      </c>
      <c r="H39" s="33">
        <v>1.0133872826920651</v>
      </c>
    </row>
    <row r="40" spans="1:8">
      <c r="A40" s="34"/>
      <c r="B40" s="25" t="s">
        <v>127</v>
      </c>
      <c r="C40" s="86">
        <v>367.81355998395827</v>
      </c>
      <c r="D40" s="86">
        <v>338.12365422741181</v>
      </c>
      <c r="E40" s="86">
        <v>353.52011584386236</v>
      </c>
      <c r="F40" s="27"/>
      <c r="G40" s="28">
        <v>-3.886056876402094</v>
      </c>
      <c r="H40" s="29">
        <v>4.5535003020212628</v>
      </c>
    </row>
    <row r="41" spans="1:8">
      <c r="A41" s="30" t="s">
        <v>20</v>
      </c>
      <c r="B41" s="31" t="s">
        <v>3</v>
      </c>
      <c r="C41" s="84">
        <v>212.5911770712388</v>
      </c>
      <c r="D41" s="84">
        <v>224.23431667991591</v>
      </c>
      <c r="E41" s="87">
        <v>250.19819588495932</v>
      </c>
      <c r="F41" s="22" t="s">
        <v>224</v>
      </c>
      <c r="G41" s="23">
        <v>17.68983046794952</v>
      </c>
      <c r="H41" s="24">
        <v>11.578905311850932</v>
      </c>
    </row>
    <row r="42" spans="1:8">
      <c r="A42" s="34"/>
      <c r="B42" s="35" t="s">
        <v>127</v>
      </c>
      <c r="C42" s="86">
        <v>53.718244457382809</v>
      </c>
      <c r="D42" s="86">
        <v>55.206221908522892</v>
      </c>
      <c r="E42" s="86">
        <v>62.12997020049562</v>
      </c>
      <c r="F42" s="36"/>
      <c r="G42" s="42">
        <v>15.658973646814218</v>
      </c>
      <c r="H42" s="24">
        <v>12.541608631442713</v>
      </c>
    </row>
    <row r="43" spans="1:8">
      <c r="A43" s="30" t="s">
        <v>21</v>
      </c>
      <c r="B43" s="38" t="s">
        <v>3</v>
      </c>
      <c r="C43" s="84">
        <v>17.590426534999896</v>
      </c>
      <c r="D43" s="84">
        <v>16.306733681362584</v>
      </c>
      <c r="E43" s="87">
        <v>28.006093727109771</v>
      </c>
      <c r="F43" s="40" t="s">
        <v>224</v>
      </c>
      <c r="G43" s="41">
        <v>59.212135483955933</v>
      </c>
      <c r="H43" s="33">
        <v>71.745576240806031</v>
      </c>
    </row>
    <row r="44" spans="1:8">
      <c r="A44" s="34"/>
      <c r="B44" s="25" t="s">
        <v>127</v>
      </c>
      <c r="C44" s="86">
        <v>3.557814440570239</v>
      </c>
      <c r="D44" s="86">
        <v>2.3167372015609522</v>
      </c>
      <c r="E44" s="86">
        <v>4.4170181134385125</v>
      </c>
      <c r="F44" s="27"/>
      <c r="G44" s="28">
        <v>24.149760680901665</v>
      </c>
      <c r="H44" s="29">
        <v>90.656847503568827</v>
      </c>
    </row>
    <row r="45" spans="1:8">
      <c r="A45" s="30" t="s">
        <v>23</v>
      </c>
      <c r="B45" s="38" t="s">
        <v>3</v>
      </c>
      <c r="C45" s="84">
        <v>567.039730456592</v>
      </c>
      <c r="D45" s="84">
        <v>443.71247203065104</v>
      </c>
      <c r="E45" s="87">
        <v>464.2101270775986</v>
      </c>
      <c r="F45" s="40" t="s">
        <v>224</v>
      </c>
      <c r="G45" s="41">
        <v>-18.134461812083771</v>
      </c>
      <c r="H45" s="33">
        <v>4.6195805479931664</v>
      </c>
    </row>
    <row r="46" spans="1:8">
      <c r="A46" s="34"/>
      <c r="B46" s="25" t="s">
        <v>127</v>
      </c>
      <c r="C46" s="86">
        <v>146.46510711635489</v>
      </c>
      <c r="D46" s="86">
        <v>142.86835474987814</v>
      </c>
      <c r="E46" s="86">
        <v>138.11683993768506</v>
      </c>
      <c r="F46" s="27"/>
      <c r="G46" s="28">
        <v>-5.6998334572874114</v>
      </c>
      <c r="H46" s="29">
        <v>-3.3257993489962416</v>
      </c>
    </row>
    <row r="47" spans="1:8">
      <c r="A47" s="30" t="s">
        <v>48</v>
      </c>
      <c r="B47" s="31" t="s">
        <v>3</v>
      </c>
      <c r="C47" s="84">
        <v>124.97925452018123</v>
      </c>
      <c r="D47" s="84">
        <v>108.31513500182473</v>
      </c>
      <c r="E47" s="87">
        <v>159.98063299720542</v>
      </c>
      <c r="F47" s="22" t="s">
        <v>224</v>
      </c>
      <c r="G47" s="23">
        <v>28.005750723510914</v>
      </c>
      <c r="H47" s="24">
        <v>47.699241656773381</v>
      </c>
    </row>
    <row r="48" spans="1:8">
      <c r="A48" s="30"/>
      <c r="B48" s="35" t="s">
        <v>127</v>
      </c>
      <c r="C48" s="86">
        <v>47.011613903029151</v>
      </c>
      <c r="D48" s="86">
        <v>14.955502519196443</v>
      </c>
      <c r="E48" s="86">
        <v>27.995619971803222</v>
      </c>
      <c r="F48" s="36"/>
      <c r="G48" s="42">
        <v>-40.449566293235996</v>
      </c>
      <c r="H48" s="24">
        <v>87.19277360201616</v>
      </c>
    </row>
    <row r="49" spans="1:8">
      <c r="A49" s="43" t="s">
        <v>12</v>
      </c>
      <c r="B49" s="38" t="s">
        <v>3</v>
      </c>
      <c r="C49" s="84">
        <v>88.031522186187146</v>
      </c>
      <c r="D49" s="84">
        <v>64.754700314941957</v>
      </c>
      <c r="E49" s="87">
        <v>35.051776098798364</v>
      </c>
      <c r="F49" s="40" t="s">
        <v>224</v>
      </c>
      <c r="G49" s="41">
        <v>-60.182699073788967</v>
      </c>
      <c r="H49" s="33">
        <v>-45.869912256067892</v>
      </c>
    </row>
    <row r="50" spans="1:8">
      <c r="A50" s="34"/>
      <c r="B50" s="25" t="s">
        <v>127</v>
      </c>
      <c r="C50" s="86">
        <v>30.579309319798639</v>
      </c>
      <c r="D50" s="86">
        <v>40.801399627045321</v>
      </c>
      <c r="E50" s="86">
        <v>17.372618698362203</v>
      </c>
      <c r="F50" s="27"/>
      <c r="G50" s="28">
        <v>-43.188322153783034</v>
      </c>
      <c r="H50" s="29">
        <v>-57.421512847204596</v>
      </c>
    </row>
    <row r="51" spans="1:8">
      <c r="A51" s="43" t="s">
        <v>24</v>
      </c>
      <c r="B51" s="31" t="s">
        <v>3</v>
      </c>
      <c r="C51" s="84">
        <v>29.715926233988178</v>
      </c>
      <c r="D51" s="84">
        <v>35.319970120917993</v>
      </c>
      <c r="E51" s="87">
        <v>30.219827285663964</v>
      </c>
      <c r="F51" s="22" t="s">
        <v>224</v>
      </c>
      <c r="G51" s="23">
        <v>1.6957272262287546</v>
      </c>
      <c r="H51" s="24">
        <v>-14.439827717276316</v>
      </c>
    </row>
    <row r="52" spans="1:8">
      <c r="A52" s="34"/>
      <c r="B52" s="35" t="s">
        <v>127</v>
      </c>
      <c r="C52" s="86">
        <v>7.2573560409992952</v>
      </c>
      <c r="D52" s="86">
        <v>7.1530843234557135</v>
      </c>
      <c r="E52" s="86">
        <v>6.489562216366469</v>
      </c>
      <c r="F52" s="36"/>
      <c r="G52" s="42">
        <v>-10.579525384937654</v>
      </c>
      <c r="H52" s="24">
        <v>-9.2760280332986724</v>
      </c>
    </row>
    <row r="53" spans="1:8">
      <c r="A53" s="30" t="s">
        <v>25</v>
      </c>
      <c r="B53" s="38" t="s">
        <v>3</v>
      </c>
      <c r="C53" s="84">
        <v>0.35031184991999142</v>
      </c>
      <c r="D53" s="84">
        <v>0.44317305629735948</v>
      </c>
      <c r="E53" s="87">
        <v>0.50035114319623253</v>
      </c>
      <c r="F53" s="40" t="s">
        <v>224</v>
      </c>
      <c r="G53" s="41">
        <v>42.830207802136556</v>
      </c>
      <c r="H53" s="33">
        <v>12.901977249381289</v>
      </c>
    </row>
    <row r="54" spans="1:8">
      <c r="A54" s="34"/>
      <c r="B54" s="35" t="s">
        <v>127</v>
      </c>
      <c r="C54" s="86">
        <v>8.6697340725603825E-2</v>
      </c>
      <c r="D54" s="86">
        <v>0.11440925034853913</v>
      </c>
      <c r="E54" s="86">
        <v>0.12733974706747675</v>
      </c>
      <c r="F54" s="27"/>
      <c r="G54" s="28">
        <v>46.878492467843643</v>
      </c>
      <c r="H54" s="29">
        <v>11.301967873704115</v>
      </c>
    </row>
    <row r="55" spans="1:8">
      <c r="A55" s="30" t="s">
        <v>26</v>
      </c>
      <c r="B55" s="38" t="s">
        <v>3</v>
      </c>
      <c r="C55" s="84">
        <v>267.20357013477263</v>
      </c>
      <c r="D55" s="84">
        <v>311.77422406320392</v>
      </c>
      <c r="E55" s="87">
        <v>441.54142823127268</v>
      </c>
      <c r="F55" s="22" t="s">
        <v>224</v>
      </c>
      <c r="G55" s="23">
        <v>65.24533261609011</v>
      </c>
      <c r="H55" s="24">
        <v>41.622172120862047</v>
      </c>
    </row>
    <row r="56" spans="1:8" ht="13.5" thickBot="1">
      <c r="A56" s="45"/>
      <c r="B56" s="46" t="s">
        <v>127</v>
      </c>
      <c r="C56" s="90">
        <v>61.186334590292375</v>
      </c>
      <c r="D56" s="90">
        <v>59.32909935459336</v>
      </c>
      <c r="E56" s="90">
        <v>89.038161000486014</v>
      </c>
      <c r="F56" s="48"/>
      <c r="G56" s="49">
        <v>45.519684414324303</v>
      </c>
      <c r="H56" s="50">
        <v>50.075025525551865</v>
      </c>
    </row>
    <row r="57" spans="1:8">
      <c r="A57" s="51"/>
      <c r="B57" s="52"/>
      <c r="C57" s="53"/>
      <c r="D57" s="53"/>
      <c r="E57" s="53"/>
      <c r="F57" s="53"/>
      <c r="G57" s="54"/>
      <c r="H57" s="55"/>
    </row>
    <row r="58" spans="1:8">
      <c r="A58" s="51"/>
      <c r="B58" s="52"/>
      <c r="C58" s="53"/>
      <c r="D58" s="53"/>
      <c r="E58" s="53"/>
      <c r="F58" s="53"/>
      <c r="G58" s="54"/>
      <c r="H58" s="55"/>
    </row>
    <row r="59" spans="1:8">
      <c r="A59" s="51"/>
      <c r="B59" s="52"/>
      <c r="C59" s="53"/>
      <c r="D59" s="53"/>
      <c r="E59" s="53"/>
      <c r="F59" s="53"/>
      <c r="G59" s="54"/>
      <c r="H59" s="55"/>
    </row>
    <row r="60" spans="1:8">
      <c r="A60" s="56"/>
      <c r="B60" s="56"/>
      <c r="C60" s="56"/>
      <c r="D60" s="56"/>
      <c r="E60" s="56"/>
      <c r="F60" s="56"/>
      <c r="G60" s="56"/>
      <c r="H60" s="56"/>
    </row>
    <row r="61" spans="1:8" ht="12.75" customHeight="1">
      <c r="A61" s="58" t="s">
        <v>225</v>
      </c>
      <c r="G61" s="57"/>
      <c r="H61" s="158">
        <v>17</v>
      </c>
    </row>
    <row r="62" spans="1:8" ht="12.75" customHeight="1">
      <c r="A62" s="58" t="s">
        <v>226</v>
      </c>
      <c r="G62" s="57"/>
      <c r="H62" s="149"/>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8"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6" t="s">
        <v>0</v>
      </c>
      <c r="B2" s="2"/>
      <c r="C2" s="2"/>
      <c r="D2" s="2"/>
      <c r="E2" s="2"/>
      <c r="F2" s="2"/>
      <c r="G2" s="2"/>
    </row>
    <row r="3" spans="1:9" ht="6" customHeight="1">
      <c r="A3" s="3"/>
      <c r="B3" s="2"/>
      <c r="C3" s="2"/>
      <c r="D3" s="2"/>
      <c r="E3" s="2"/>
      <c r="F3" s="2"/>
      <c r="G3" s="2"/>
    </row>
    <row r="4" spans="1:9" ht="16.5" thickBot="1">
      <c r="A4" s="4" t="s">
        <v>173</v>
      </c>
      <c r="B4" s="5"/>
      <c r="C4" s="5"/>
      <c r="D4" s="5"/>
      <c r="E4" s="5"/>
      <c r="F4" s="5"/>
      <c r="G4" s="5"/>
      <c r="H4" s="6"/>
    </row>
    <row r="5" spans="1:9">
      <c r="A5" s="7"/>
      <c r="B5" s="8"/>
      <c r="C5" s="9"/>
      <c r="D5" s="8"/>
      <c r="E5" s="10"/>
      <c r="F5" s="11"/>
      <c r="G5" s="153" t="s">
        <v>1</v>
      </c>
      <c r="H5" s="154"/>
    </row>
    <row r="6" spans="1:9">
      <c r="A6" s="12"/>
      <c r="B6" s="13"/>
      <c r="C6" s="14">
        <v>2011</v>
      </c>
      <c r="D6" s="15">
        <v>2012</v>
      </c>
      <c r="E6" s="15">
        <v>2013</v>
      </c>
      <c r="F6" s="16"/>
      <c r="G6" s="17" t="s">
        <v>222</v>
      </c>
      <c r="H6" s="18" t="s">
        <v>223</v>
      </c>
    </row>
    <row r="7" spans="1:9">
      <c r="A7" s="155" t="s">
        <v>65</v>
      </c>
      <c r="B7" s="19" t="s">
        <v>3</v>
      </c>
      <c r="C7" s="20">
        <v>8831.7474299107143</v>
      </c>
      <c r="D7" s="20">
        <v>8926</v>
      </c>
      <c r="E7" s="83">
        <v>8076.3120234504468</v>
      </c>
      <c r="F7" s="22" t="s">
        <v>224</v>
      </c>
      <c r="G7" s="23">
        <v>-8.5536346284294211</v>
      </c>
      <c r="H7" s="24">
        <v>-9.5192468804565635</v>
      </c>
    </row>
    <row r="8" spans="1:9">
      <c r="A8" s="156"/>
      <c r="B8" s="25" t="s">
        <v>127</v>
      </c>
      <c r="C8" s="26">
        <v>2942.4667950892858</v>
      </c>
      <c r="D8" s="26">
        <v>2584.1868574776786</v>
      </c>
      <c r="E8" s="26">
        <v>2444.9848950892856</v>
      </c>
      <c r="F8" s="27"/>
      <c r="G8" s="28">
        <v>-16.90696733877347</v>
      </c>
      <c r="H8" s="29">
        <v>-5.3866833191877816</v>
      </c>
    </row>
    <row r="9" spans="1:9">
      <c r="A9" s="30" t="s">
        <v>9</v>
      </c>
      <c r="B9" s="31" t="s">
        <v>3</v>
      </c>
      <c r="C9" s="20">
        <v>8096.3016205357144</v>
      </c>
      <c r="D9" s="20">
        <v>8192</v>
      </c>
      <c r="E9" s="21">
        <v>8183.7401278885391</v>
      </c>
      <c r="F9" s="22" t="s">
        <v>224</v>
      </c>
      <c r="G9" s="32">
        <v>1.0799808536164477</v>
      </c>
      <c r="H9" s="33">
        <v>-0.10082851698560091</v>
      </c>
    </row>
    <row r="10" spans="1:9">
      <c r="A10" s="34"/>
      <c r="B10" s="35" t="s">
        <v>127</v>
      </c>
      <c r="C10" s="21">
        <v>2725.2306294642858</v>
      </c>
      <c r="D10" s="21">
        <v>2101.0754051339286</v>
      </c>
      <c r="E10" s="21">
        <v>2279.8516294642859</v>
      </c>
      <c r="F10" s="36"/>
      <c r="G10" s="37">
        <v>-16.342800318795426</v>
      </c>
      <c r="H10" s="29">
        <v>8.508796204720781</v>
      </c>
    </row>
    <row r="11" spans="1:9">
      <c r="A11" s="30" t="s">
        <v>49</v>
      </c>
      <c r="B11" s="38" t="s">
        <v>3</v>
      </c>
      <c r="C11" s="39">
        <v>735.44580937499995</v>
      </c>
      <c r="D11" s="39">
        <v>738</v>
      </c>
      <c r="E11" s="39">
        <v>358.11458221216549</v>
      </c>
      <c r="F11" s="40" t="s">
        <v>224</v>
      </c>
      <c r="G11" s="41">
        <v>-51.306462332486454</v>
      </c>
      <c r="H11" s="33">
        <v>-51.474988860140179</v>
      </c>
    </row>
    <row r="12" spans="1:9" ht="13.5" thickBot="1">
      <c r="A12" s="60"/>
      <c r="B12" s="46" t="s">
        <v>127</v>
      </c>
      <c r="C12" s="47">
        <v>217.23616562500001</v>
      </c>
      <c r="D12" s="47">
        <v>485.11145234374999</v>
      </c>
      <c r="E12" s="47">
        <v>167.13326562500001</v>
      </c>
      <c r="F12" s="48"/>
      <c r="G12" s="61">
        <v>-23.063793202136168</v>
      </c>
      <c r="H12" s="50">
        <v>-65.547450010194893</v>
      </c>
    </row>
    <row r="13" spans="1:9">
      <c r="A13" s="62"/>
      <c r="B13" s="62"/>
      <c r="C13" s="21"/>
      <c r="D13" s="21"/>
      <c r="E13" s="21"/>
      <c r="F13" s="63"/>
      <c r="G13" s="42"/>
      <c r="H13" s="64"/>
      <c r="I13" s="65"/>
    </row>
    <row r="14" spans="1:9">
      <c r="A14" s="62"/>
      <c r="B14" s="66"/>
      <c r="C14" s="21"/>
      <c r="D14" s="21"/>
      <c r="E14" s="21"/>
      <c r="F14" s="67"/>
      <c r="G14" s="42"/>
      <c r="H14" s="64"/>
      <c r="I14" s="65"/>
    </row>
    <row r="15" spans="1:9">
      <c r="A15" s="62"/>
      <c r="B15" s="62"/>
      <c r="C15" s="21"/>
      <c r="D15" s="21"/>
      <c r="E15" s="21"/>
      <c r="F15" s="63"/>
      <c r="G15" s="42"/>
      <c r="H15" s="64"/>
      <c r="I15" s="65"/>
    </row>
    <row r="16" spans="1:9">
      <c r="A16" s="62"/>
      <c r="B16" s="66"/>
      <c r="C16" s="21"/>
      <c r="D16" s="21"/>
      <c r="E16" s="21"/>
      <c r="F16" s="67"/>
      <c r="G16" s="42"/>
      <c r="H16" s="64"/>
      <c r="I16" s="65"/>
    </row>
    <row r="17" spans="1:9">
      <c r="A17" s="62"/>
      <c r="B17" s="62"/>
      <c r="C17" s="21"/>
      <c r="D17" s="21"/>
      <c r="E17" s="21"/>
      <c r="F17" s="63"/>
      <c r="G17" s="42"/>
      <c r="H17" s="64"/>
      <c r="I17" s="65"/>
    </row>
    <row r="18" spans="1:9">
      <c r="A18" s="62"/>
      <c r="B18" s="66"/>
      <c r="C18" s="21"/>
      <c r="D18" s="21"/>
      <c r="E18" s="21"/>
      <c r="F18" s="67"/>
      <c r="G18" s="42"/>
      <c r="H18" s="64"/>
      <c r="I18" s="65"/>
    </row>
    <row r="19" spans="1:9">
      <c r="A19" s="62"/>
      <c r="B19" s="62"/>
      <c r="C19" s="21"/>
      <c r="D19" s="21"/>
      <c r="E19" s="21"/>
      <c r="F19" s="63"/>
      <c r="G19" s="42"/>
      <c r="H19" s="64"/>
      <c r="I19" s="65"/>
    </row>
    <row r="20" spans="1:9">
      <c r="A20" s="62"/>
      <c r="B20" s="66"/>
      <c r="C20" s="21"/>
      <c r="D20" s="21"/>
      <c r="E20" s="21"/>
      <c r="F20" s="67"/>
      <c r="G20" s="42"/>
      <c r="H20" s="64"/>
      <c r="I20" s="65"/>
    </row>
    <row r="21" spans="1:9">
      <c r="A21" s="62"/>
      <c r="B21" s="62"/>
      <c r="C21" s="21"/>
      <c r="D21" s="21"/>
      <c r="E21" s="21"/>
      <c r="F21" s="63"/>
      <c r="G21" s="42"/>
      <c r="H21" s="64"/>
      <c r="I21" s="65"/>
    </row>
    <row r="22" spans="1:9">
      <c r="A22" s="62"/>
      <c r="B22" s="66"/>
      <c r="C22" s="21"/>
      <c r="D22" s="21"/>
      <c r="E22" s="21"/>
      <c r="F22" s="67"/>
      <c r="G22" s="42"/>
      <c r="H22" s="64"/>
      <c r="I22" s="65"/>
    </row>
    <row r="23" spans="1:9">
      <c r="A23" s="62"/>
      <c r="B23" s="62"/>
      <c r="C23" s="21"/>
      <c r="D23" s="21"/>
      <c r="E23" s="21"/>
      <c r="F23" s="63"/>
      <c r="G23" s="42"/>
      <c r="H23" s="64"/>
      <c r="I23" s="65"/>
    </row>
    <row r="24" spans="1:9">
      <c r="A24" s="62"/>
      <c r="B24" s="66"/>
      <c r="C24" s="21"/>
      <c r="D24" s="21"/>
      <c r="E24" s="21"/>
      <c r="F24" s="67"/>
      <c r="G24" s="42"/>
      <c r="H24" s="64"/>
      <c r="I24" s="65"/>
    </row>
    <row r="25" spans="1:9">
      <c r="A25" s="62"/>
      <c r="B25" s="62"/>
      <c r="C25" s="21"/>
      <c r="D25" s="21"/>
      <c r="E25" s="21"/>
      <c r="F25" s="63"/>
      <c r="G25" s="42"/>
      <c r="H25" s="64"/>
      <c r="I25" s="65"/>
    </row>
    <row r="26" spans="1:9">
      <c r="A26" s="62"/>
      <c r="B26" s="66"/>
      <c r="C26" s="21"/>
      <c r="D26" s="21"/>
      <c r="E26" s="21"/>
      <c r="F26" s="67"/>
      <c r="G26" s="42"/>
      <c r="H26" s="64"/>
      <c r="I26" s="65"/>
    </row>
    <row r="27" spans="1:9">
      <c r="A27" s="62"/>
      <c r="B27" s="62"/>
      <c r="C27" s="21"/>
      <c r="D27" s="21"/>
      <c r="E27" s="21"/>
      <c r="F27" s="63"/>
      <c r="G27" s="42"/>
      <c r="H27" s="64"/>
      <c r="I27" s="65"/>
    </row>
    <row r="28" spans="1:9">
      <c r="A28" s="62"/>
      <c r="B28" s="66"/>
      <c r="C28" s="21"/>
      <c r="D28" s="21"/>
      <c r="E28" s="21"/>
      <c r="F28" s="67"/>
      <c r="G28" s="42"/>
      <c r="H28" s="64"/>
      <c r="I28" s="65"/>
    </row>
    <row r="29" spans="1:9">
      <c r="A29" s="62"/>
      <c r="B29" s="62"/>
      <c r="C29" s="68"/>
      <c r="D29" s="68"/>
      <c r="E29" s="21"/>
      <c r="F29" s="63"/>
      <c r="G29" s="42"/>
      <c r="H29" s="64"/>
      <c r="I29" s="65"/>
    </row>
    <row r="30" spans="1:9">
      <c r="A30" s="69"/>
      <c r="B30" s="66"/>
      <c r="C30" s="21"/>
      <c r="D30" s="21"/>
      <c r="E30" s="21"/>
      <c r="F30" s="67"/>
      <c r="G30" s="42"/>
      <c r="H30" s="64"/>
      <c r="I30" s="65"/>
    </row>
    <row r="31" spans="1:9">
      <c r="A31" s="51"/>
      <c r="B31" s="52"/>
      <c r="C31" s="53"/>
      <c r="D31" s="59"/>
      <c r="E31" s="53"/>
      <c r="F31" s="53"/>
      <c r="G31" s="54"/>
      <c r="H31" s="55"/>
      <c r="I31" s="65"/>
    </row>
    <row r="32" spans="1:9" ht="16.5" thickBot="1">
      <c r="A32" s="4" t="s">
        <v>66</v>
      </c>
      <c r="B32" s="5"/>
      <c r="C32" s="5"/>
      <c r="D32" s="5"/>
      <c r="E32" s="5"/>
      <c r="F32" s="5"/>
      <c r="G32" s="5"/>
      <c r="H32" s="6"/>
    </row>
    <row r="33" spans="1:9">
      <c r="A33" s="7"/>
      <c r="B33" s="8"/>
      <c r="C33" s="159" t="s">
        <v>16</v>
      </c>
      <c r="D33" s="153"/>
      <c r="E33" s="153"/>
      <c r="F33" s="160"/>
      <c r="G33" s="153" t="s">
        <v>1</v>
      </c>
      <c r="H33" s="154"/>
    </row>
    <row r="34" spans="1:9">
      <c r="A34" s="12"/>
      <c r="B34" s="13"/>
      <c r="C34" s="14">
        <v>2011</v>
      </c>
      <c r="D34" s="15">
        <v>2012</v>
      </c>
      <c r="E34" s="15">
        <v>2013</v>
      </c>
      <c r="F34" s="16"/>
      <c r="G34" s="17" t="s">
        <v>222</v>
      </c>
      <c r="H34" s="18" t="s">
        <v>223</v>
      </c>
    </row>
    <row r="35" spans="1:9" ht="12.75" customHeight="1">
      <c r="A35" s="155" t="s">
        <v>65</v>
      </c>
      <c r="B35" s="19" t="s">
        <v>3</v>
      </c>
      <c r="C35" s="84">
        <v>2295.1505355760769</v>
      </c>
      <c r="D35" s="84">
        <v>2320.4183533923633</v>
      </c>
      <c r="E35" s="85">
        <v>2605.1038765632547</v>
      </c>
      <c r="F35" s="22" t="s">
        <v>224</v>
      </c>
      <c r="G35" s="23">
        <v>13.504706387782988</v>
      </c>
      <c r="H35" s="24">
        <v>12.26871536999748</v>
      </c>
    </row>
    <row r="36" spans="1:9" ht="12.75" customHeight="1">
      <c r="A36" s="156"/>
      <c r="B36" s="25" t="s">
        <v>127</v>
      </c>
      <c r="C36" s="86">
        <v>617.82424198479623</v>
      </c>
      <c r="D36" s="86">
        <v>619.62139610450618</v>
      </c>
      <c r="E36" s="86">
        <v>697.50382103852712</v>
      </c>
      <c r="F36" s="27"/>
      <c r="G36" s="28">
        <v>12.896803595429589</v>
      </c>
      <c r="H36" s="29">
        <v>12.569356936939144</v>
      </c>
    </row>
    <row r="37" spans="1:9">
      <c r="A37" s="30" t="s">
        <v>9</v>
      </c>
      <c r="B37" s="31" t="s">
        <v>3</v>
      </c>
      <c r="C37" s="84">
        <v>1622.80553570445</v>
      </c>
      <c r="D37" s="84">
        <v>1683.1375101550364</v>
      </c>
      <c r="E37" s="87">
        <v>1862.8168136304657</v>
      </c>
      <c r="F37" s="22" t="s">
        <v>224</v>
      </c>
      <c r="G37" s="32">
        <v>14.789897658429439</v>
      </c>
      <c r="H37" s="33">
        <v>10.675259887641559</v>
      </c>
    </row>
    <row r="38" spans="1:9">
      <c r="A38" s="34"/>
      <c r="B38" s="35" t="s">
        <v>127</v>
      </c>
      <c r="C38" s="87">
        <v>443.86507689011762</v>
      </c>
      <c r="D38" s="87">
        <v>443.25648629292903</v>
      </c>
      <c r="E38" s="87">
        <v>496.72923262504253</v>
      </c>
      <c r="F38" s="36"/>
      <c r="G38" s="37">
        <v>11.909960591022539</v>
      </c>
      <c r="H38" s="29">
        <v>12.063612825910397</v>
      </c>
    </row>
    <row r="39" spans="1:9">
      <c r="A39" s="30" t="s">
        <v>49</v>
      </c>
      <c r="B39" s="38" t="s">
        <v>3</v>
      </c>
      <c r="C39" s="88">
        <v>672.3449998716269</v>
      </c>
      <c r="D39" s="88">
        <v>637.2808432373273</v>
      </c>
      <c r="E39" s="88">
        <v>742.31737685219423</v>
      </c>
      <c r="F39" s="40" t="s">
        <v>224</v>
      </c>
      <c r="G39" s="41">
        <v>10.407213111412659</v>
      </c>
      <c r="H39" s="33">
        <v>16.481985098012842</v>
      </c>
    </row>
    <row r="40" spans="1:9" ht="13.5" thickBot="1">
      <c r="A40" s="60"/>
      <c r="B40" s="46" t="s">
        <v>127</v>
      </c>
      <c r="C40" s="90">
        <v>173.95916509467872</v>
      </c>
      <c r="D40" s="90">
        <v>176.36490981157718</v>
      </c>
      <c r="E40" s="90">
        <v>200.77458841348448</v>
      </c>
      <c r="F40" s="48"/>
      <c r="G40" s="61">
        <v>15.414780419422698</v>
      </c>
      <c r="H40" s="50">
        <v>13.840439477436789</v>
      </c>
    </row>
    <row r="41" spans="1:9">
      <c r="A41" s="62"/>
      <c r="B41" s="62"/>
      <c r="C41" s="21"/>
      <c r="D41" s="21"/>
      <c r="E41" s="21"/>
      <c r="F41" s="63"/>
      <c r="G41" s="42"/>
      <c r="H41" s="64"/>
      <c r="I41" s="65"/>
    </row>
    <row r="42" spans="1:9">
      <c r="A42" s="62"/>
      <c r="B42" s="66"/>
      <c r="C42" s="21"/>
      <c r="D42" s="21"/>
      <c r="E42" s="21"/>
      <c r="F42" s="67"/>
      <c r="G42" s="42"/>
      <c r="H42" s="64"/>
      <c r="I42" s="65"/>
    </row>
    <row r="43" spans="1:9">
      <c r="A43" s="62"/>
      <c r="B43" s="62"/>
      <c r="C43" s="21"/>
      <c r="D43" s="21"/>
      <c r="E43" s="21"/>
      <c r="F43" s="63"/>
      <c r="G43" s="42"/>
      <c r="H43" s="64"/>
      <c r="I43" s="65"/>
    </row>
    <row r="44" spans="1:9">
      <c r="A44" s="62"/>
      <c r="B44" s="66"/>
      <c r="C44" s="21"/>
      <c r="D44" s="21"/>
      <c r="E44" s="21"/>
      <c r="F44" s="67"/>
      <c r="G44" s="42"/>
      <c r="H44" s="64"/>
      <c r="I44" s="65"/>
    </row>
    <row r="45" spans="1:9">
      <c r="A45" s="62"/>
      <c r="B45" s="62"/>
      <c r="C45" s="21"/>
      <c r="D45" s="21"/>
      <c r="E45" s="21"/>
      <c r="F45" s="63"/>
      <c r="G45" s="42"/>
      <c r="H45" s="64"/>
      <c r="I45" s="65"/>
    </row>
    <row r="46" spans="1:9">
      <c r="A46" s="62"/>
      <c r="B46" s="66"/>
      <c r="C46" s="21"/>
      <c r="D46" s="21"/>
      <c r="E46" s="21"/>
      <c r="F46" s="67"/>
      <c r="G46" s="42"/>
      <c r="H46" s="64"/>
      <c r="I46" s="65"/>
    </row>
    <row r="47" spans="1:9">
      <c r="A47" s="62"/>
      <c r="B47" s="62"/>
      <c r="C47" s="21"/>
      <c r="D47" s="21"/>
      <c r="E47" s="21"/>
      <c r="F47" s="63"/>
      <c r="G47" s="42"/>
      <c r="H47" s="64"/>
      <c r="I47" s="65"/>
    </row>
    <row r="48" spans="1:9">
      <c r="A48" s="62"/>
      <c r="B48" s="66"/>
      <c r="C48" s="21"/>
      <c r="D48" s="21"/>
      <c r="E48" s="21"/>
      <c r="F48" s="67"/>
      <c r="G48" s="42"/>
      <c r="H48" s="64"/>
      <c r="I48" s="65"/>
    </row>
    <row r="49" spans="1:9">
      <c r="A49" s="62"/>
      <c r="B49" s="62"/>
      <c r="C49" s="21"/>
      <c r="D49" s="21"/>
      <c r="E49" s="117"/>
      <c r="F49" s="63"/>
      <c r="G49" s="42"/>
      <c r="H49" s="64"/>
      <c r="I49" s="65"/>
    </row>
    <row r="50" spans="1:9">
      <c r="A50" s="62"/>
      <c r="B50" s="66"/>
      <c r="C50" s="21"/>
      <c r="D50" s="21"/>
      <c r="E50" s="21"/>
      <c r="F50" s="67"/>
      <c r="G50" s="42"/>
      <c r="H50" s="64"/>
      <c r="I50" s="65"/>
    </row>
    <row r="51" spans="1:9">
      <c r="A51" s="62"/>
      <c r="B51" s="62"/>
      <c r="C51" s="21"/>
      <c r="D51" s="21"/>
      <c r="E51" s="21"/>
      <c r="F51" s="63"/>
      <c r="G51" s="42"/>
      <c r="H51" s="64"/>
      <c r="I51" s="65"/>
    </row>
    <row r="52" spans="1:9">
      <c r="A52" s="62"/>
      <c r="B52" s="66"/>
      <c r="C52" s="21"/>
      <c r="D52" s="21"/>
      <c r="E52" s="21"/>
      <c r="F52" s="67"/>
      <c r="G52" s="42"/>
      <c r="H52" s="64"/>
      <c r="I52" s="65"/>
    </row>
    <row r="53" spans="1:9">
      <c r="A53" s="62"/>
      <c r="B53" s="62"/>
      <c r="C53" s="21"/>
      <c r="D53" s="21"/>
      <c r="E53" s="21"/>
      <c r="F53" s="63"/>
      <c r="G53" s="42"/>
      <c r="H53" s="64"/>
      <c r="I53" s="65"/>
    </row>
    <row r="54" spans="1:9">
      <c r="A54" s="62"/>
      <c r="B54" s="66"/>
      <c r="C54" s="21"/>
      <c r="D54" s="21"/>
      <c r="E54" s="21"/>
      <c r="F54" s="67"/>
      <c r="G54" s="42"/>
      <c r="H54" s="64"/>
      <c r="I54" s="65"/>
    </row>
    <row r="55" spans="1:9">
      <c r="A55" s="62"/>
      <c r="B55" s="62"/>
      <c r="C55" s="21"/>
      <c r="D55" s="21"/>
      <c r="E55" s="21"/>
      <c r="F55" s="63"/>
      <c r="G55" s="42"/>
      <c r="H55" s="64"/>
      <c r="I55" s="65"/>
    </row>
    <row r="56" spans="1:9">
      <c r="A56" s="62"/>
      <c r="B56" s="66"/>
      <c r="C56" s="21"/>
      <c r="D56" s="21"/>
      <c r="E56" s="21"/>
      <c r="F56" s="67"/>
      <c r="G56" s="42"/>
      <c r="H56" s="64"/>
      <c r="I56" s="65"/>
    </row>
    <row r="57" spans="1:9">
      <c r="A57" s="62"/>
      <c r="B57" s="62"/>
      <c r="C57" s="68"/>
      <c r="D57" s="68"/>
      <c r="E57" s="21"/>
      <c r="F57" s="63"/>
      <c r="G57" s="42"/>
      <c r="H57" s="64"/>
      <c r="I57" s="65"/>
    </row>
    <row r="58" spans="1:9">
      <c r="A58" s="69"/>
      <c r="B58" s="66"/>
      <c r="C58" s="21"/>
      <c r="D58" s="21"/>
      <c r="E58" s="21"/>
      <c r="F58" s="67"/>
      <c r="G58" s="42"/>
      <c r="H58" s="64"/>
      <c r="I58" s="65"/>
    </row>
    <row r="59" spans="1:9">
      <c r="A59" s="51"/>
      <c r="B59" s="52"/>
      <c r="C59" s="53"/>
      <c r="D59" s="53"/>
      <c r="E59" s="53"/>
      <c r="F59" s="53"/>
      <c r="G59" s="54"/>
      <c r="H59" s="55"/>
    </row>
    <row r="60" spans="1:9">
      <c r="A60" s="56"/>
      <c r="B60" s="56"/>
      <c r="C60" s="56"/>
      <c r="D60" s="56"/>
      <c r="E60" s="56"/>
      <c r="F60" s="56"/>
      <c r="G60" s="56"/>
      <c r="H60" s="56"/>
    </row>
    <row r="61" spans="1:9" ht="12.75" customHeight="1">
      <c r="A61" s="150">
        <v>18</v>
      </c>
      <c r="H61" s="57" t="s">
        <v>225</v>
      </c>
    </row>
    <row r="62" spans="1:9" ht="12.75" customHeight="1">
      <c r="A62" s="151"/>
      <c r="H62" s="57" t="s">
        <v>226</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41"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6" t="s">
        <v>0</v>
      </c>
      <c r="B2" s="2"/>
      <c r="C2" s="2"/>
      <c r="D2" s="2"/>
      <c r="E2" s="2"/>
      <c r="F2" s="2"/>
      <c r="G2" s="2"/>
    </row>
    <row r="3" spans="1:9" ht="6" customHeight="1">
      <c r="A3" s="3"/>
      <c r="B3" s="2"/>
      <c r="C3" s="2"/>
      <c r="D3" s="2"/>
      <c r="E3" s="2"/>
      <c r="F3" s="2"/>
      <c r="G3" s="2"/>
    </row>
    <row r="4" spans="1:9" ht="16.5" thickBot="1">
      <c r="A4" s="4" t="s">
        <v>174</v>
      </c>
      <c r="B4" s="5"/>
      <c r="C4" s="5"/>
      <c r="D4" s="5"/>
      <c r="E4" s="5"/>
      <c r="F4" s="5"/>
      <c r="G4" s="5"/>
      <c r="H4" s="6"/>
    </row>
    <row r="5" spans="1:9">
      <c r="A5" s="7"/>
      <c r="B5" s="8"/>
      <c r="C5" s="9"/>
      <c r="D5" s="8"/>
      <c r="E5" s="10"/>
      <c r="F5" s="11"/>
      <c r="G5" s="153" t="s">
        <v>1</v>
      </c>
      <c r="H5" s="154"/>
    </row>
    <row r="6" spans="1:9">
      <c r="A6" s="12"/>
      <c r="B6" s="13"/>
      <c r="C6" s="14">
        <v>2011</v>
      </c>
      <c r="D6" s="15">
        <v>2012</v>
      </c>
      <c r="E6" s="15">
        <v>2013</v>
      </c>
      <c r="F6" s="16"/>
      <c r="G6" s="17" t="s">
        <v>222</v>
      </c>
      <c r="H6" s="18" t="s">
        <v>223</v>
      </c>
    </row>
    <row r="7" spans="1:9">
      <c r="A7" s="155" t="s">
        <v>64</v>
      </c>
      <c r="B7" s="19" t="s">
        <v>3</v>
      </c>
      <c r="C7" s="20">
        <v>4563.4662578571424</v>
      </c>
      <c r="D7" s="20">
        <v>4526</v>
      </c>
      <c r="E7" s="83">
        <v>3856.6343853961025</v>
      </c>
      <c r="F7" s="22" t="s">
        <v>224</v>
      </c>
      <c r="G7" s="23">
        <v>-15.488925139833185</v>
      </c>
      <c r="H7" s="24">
        <v>-14.789341904637595</v>
      </c>
    </row>
    <row r="8" spans="1:9">
      <c r="A8" s="156"/>
      <c r="B8" s="25" t="s">
        <v>127</v>
      </c>
      <c r="C8" s="26">
        <v>1029.5905576785715</v>
      </c>
      <c r="D8" s="26">
        <v>1182.1165644642856</v>
      </c>
      <c r="E8" s="26">
        <v>957</v>
      </c>
      <c r="F8" s="27"/>
      <c r="G8" s="28">
        <v>-7.0504296234264388</v>
      </c>
      <c r="H8" s="29">
        <v>-19.043516623616924</v>
      </c>
    </row>
    <row r="9" spans="1:9">
      <c r="A9" s="30" t="s">
        <v>62</v>
      </c>
      <c r="B9" s="31" t="s">
        <v>3</v>
      </c>
      <c r="C9" s="20">
        <v>2297.3184200000001</v>
      </c>
      <c r="D9" s="20">
        <v>2212</v>
      </c>
      <c r="E9" s="21">
        <v>1906.5272443291879</v>
      </c>
      <c r="F9" s="22" t="s">
        <v>224</v>
      </c>
      <c r="G9" s="32">
        <v>-17.010753592913446</v>
      </c>
      <c r="H9" s="33">
        <v>-13.809799080958967</v>
      </c>
    </row>
    <row r="10" spans="1:9">
      <c r="A10" s="34"/>
      <c r="B10" s="35" t="s">
        <v>127</v>
      </c>
      <c r="C10" s="21">
        <v>460.13501500000001</v>
      </c>
      <c r="D10" s="21">
        <v>588.07960500000002</v>
      </c>
      <c r="E10" s="21">
        <v>457</v>
      </c>
      <c r="F10" s="36"/>
      <c r="G10" s="37">
        <v>-0.68132502369984138</v>
      </c>
      <c r="H10" s="29">
        <v>-22.289432227461788</v>
      </c>
    </row>
    <row r="11" spans="1:9">
      <c r="A11" s="30" t="s">
        <v>63</v>
      </c>
      <c r="B11" s="38" t="s">
        <v>3</v>
      </c>
      <c r="C11" s="39">
        <v>1745.1478378571428</v>
      </c>
      <c r="D11" s="39">
        <v>1944</v>
      </c>
      <c r="E11" s="39">
        <v>1572.9072173068871</v>
      </c>
      <c r="F11" s="40" t="s">
        <v>224</v>
      </c>
      <c r="G11" s="41">
        <v>-9.8696864995546179</v>
      </c>
      <c r="H11" s="33">
        <v>-19.089134912197167</v>
      </c>
    </row>
    <row r="12" spans="1:9">
      <c r="A12" s="34"/>
      <c r="B12" s="25" t="s">
        <v>127</v>
      </c>
      <c r="C12" s="26">
        <v>478.45554267857142</v>
      </c>
      <c r="D12" s="26">
        <v>516.0369594642857</v>
      </c>
      <c r="E12" s="26">
        <v>422</v>
      </c>
      <c r="F12" s="27"/>
      <c r="G12" s="28">
        <v>-11.799537813380184</v>
      </c>
      <c r="H12" s="29">
        <v>-18.222911700337988</v>
      </c>
    </row>
    <row r="13" spans="1:9">
      <c r="A13" s="30" t="s">
        <v>26</v>
      </c>
      <c r="B13" s="31" t="s">
        <v>3</v>
      </c>
      <c r="C13" s="20">
        <v>521</v>
      </c>
      <c r="D13" s="20">
        <v>434</v>
      </c>
      <c r="E13" s="21">
        <v>524.05494505494505</v>
      </c>
      <c r="F13" s="22" t="s">
        <v>224</v>
      </c>
      <c r="G13" s="23">
        <v>0.58636181476872196</v>
      </c>
      <c r="H13" s="24">
        <v>20.749987339849099</v>
      </c>
    </row>
    <row r="14" spans="1:9" ht="13.5" thickBot="1">
      <c r="A14" s="60"/>
      <c r="B14" s="46" t="s">
        <v>127</v>
      </c>
      <c r="C14" s="47">
        <v>91</v>
      </c>
      <c r="D14" s="47">
        <v>91</v>
      </c>
      <c r="E14" s="47">
        <v>103</v>
      </c>
      <c r="F14" s="48"/>
      <c r="G14" s="61">
        <v>13.186813186813183</v>
      </c>
      <c r="H14" s="50">
        <v>13.186813186813183</v>
      </c>
    </row>
    <row r="15" spans="1:9">
      <c r="A15" s="62"/>
      <c r="B15" s="66"/>
      <c r="C15" s="21"/>
      <c r="D15" s="21"/>
      <c r="E15" s="21"/>
      <c r="F15" s="67"/>
      <c r="G15" s="42"/>
      <c r="H15" s="64"/>
      <c r="I15" s="65"/>
    </row>
    <row r="16" spans="1:9">
      <c r="A16" s="62"/>
      <c r="B16" s="66"/>
      <c r="C16" s="21"/>
      <c r="D16" s="21"/>
      <c r="E16" s="21"/>
      <c r="F16" s="67"/>
      <c r="G16" s="42"/>
      <c r="H16" s="64"/>
      <c r="I16" s="65"/>
    </row>
    <row r="17" spans="1:9">
      <c r="A17" s="62"/>
      <c r="B17" s="66"/>
      <c r="C17" s="21"/>
      <c r="D17" s="21"/>
      <c r="E17" s="21"/>
      <c r="F17" s="67"/>
      <c r="G17" s="42"/>
      <c r="H17" s="64"/>
      <c r="I17" s="65"/>
    </row>
    <row r="18" spans="1:9">
      <c r="A18" s="62"/>
      <c r="B18" s="66"/>
      <c r="C18" s="21"/>
      <c r="D18" s="21"/>
      <c r="E18" s="21"/>
      <c r="F18" s="67"/>
      <c r="G18" s="42"/>
      <c r="H18" s="64"/>
      <c r="I18" s="65"/>
    </row>
    <row r="19" spans="1:9">
      <c r="A19" s="62"/>
      <c r="B19" s="66"/>
      <c r="C19" s="21"/>
      <c r="D19" s="21"/>
      <c r="E19" s="21"/>
      <c r="F19" s="67"/>
      <c r="G19" s="42"/>
      <c r="H19" s="64"/>
      <c r="I19" s="65"/>
    </row>
    <row r="20" spans="1:9">
      <c r="A20" s="62"/>
      <c r="B20" s="66"/>
      <c r="C20" s="21"/>
      <c r="D20" s="21"/>
      <c r="E20" s="21"/>
      <c r="F20" s="67"/>
      <c r="G20" s="42"/>
      <c r="H20" s="64"/>
      <c r="I20" s="65"/>
    </row>
    <row r="21" spans="1:9">
      <c r="A21" s="62"/>
      <c r="B21" s="62"/>
      <c r="C21" s="21"/>
      <c r="D21" s="21"/>
      <c r="E21" s="21"/>
      <c r="F21" s="63"/>
      <c r="G21" s="42"/>
      <c r="H21" s="64"/>
      <c r="I21" s="65"/>
    </row>
    <row r="22" spans="1:9">
      <c r="A22" s="62"/>
      <c r="B22" s="66"/>
      <c r="C22" s="21"/>
      <c r="D22" s="21"/>
      <c r="E22" s="21"/>
      <c r="F22" s="67"/>
      <c r="G22" s="42"/>
      <c r="H22" s="64"/>
      <c r="I22" s="65"/>
    </row>
    <row r="23" spans="1:9">
      <c r="A23" s="62"/>
      <c r="B23" s="62"/>
      <c r="C23" s="21"/>
      <c r="D23" s="21"/>
      <c r="E23" s="21"/>
      <c r="F23" s="63"/>
      <c r="G23" s="42"/>
      <c r="H23" s="64"/>
      <c r="I23" s="65"/>
    </row>
    <row r="24" spans="1:9">
      <c r="A24" s="62"/>
      <c r="B24" s="66"/>
      <c r="C24" s="21"/>
      <c r="D24" s="21"/>
      <c r="E24" s="21"/>
      <c r="F24" s="67"/>
      <c r="G24" s="42"/>
      <c r="H24" s="64"/>
      <c r="I24" s="65"/>
    </row>
    <row r="25" spans="1:9">
      <c r="A25" s="62"/>
      <c r="B25" s="62"/>
      <c r="C25" s="21"/>
      <c r="D25" s="21"/>
      <c r="E25" s="21"/>
      <c r="F25" s="63"/>
      <c r="G25" s="42"/>
      <c r="H25" s="64"/>
      <c r="I25" s="65"/>
    </row>
    <row r="26" spans="1:9">
      <c r="A26" s="62"/>
      <c r="B26" s="66"/>
      <c r="C26" s="21"/>
      <c r="D26" s="21"/>
      <c r="E26" s="21"/>
      <c r="F26" s="67"/>
      <c r="G26" s="42"/>
      <c r="H26" s="64"/>
      <c r="I26" s="65"/>
    </row>
    <row r="27" spans="1:9">
      <c r="A27" s="62"/>
      <c r="B27" s="62"/>
      <c r="C27" s="21"/>
      <c r="D27" s="21"/>
      <c r="E27" s="21"/>
      <c r="F27" s="63"/>
      <c r="G27" s="42"/>
      <c r="H27" s="64"/>
      <c r="I27" s="65"/>
    </row>
    <row r="28" spans="1:9">
      <c r="A28" s="62"/>
      <c r="B28" s="66"/>
      <c r="C28" s="21"/>
      <c r="D28" s="21"/>
      <c r="E28" s="21"/>
      <c r="F28" s="67"/>
      <c r="G28" s="42"/>
      <c r="H28" s="64"/>
      <c r="I28" s="65"/>
    </row>
    <row r="29" spans="1:9">
      <c r="A29" s="62"/>
      <c r="B29" s="62"/>
      <c r="C29" s="68"/>
      <c r="D29" s="68"/>
      <c r="E29" s="21"/>
      <c r="F29" s="63"/>
      <c r="G29" s="42"/>
      <c r="H29" s="64"/>
      <c r="I29" s="65"/>
    </row>
    <row r="30" spans="1:9">
      <c r="A30" s="69"/>
      <c r="B30" s="66"/>
      <c r="C30" s="21"/>
      <c r="D30" s="21"/>
      <c r="E30" s="21"/>
      <c r="F30" s="67"/>
      <c r="G30" s="42"/>
      <c r="H30" s="64"/>
      <c r="I30" s="65"/>
    </row>
    <row r="31" spans="1:9">
      <c r="A31" s="51"/>
      <c r="B31" s="52"/>
      <c r="C31" s="53"/>
      <c r="D31" s="59"/>
      <c r="E31" s="53"/>
      <c r="F31" s="53"/>
      <c r="G31" s="54"/>
      <c r="H31" s="55"/>
      <c r="I31" s="65"/>
    </row>
    <row r="32" spans="1:9" ht="16.5" thickBot="1">
      <c r="A32" s="70" t="s">
        <v>89</v>
      </c>
      <c r="B32" s="5"/>
      <c r="C32" s="5"/>
      <c r="D32" s="5"/>
      <c r="E32" s="5"/>
      <c r="F32" s="5"/>
      <c r="G32" s="5"/>
      <c r="H32" s="6"/>
    </row>
    <row r="33" spans="1:9">
      <c r="A33" s="7"/>
      <c r="B33" s="8"/>
      <c r="C33" s="159" t="s">
        <v>16</v>
      </c>
      <c r="D33" s="153"/>
      <c r="E33" s="153"/>
      <c r="F33" s="160"/>
      <c r="G33" s="153" t="s">
        <v>1</v>
      </c>
      <c r="H33" s="154"/>
    </row>
    <row r="34" spans="1:9">
      <c r="A34" s="12"/>
      <c r="B34" s="13"/>
      <c r="C34" s="14">
        <v>2011</v>
      </c>
      <c r="D34" s="15">
        <v>2012</v>
      </c>
      <c r="E34" s="15">
        <v>2013</v>
      </c>
      <c r="F34" s="16"/>
      <c r="G34" s="17" t="s">
        <v>222</v>
      </c>
      <c r="H34" s="18" t="s">
        <v>223</v>
      </c>
    </row>
    <row r="35" spans="1:9" ht="12.75" customHeight="1">
      <c r="A35" s="155" t="s">
        <v>64</v>
      </c>
      <c r="B35" s="19" t="s">
        <v>3</v>
      </c>
      <c r="C35" s="84">
        <v>1427.5564797563147</v>
      </c>
      <c r="D35" s="84">
        <v>1570.8861755238156</v>
      </c>
      <c r="E35" s="85">
        <v>1647.8345691786994</v>
      </c>
      <c r="F35" s="22" t="s">
        <v>224</v>
      </c>
      <c r="G35" s="23">
        <v>15.430429026526966</v>
      </c>
      <c r="H35" s="24">
        <v>4.8984066989592918</v>
      </c>
    </row>
    <row r="36" spans="1:9" ht="12.75" customHeight="1">
      <c r="A36" s="156"/>
      <c r="B36" s="25" t="s">
        <v>127</v>
      </c>
      <c r="C36" s="86">
        <v>356.23623342938049</v>
      </c>
      <c r="D36" s="86">
        <v>416.98003576595471</v>
      </c>
      <c r="E36" s="86">
        <v>428.3086866135688</v>
      </c>
      <c r="F36" s="27"/>
      <c r="G36" s="28">
        <v>20.231645863299235</v>
      </c>
      <c r="H36" s="29">
        <v>2.7168329118693464</v>
      </c>
    </row>
    <row r="37" spans="1:9">
      <c r="A37" s="30" t="s">
        <v>62</v>
      </c>
      <c r="B37" s="31" t="s">
        <v>3</v>
      </c>
      <c r="C37" s="84">
        <v>831.22035656308742</v>
      </c>
      <c r="D37" s="84">
        <v>927.67820768823333</v>
      </c>
      <c r="E37" s="87">
        <v>966.89495664034735</v>
      </c>
      <c r="F37" s="22" t="s">
        <v>224</v>
      </c>
      <c r="G37" s="32">
        <v>16.322338475713522</v>
      </c>
      <c r="H37" s="33">
        <v>4.227408666830911</v>
      </c>
    </row>
    <row r="38" spans="1:9">
      <c r="A38" s="34"/>
      <c r="B38" s="35" t="s">
        <v>127</v>
      </c>
      <c r="C38" s="87">
        <v>220.40219467883969</v>
      </c>
      <c r="D38" s="87">
        <v>239.30650727705222</v>
      </c>
      <c r="E38" s="86">
        <v>251.69867807413405</v>
      </c>
      <c r="F38" s="36"/>
      <c r="G38" s="37">
        <v>14.199714953337121</v>
      </c>
      <c r="H38" s="29">
        <v>5.1783676666740348</v>
      </c>
    </row>
    <row r="39" spans="1:9">
      <c r="A39" s="30" t="s">
        <v>63</v>
      </c>
      <c r="B39" s="38" t="s">
        <v>3</v>
      </c>
      <c r="C39" s="88">
        <v>379.17344360113492</v>
      </c>
      <c r="D39" s="88">
        <v>390.86714775272196</v>
      </c>
      <c r="E39" s="87">
        <v>406.81116664981244</v>
      </c>
      <c r="F39" s="40" t="s">
        <v>224</v>
      </c>
      <c r="G39" s="41">
        <v>7.288939538115585</v>
      </c>
      <c r="H39" s="33">
        <v>4.0791401858048459</v>
      </c>
    </row>
    <row r="40" spans="1:9">
      <c r="A40" s="34"/>
      <c r="B40" s="25" t="s">
        <v>127</v>
      </c>
      <c r="C40" s="86">
        <v>89.551113908447434</v>
      </c>
      <c r="D40" s="86">
        <v>105.96852390764681</v>
      </c>
      <c r="E40" s="86">
        <v>105.10830915512727</v>
      </c>
      <c r="F40" s="27"/>
      <c r="G40" s="28">
        <v>17.372419579933691</v>
      </c>
      <c r="H40" s="29">
        <v>-0.81176440021872054</v>
      </c>
    </row>
    <row r="41" spans="1:9">
      <c r="A41" s="30" t="s">
        <v>26</v>
      </c>
      <c r="B41" s="31" t="s">
        <v>3</v>
      </c>
      <c r="C41" s="84">
        <v>217.16267959209247</v>
      </c>
      <c r="D41" s="84">
        <v>252.34082008286012</v>
      </c>
      <c r="E41" s="87">
        <v>279.58054254870706</v>
      </c>
      <c r="F41" s="22" t="s">
        <v>224</v>
      </c>
      <c r="G41" s="23">
        <v>28.74244463821185</v>
      </c>
      <c r="H41" s="24">
        <v>10.79481411564818</v>
      </c>
    </row>
    <row r="42" spans="1:9" ht="13.5" thickBot="1">
      <c r="A42" s="60"/>
      <c r="B42" s="46" t="s">
        <v>127</v>
      </c>
      <c r="C42" s="90">
        <v>46.282924842093372</v>
      </c>
      <c r="D42" s="90">
        <v>71.705004581255665</v>
      </c>
      <c r="E42" s="90">
        <v>71.501699384307486</v>
      </c>
      <c r="F42" s="48"/>
      <c r="G42" s="61">
        <v>54.488290505093914</v>
      </c>
      <c r="H42" s="50">
        <v>-0.28352999645623811</v>
      </c>
    </row>
    <row r="43" spans="1:9">
      <c r="A43" s="62"/>
      <c r="B43" s="66"/>
      <c r="C43" s="21"/>
      <c r="D43" s="21"/>
      <c r="E43" s="21"/>
      <c r="F43" s="67"/>
      <c r="G43" s="42"/>
      <c r="H43" s="64"/>
    </row>
    <row r="44" spans="1:9">
      <c r="A44" s="62"/>
      <c r="B44" s="66"/>
      <c r="C44" s="21"/>
      <c r="D44" s="21"/>
      <c r="E44" s="21"/>
      <c r="F44" s="67"/>
      <c r="G44" s="42"/>
      <c r="H44" s="64"/>
    </row>
    <row r="45" spans="1:9">
      <c r="A45" s="62"/>
      <c r="B45" s="66"/>
      <c r="C45" s="21"/>
      <c r="D45" s="21"/>
      <c r="E45" s="21"/>
      <c r="F45" s="67"/>
      <c r="G45" s="42"/>
      <c r="H45" s="64"/>
    </row>
    <row r="46" spans="1:9">
      <c r="A46" s="62"/>
      <c r="B46" s="66"/>
      <c r="C46" s="21"/>
      <c r="D46" s="21"/>
      <c r="E46" s="21"/>
      <c r="F46" s="67"/>
      <c r="G46" s="42"/>
      <c r="H46" s="64"/>
    </row>
    <row r="47" spans="1:9">
      <c r="A47" s="62"/>
      <c r="B47" s="66"/>
      <c r="C47" s="21"/>
      <c r="D47" s="21"/>
      <c r="E47" s="21"/>
      <c r="F47" s="67"/>
      <c r="G47" s="42"/>
      <c r="H47" s="64"/>
      <c r="I47" s="65"/>
    </row>
    <row r="48" spans="1:9">
      <c r="A48" s="62"/>
      <c r="B48" s="66"/>
      <c r="C48" s="21"/>
      <c r="D48" s="21"/>
      <c r="E48" s="21"/>
      <c r="F48" s="67"/>
      <c r="G48" s="42"/>
      <c r="H48" s="64"/>
      <c r="I48" s="65"/>
    </row>
    <row r="49" spans="1:9">
      <c r="A49" s="62"/>
      <c r="B49" s="62"/>
      <c r="C49" s="21"/>
      <c r="D49" s="21"/>
      <c r="E49" s="117"/>
      <c r="F49" s="63"/>
      <c r="G49" s="42"/>
      <c r="H49" s="64"/>
      <c r="I49" s="65"/>
    </row>
    <row r="50" spans="1:9">
      <c r="A50" s="62"/>
      <c r="B50" s="66"/>
      <c r="C50" s="21"/>
      <c r="D50" s="21"/>
      <c r="E50" s="21"/>
      <c r="F50" s="67"/>
      <c r="G50" s="42"/>
      <c r="H50" s="64"/>
      <c r="I50" s="65"/>
    </row>
    <row r="51" spans="1:9">
      <c r="A51" s="62"/>
      <c r="B51" s="62"/>
      <c r="C51" s="21"/>
      <c r="D51" s="21"/>
      <c r="E51" s="21"/>
      <c r="F51" s="63"/>
      <c r="G51" s="42"/>
      <c r="H51" s="64"/>
      <c r="I51" s="65"/>
    </row>
    <row r="52" spans="1:9">
      <c r="A52" s="62"/>
      <c r="B52" s="66"/>
      <c r="C52" s="21"/>
      <c r="D52" s="21"/>
      <c r="E52" s="21"/>
      <c r="F52" s="67"/>
      <c r="G52" s="42"/>
      <c r="H52" s="64"/>
      <c r="I52" s="65"/>
    </row>
    <row r="53" spans="1:9">
      <c r="A53" s="62"/>
      <c r="B53" s="62"/>
      <c r="C53" s="21"/>
      <c r="D53" s="21"/>
      <c r="E53" s="21"/>
      <c r="F53" s="63"/>
      <c r="G53" s="42"/>
      <c r="H53" s="64"/>
      <c r="I53" s="65"/>
    </row>
    <row r="54" spans="1:9">
      <c r="A54" s="62"/>
      <c r="B54" s="66"/>
      <c r="C54" s="21"/>
      <c r="D54" s="21"/>
      <c r="E54" s="21"/>
      <c r="F54" s="67"/>
      <c r="G54" s="42"/>
      <c r="H54" s="64"/>
      <c r="I54" s="65"/>
    </row>
    <row r="55" spans="1:9">
      <c r="A55" s="62"/>
      <c r="B55" s="62"/>
      <c r="C55" s="21"/>
      <c r="D55" s="21"/>
      <c r="E55" s="21"/>
      <c r="F55" s="63"/>
      <c r="G55" s="42"/>
      <c r="H55" s="64"/>
      <c r="I55" s="65"/>
    </row>
    <row r="56" spans="1:9">
      <c r="A56" s="62"/>
      <c r="B56" s="66"/>
      <c r="C56" s="21"/>
      <c r="D56" s="21"/>
      <c r="E56" s="21"/>
      <c r="F56" s="67"/>
      <c r="G56" s="42"/>
      <c r="H56" s="64"/>
      <c r="I56" s="65"/>
    </row>
    <row r="57" spans="1:9">
      <c r="A57" s="62"/>
      <c r="B57" s="62"/>
      <c r="C57" s="68"/>
      <c r="D57" s="68"/>
      <c r="E57" s="21"/>
      <c r="F57" s="63"/>
      <c r="G57" s="42"/>
      <c r="H57" s="64"/>
      <c r="I57" s="65"/>
    </row>
    <row r="58" spans="1:9">
      <c r="A58" s="69"/>
      <c r="B58" s="66"/>
      <c r="C58" s="21"/>
      <c r="D58" s="21"/>
      <c r="E58" s="21"/>
      <c r="F58" s="67"/>
      <c r="G58" s="42"/>
      <c r="H58" s="64"/>
      <c r="I58" s="65"/>
    </row>
    <row r="59" spans="1:9">
      <c r="A59" s="51"/>
      <c r="B59" s="52"/>
      <c r="C59" s="53"/>
      <c r="D59" s="53"/>
      <c r="E59" s="53"/>
      <c r="F59" s="53"/>
      <c r="G59" s="54"/>
      <c r="H59" s="55"/>
    </row>
    <row r="60" spans="1:9">
      <c r="A60" s="56"/>
      <c r="B60" s="56"/>
      <c r="C60" s="56"/>
      <c r="D60" s="56"/>
      <c r="E60" s="56"/>
      <c r="F60" s="56"/>
      <c r="G60" s="56"/>
      <c r="H60" s="56"/>
    </row>
    <row r="61" spans="1:9" ht="12.75" customHeight="1">
      <c r="A61" s="58" t="s">
        <v>225</v>
      </c>
      <c r="G61" s="57"/>
      <c r="H61" s="158">
        <v>19</v>
      </c>
    </row>
    <row r="62" spans="1:9" ht="12.75" customHeight="1">
      <c r="A62" s="58" t="s">
        <v>226</v>
      </c>
      <c r="G62" s="57"/>
      <c r="H62" s="149"/>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6" t="s">
        <v>0</v>
      </c>
      <c r="B2" s="2"/>
      <c r="C2" s="2"/>
      <c r="D2" s="2"/>
      <c r="E2" s="2"/>
      <c r="F2" s="2"/>
      <c r="G2" s="2"/>
    </row>
    <row r="3" spans="1:9" ht="6" customHeight="1">
      <c r="A3" s="3"/>
      <c r="B3" s="2"/>
      <c r="C3" s="2"/>
      <c r="D3" s="2"/>
      <c r="E3" s="2"/>
      <c r="F3" s="2"/>
      <c r="G3" s="2"/>
    </row>
    <row r="4" spans="1:9" ht="16.5" thickBot="1">
      <c r="A4" s="4" t="s">
        <v>175</v>
      </c>
      <c r="B4" s="5"/>
      <c r="C4" s="5"/>
      <c r="D4" s="5"/>
      <c r="E4" s="5"/>
      <c r="F4" s="5"/>
      <c r="G4" s="5"/>
      <c r="H4" s="6"/>
    </row>
    <row r="5" spans="1:9">
      <c r="A5" s="7"/>
      <c r="B5" s="8"/>
      <c r="C5" s="9"/>
      <c r="D5" s="8"/>
      <c r="E5" s="10"/>
      <c r="F5" s="11"/>
      <c r="G5" s="153" t="s">
        <v>1</v>
      </c>
      <c r="H5" s="154"/>
    </row>
    <row r="6" spans="1:9">
      <c r="A6" s="12"/>
      <c r="B6" s="13"/>
      <c r="C6" s="14">
        <v>2011</v>
      </c>
      <c r="D6" s="15">
        <v>2012</v>
      </c>
      <c r="E6" s="15">
        <v>2013</v>
      </c>
      <c r="F6" s="16"/>
      <c r="G6" s="17" t="s">
        <v>222</v>
      </c>
      <c r="H6" s="18" t="s">
        <v>223</v>
      </c>
    </row>
    <row r="7" spans="1:9">
      <c r="A7" s="155" t="s">
        <v>67</v>
      </c>
      <c r="B7" s="19" t="s">
        <v>3</v>
      </c>
      <c r="C7" s="20">
        <v>14876.982658662093</v>
      </c>
      <c r="D7" s="20">
        <v>16278</v>
      </c>
      <c r="E7" s="83">
        <v>15834.720208604989</v>
      </c>
      <c r="F7" s="22" t="s">
        <v>224</v>
      </c>
      <c r="G7" s="23">
        <v>6.4377136944853106</v>
      </c>
      <c r="H7" s="24">
        <v>-2.7231833849060649</v>
      </c>
    </row>
    <row r="8" spans="1:9">
      <c r="A8" s="156"/>
      <c r="B8" s="25" t="s">
        <v>127</v>
      </c>
      <c r="C8" s="26">
        <v>4588.0201801029161</v>
      </c>
      <c r="D8" s="26">
        <v>4489.7456646655228</v>
      </c>
      <c r="E8" s="26">
        <v>4526.8953644939966</v>
      </c>
      <c r="F8" s="27"/>
      <c r="G8" s="28">
        <v>-1.3322699815925461</v>
      </c>
      <c r="H8" s="29">
        <v>0.82743439390884532</v>
      </c>
    </row>
    <row r="9" spans="1:9">
      <c r="A9" s="30" t="s">
        <v>50</v>
      </c>
      <c r="B9" s="31" t="s">
        <v>3</v>
      </c>
      <c r="C9" s="20">
        <v>4490.7695454545456</v>
      </c>
      <c r="D9" s="20">
        <v>4486</v>
      </c>
      <c r="E9" s="21">
        <v>4258.0614565547321</v>
      </c>
      <c r="F9" s="22" t="s">
        <v>224</v>
      </c>
      <c r="G9" s="32">
        <v>-5.1819200817230779</v>
      </c>
      <c r="H9" s="33">
        <v>-5.0811088596805121</v>
      </c>
    </row>
    <row r="10" spans="1:9">
      <c r="A10" s="34"/>
      <c r="B10" s="35" t="s">
        <v>127</v>
      </c>
      <c r="C10" s="21">
        <v>1224.1502272727275</v>
      </c>
      <c r="D10" s="21">
        <v>1284.6923863636364</v>
      </c>
      <c r="E10" s="21">
        <v>1199.200340909091</v>
      </c>
      <c r="F10" s="36"/>
      <c r="G10" s="37">
        <v>-2.0381392583835236</v>
      </c>
      <c r="H10" s="29">
        <v>-6.6546705158371395</v>
      </c>
    </row>
    <row r="11" spans="1:9">
      <c r="A11" s="30" t="s">
        <v>51</v>
      </c>
      <c r="B11" s="38" t="s">
        <v>3</v>
      </c>
      <c r="C11" s="39">
        <v>10405.213113207546</v>
      </c>
      <c r="D11" s="39">
        <v>11807</v>
      </c>
      <c r="E11" s="39">
        <v>11595.993609023473</v>
      </c>
      <c r="F11" s="40" t="s">
        <v>224</v>
      </c>
      <c r="G11" s="41">
        <v>11.444075992104814</v>
      </c>
      <c r="H11" s="33">
        <v>-1.7871295924157522</v>
      </c>
    </row>
    <row r="12" spans="1:9" ht="13.5" thickBot="1">
      <c r="A12" s="60"/>
      <c r="B12" s="46" t="s">
        <v>127</v>
      </c>
      <c r="C12" s="47">
        <v>3363.8699528301886</v>
      </c>
      <c r="D12" s="47">
        <v>3208.0532783018866</v>
      </c>
      <c r="E12" s="47">
        <v>3327.6950235849058</v>
      </c>
      <c r="F12" s="48"/>
      <c r="G12" s="61">
        <v>-1.0753961880972014</v>
      </c>
      <c r="H12" s="50">
        <v>3.7294188999987199</v>
      </c>
    </row>
    <row r="13" spans="1:9">
      <c r="A13" s="62"/>
      <c r="B13" s="62"/>
      <c r="C13" s="21"/>
      <c r="D13" s="21"/>
      <c r="E13" s="21"/>
      <c r="F13" s="63"/>
      <c r="G13" s="42"/>
      <c r="H13" s="64"/>
      <c r="I13" s="65"/>
    </row>
    <row r="14" spans="1:9">
      <c r="A14" s="62"/>
      <c r="B14" s="66"/>
      <c r="C14" s="21"/>
      <c r="D14" s="21"/>
      <c r="E14" s="21"/>
      <c r="F14" s="67"/>
      <c r="G14" s="42"/>
      <c r="H14" s="64"/>
      <c r="I14" s="65"/>
    </row>
    <row r="15" spans="1:9">
      <c r="A15" s="62"/>
      <c r="B15" s="62"/>
      <c r="C15" s="21"/>
      <c r="D15" s="21"/>
      <c r="E15" s="21"/>
      <c r="F15" s="63"/>
      <c r="G15" s="42"/>
      <c r="H15" s="64"/>
      <c r="I15" s="65"/>
    </row>
    <row r="16" spans="1:9">
      <c r="A16" s="62"/>
      <c r="B16" s="66"/>
      <c r="C16" s="21"/>
      <c r="D16" s="21"/>
      <c r="E16" s="21"/>
      <c r="F16" s="67"/>
      <c r="G16" s="42"/>
      <c r="H16" s="64"/>
      <c r="I16" s="65"/>
    </row>
    <row r="17" spans="1:9">
      <c r="A17" s="62"/>
      <c r="B17" s="62"/>
      <c r="C17" s="21"/>
      <c r="D17" s="21"/>
      <c r="E17" s="21"/>
      <c r="F17" s="63"/>
      <c r="G17" s="42"/>
      <c r="H17" s="64"/>
      <c r="I17" s="65"/>
    </row>
    <row r="18" spans="1:9">
      <c r="A18" s="62"/>
      <c r="B18" s="66"/>
      <c r="C18" s="21"/>
      <c r="D18" s="21"/>
      <c r="E18" s="21"/>
      <c r="F18" s="67"/>
      <c r="G18" s="42"/>
      <c r="H18" s="64"/>
      <c r="I18" s="65"/>
    </row>
    <row r="19" spans="1:9">
      <c r="A19" s="62"/>
      <c r="B19" s="62"/>
      <c r="C19" s="21"/>
      <c r="D19" s="21"/>
      <c r="E19" s="21"/>
      <c r="F19" s="63"/>
      <c r="G19" s="42"/>
      <c r="H19" s="64"/>
      <c r="I19" s="65"/>
    </row>
    <row r="20" spans="1:9">
      <c r="A20" s="62"/>
      <c r="B20" s="66"/>
      <c r="C20" s="21"/>
      <c r="D20" s="21"/>
      <c r="E20" s="21"/>
      <c r="F20" s="67"/>
      <c r="G20" s="42"/>
      <c r="H20" s="64"/>
      <c r="I20" s="65"/>
    </row>
    <row r="21" spans="1:9">
      <c r="A21" s="62"/>
      <c r="B21" s="62"/>
      <c r="C21" s="21"/>
      <c r="D21" s="21"/>
      <c r="E21" s="21"/>
      <c r="F21" s="63"/>
      <c r="G21" s="42"/>
      <c r="H21" s="64"/>
      <c r="I21" s="65"/>
    </row>
    <row r="22" spans="1:9">
      <c r="A22" s="62"/>
      <c r="B22" s="66"/>
      <c r="C22" s="21"/>
      <c r="D22" s="21"/>
      <c r="E22" s="21"/>
      <c r="F22" s="67"/>
      <c r="G22" s="42"/>
      <c r="H22" s="64"/>
      <c r="I22" s="65"/>
    </row>
    <row r="23" spans="1:9">
      <c r="A23" s="62"/>
      <c r="B23" s="62"/>
      <c r="C23" s="21"/>
      <c r="D23" s="21"/>
      <c r="E23" s="21"/>
      <c r="F23" s="63"/>
      <c r="G23" s="42"/>
      <c r="H23" s="64"/>
      <c r="I23" s="65"/>
    </row>
    <row r="24" spans="1:9">
      <c r="A24" s="62"/>
      <c r="B24" s="66"/>
      <c r="C24" s="21"/>
      <c r="D24" s="21"/>
      <c r="E24" s="21"/>
      <c r="F24" s="67"/>
      <c r="G24" s="42"/>
      <c r="H24" s="64"/>
      <c r="I24" s="65"/>
    </row>
    <row r="25" spans="1:9">
      <c r="A25" s="62"/>
      <c r="B25" s="62"/>
      <c r="C25" s="21"/>
      <c r="D25" s="21"/>
      <c r="E25" s="21"/>
      <c r="F25" s="63"/>
      <c r="G25" s="42"/>
      <c r="H25" s="64"/>
      <c r="I25" s="65"/>
    </row>
    <row r="26" spans="1:9">
      <c r="A26" s="62"/>
      <c r="B26" s="66"/>
      <c r="C26" s="21"/>
      <c r="D26" s="21"/>
      <c r="E26" s="21"/>
      <c r="F26" s="67"/>
      <c r="G26" s="42"/>
      <c r="H26" s="64"/>
      <c r="I26" s="65"/>
    </row>
    <row r="27" spans="1:9">
      <c r="A27" s="62"/>
      <c r="B27" s="62"/>
      <c r="C27" s="21"/>
      <c r="D27" s="21"/>
      <c r="E27" s="21"/>
      <c r="F27" s="63"/>
      <c r="G27" s="42"/>
      <c r="H27" s="64"/>
      <c r="I27" s="65"/>
    </row>
    <row r="28" spans="1:9">
      <c r="A28" s="62"/>
      <c r="B28" s="66"/>
      <c r="C28" s="21"/>
      <c r="D28" s="21"/>
      <c r="E28" s="21"/>
      <c r="F28" s="67"/>
      <c r="G28" s="42"/>
      <c r="H28" s="64"/>
      <c r="I28" s="65"/>
    </row>
    <row r="29" spans="1:9">
      <c r="A29" s="62"/>
      <c r="B29" s="62"/>
      <c r="C29" s="68"/>
      <c r="D29" s="68"/>
      <c r="E29" s="21"/>
      <c r="F29" s="63"/>
      <c r="G29" s="42"/>
      <c r="H29" s="64"/>
      <c r="I29" s="65"/>
    </row>
    <row r="30" spans="1:9">
      <c r="A30" s="69"/>
      <c r="B30" s="66"/>
      <c r="C30" s="21"/>
      <c r="D30" s="21"/>
      <c r="E30" s="21"/>
      <c r="F30" s="67"/>
      <c r="G30" s="42"/>
      <c r="H30" s="64"/>
      <c r="I30" s="65"/>
    </row>
    <row r="31" spans="1:9">
      <c r="A31" s="51"/>
      <c r="B31" s="52"/>
      <c r="C31" s="53"/>
      <c r="D31" s="59"/>
      <c r="E31" s="53"/>
      <c r="F31" s="53"/>
      <c r="G31" s="54"/>
      <c r="H31" s="55"/>
      <c r="I31" s="65"/>
    </row>
    <row r="32" spans="1:9" ht="16.5" thickBot="1">
      <c r="A32" s="4" t="s">
        <v>88</v>
      </c>
      <c r="B32" s="5"/>
      <c r="C32" s="5"/>
      <c r="D32" s="5"/>
      <c r="E32" s="5"/>
      <c r="F32" s="5"/>
      <c r="G32" s="5"/>
      <c r="H32" s="6"/>
    </row>
    <row r="33" spans="1:9">
      <c r="A33" s="7"/>
      <c r="B33" s="8"/>
      <c r="C33" s="159" t="s">
        <v>16</v>
      </c>
      <c r="D33" s="153"/>
      <c r="E33" s="153"/>
      <c r="F33" s="160"/>
      <c r="G33" s="153" t="s">
        <v>1</v>
      </c>
      <c r="H33" s="154"/>
    </row>
    <row r="34" spans="1:9">
      <c r="A34" s="12"/>
      <c r="B34" s="13"/>
      <c r="C34" s="14">
        <v>2011</v>
      </c>
      <c r="D34" s="15">
        <v>2012</v>
      </c>
      <c r="E34" s="15">
        <v>2013</v>
      </c>
      <c r="F34" s="16"/>
      <c r="G34" s="17" t="s">
        <v>222</v>
      </c>
      <c r="H34" s="18" t="s">
        <v>223</v>
      </c>
    </row>
    <row r="35" spans="1:9" ht="12.75" customHeight="1">
      <c r="A35" s="155" t="s">
        <v>67</v>
      </c>
      <c r="B35" s="19" t="s">
        <v>3</v>
      </c>
      <c r="C35" s="84">
        <v>625.02091863863961</v>
      </c>
      <c r="D35" s="84">
        <v>613.82802342537798</v>
      </c>
      <c r="E35" s="85">
        <v>620.72391823403359</v>
      </c>
      <c r="F35" s="22" t="s">
        <v>224</v>
      </c>
      <c r="G35" s="23">
        <v>-0.68749705433305053</v>
      </c>
      <c r="H35" s="24">
        <v>1.1234245660818942</v>
      </c>
    </row>
    <row r="36" spans="1:9" ht="12.75" customHeight="1">
      <c r="A36" s="156"/>
      <c r="B36" s="25" t="s">
        <v>127</v>
      </c>
      <c r="C36" s="86">
        <v>162.14213150549935</v>
      </c>
      <c r="D36" s="86">
        <v>160.19006953521418</v>
      </c>
      <c r="E36" s="86">
        <v>161.66765046716696</v>
      </c>
      <c r="F36" s="27"/>
      <c r="G36" s="28">
        <v>-0.29263278700409501</v>
      </c>
      <c r="H36" s="29">
        <v>0.92239234069873532</v>
      </c>
    </row>
    <row r="37" spans="1:9">
      <c r="A37" s="30" t="s">
        <v>68</v>
      </c>
      <c r="B37" s="31" t="s">
        <v>3</v>
      </c>
      <c r="C37" s="84">
        <v>348.06754443819494</v>
      </c>
      <c r="D37" s="84">
        <v>322.55303388559776</v>
      </c>
      <c r="E37" s="87">
        <v>324.11920554441707</v>
      </c>
      <c r="F37" s="22" t="s">
        <v>224</v>
      </c>
      <c r="G37" s="32">
        <v>-6.8803711453281693</v>
      </c>
      <c r="H37" s="33">
        <v>0.48555477527294499</v>
      </c>
    </row>
    <row r="38" spans="1:9">
      <c r="A38" s="34"/>
      <c r="B38" s="35" t="s">
        <v>127</v>
      </c>
      <c r="C38" s="87">
        <v>86.407366246933563</v>
      </c>
      <c r="D38" s="87">
        <v>93.482028468119964</v>
      </c>
      <c r="E38" s="87">
        <v>88.969819109934292</v>
      </c>
      <c r="F38" s="36"/>
      <c r="G38" s="37">
        <v>2.9655490895044636</v>
      </c>
      <c r="H38" s="29">
        <v>-4.8268201194676408</v>
      </c>
    </row>
    <row r="39" spans="1:9">
      <c r="A39" s="30" t="s">
        <v>69</v>
      </c>
      <c r="B39" s="38" t="s">
        <v>3</v>
      </c>
      <c r="C39" s="88">
        <v>276.95337420044467</v>
      </c>
      <c r="D39" s="88">
        <v>291.27498953978017</v>
      </c>
      <c r="E39" s="88">
        <v>300.23515113746623</v>
      </c>
      <c r="F39" s="40" t="s">
        <v>224</v>
      </c>
      <c r="G39" s="41">
        <v>8.4063886219964985</v>
      </c>
      <c r="H39" s="33">
        <v>3.076186394116192</v>
      </c>
    </row>
    <row r="40" spans="1:9" ht="13.5" thickBot="1">
      <c r="A40" s="60"/>
      <c r="B40" s="46" t="s">
        <v>127</v>
      </c>
      <c r="C40" s="90">
        <v>75.734765258565801</v>
      </c>
      <c r="D40" s="90">
        <v>66.708041067094229</v>
      </c>
      <c r="E40" s="90">
        <v>72.697831357232673</v>
      </c>
      <c r="F40" s="48"/>
      <c r="G40" s="61">
        <v>-4.0099601430924565</v>
      </c>
      <c r="H40" s="50">
        <v>8.9791128540470453</v>
      </c>
    </row>
    <row r="41" spans="1:9">
      <c r="A41" s="62"/>
      <c r="B41" s="62"/>
      <c r="C41" s="21"/>
      <c r="D41" s="21"/>
      <c r="E41" s="21"/>
      <c r="F41" s="63"/>
      <c r="G41" s="42"/>
      <c r="H41" s="64"/>
      <c r="I41" s="65"/>
    </row>
    <row r="42" spans="1:9">
      <c r="A42" s="62"/>
      <c r="B42" s="66"/>
      <c r="C42" s="21"/>
      <c r="D42" s="21"/>
      <c r="E42" s="21"/>
      <c r="F42" s="67"/>
      <c r="G42" s="42"/>
      <c r="H42" s="64"/>
      <c r="I42" s="65"/>
    </row>
    <row r="43" spans="1:9">
      <c r="A43" s="62"/>
      <c r="B43" s="62"/>
      <c r="C43" s="21"/>
      <c r="D43" s="21"/>
      <c r="E43" s="21"/>
      <c r="F43" s="63"/>
      <c r="G43" s="42"/>
      <c r="H43" s="64"/>
      <c r="I43" s="65"/>
    </row>
    <row r="44" spans="1:9">
      <c r="A44" s="62"/>
      <c r="B44" s="66"/>
      <c r="C44" s="21"/>
      <c r="D44" s="21"/>
      <c r="E44" s="21"/>
      <c r="F44" s="67"/>
      <c r="G44" s="42"/>
      <c r="H44" s="64"/>
      <c r="I44" s="65"/>
    </row>
    <row r="45" spans="1:9">
      <c r="A45" s="62"/>
      <c r="B45" s="62"/>
      <c r="C45" s="21"/>
      <c r="D45" s="21"/>
      <c r="E45" s="21"/>
      <c r="F45" s="63"/>
      <c r="G45" s="42"/>
      <c r="H45" s="64"/>
      <c r="I45" s="65"/>
    </row>
    <row r="46" spans="1:9">
      <c r="A46" s="62"/>
      <c r="B46" s="66"/>
      <c r="C46" s="21"/>
      <c r="D46" s="21"/>
      <c r="E46" s="21"/>
      <c r="F46" s="67"/>
      <c r="G46" s="42"/>
      <c r="H46" s="64"/>
      <c r="I46" s="65"/>
    </row>
    <row r="47" spans="1:9">
      <c r="A47" s="62"/>
      <c r="B47" s="62"/>
      <c r="C47" s="21"/>
      <c r="D47" s="21"/>
      <c r="E47" s="21"/>
      <c r="F47" s="63"/>
      <c r="G47" s="42"/>
      <c r="H47" s="64"/>
      <c r="I47" s="65"/>
    </row>
    <row r="48" spans="1:9">
      <c r="A48" s="62"/>
      <c r="B48" s="66"/>
      <c r="C48" s="21"/>
      <c r="D48" s="21"/>
      <c r="E48" s="21"/>
      <c r="F48" s="67"/>
      <c r="G48" s="42"/>
      <c r="H48" s="64"/>
      <c r="I48" s="65"/>
    </row>
    <row r="49" spans="1:9">
      <c r="A49" s="62"/>
      <c r="B49" s="62"/>
      <c r="C49" s="21"/>
      <c r="D49" s="21"/>
      <c r="E49" s="117"/>
      <c r="F49" s="63"/>
      <c r="G49" s="42"/>
      <c r="H49" s="64"/>
      <c r="I49" s="65"/>
    </row>
    <row r="50" spans="1:9">
      <c r="A50" s="62"/>
      <c r="B50" s="66"/>
      <c r="C50" s="21"/>
      <c r="D50" s="21"/>
      <c r="E50" s="21"/>
      <c r="F50" s="67"/>
      <c r="G50" s="42"/>
      <c r="H50" s="64"/>
      <c r="I50" s="65"/>
    </row>
    <row r="51" spans="1:9">
      <c r="A51" s="62"/>
      <c r="B51" s="62"/>
      <c r="C51" s="21"/>
      <c r="D51" s="21"/>
      <c r="E51" s="21"/>
      <c r="F51" s="63"/>
      <c r="G51" s="42"/>
      <c r="H51" s="64"/>
      <c r="I51" s="65"/>
    </row>
    <row r="52" spans="1:9">
      <c r="A52" s="62"/>
      <c r="B52" s="66"/>
      <c r="C52" s="21"/>
      <c r="D52" s="21"/>
      <c r="E52" s="21"/>
      <c r="F52" s="67"/>
      <c r="G52" s="42"/>
      <c r="H52" s="64"/>
      <c r="I52" s="65"/>
    </row>
    <row r="53" spans="1:9">
      <c r="A53" s="62"/>
      <c r="B53" s="62"/>
      <c r="C53" s="21"/>
      <c r="D53" s="21"/>
      <c r="E53" s="21"/>
      <c r="F53" s="63"/>
      <c r="G53" s="42"/>
      <c r="H53" s="64"/>
      <c r="I53" s="65"/>
    </row>
    <row r="54" spans="1:9">
      <c r="A54" s="62"/>
      <c r="B54" s="66"/>
      <c r="C54" s="21"/>
      <c r="D54" s="21"/>
      <c r="E54" s="21"/>
      <c r="F54" s="67"/>
      <c r="G54" s="42"/>
      <c r="H54" s="64"/>
      <c r="I54" s="65"/>
    </row>
    <row r="55" spans="1:9">
      <c r="A55" s="62"/>
      <c r="B55" s="62"/>
      <c r="C55" s="21"/>
      <c r="D55" s="21"/>
      <c r="E55" s="21"/>
      <c r="F55" s="63"/>
      <c r="G55" s="42"/>
      <c r="H55" s="64"/>
      <c r="I55" s="65"/>
    </row>
    <row r="56" spans="1:9">
      <c r="A56" s="62"/>
      <c r="B56" s="66"/>
      <c r="C56" s="21"/>
      <c r="D56" s="21"/>
      <c r="E56" s="21"/>
      <c r="F56" s="67"/>
      <c r="G56" s="42"/>
      <c r="H56" s="64"/>
      <c r="I56" s="65"/>
    </row>
    <row r="57" spans="1:9">
      <c r="A57" s="62"/>
      <c r="B57" s="62"/>
      <c r="C57" s="68"/>
      <c r="D57" s="68"/>
      <c r="E57" s="21"/>
      <c r="F57" s="63"/>
      <c r="G57" s="42"/>
      <c r="H57" s="64"/>
      <c r="I57" s="65"/>
    </row>
    <row r="58" spans="1:9">
      <c r="A58" s="69"/>
      <c r="B58" s="66"/>
      <c r="C58" s="21"/>
      <c r="D58" s="21"/>
      <c r="E58" s="21"/>
      <c r="F58" s="67"/>
      <c r="G58" s="42"/>
      <c r="H58" s="64"/>
      <c r="I58" s="65"/>
    </row>
    <row r="59" spans="1:9">
      <c r="A59" s="51"/>
      <c r="B59" s="52"/>
      <c r="C59" s="53"/>
      <c r="D59" s="53"/>
      <c r="E59" s="53"/>
      <c r="F59" s="53"/>
      <c r="G59" s="54"/>
      <c r="H59" s="55"/>
    </row>
    <row r="60" spans="1:9">
      <c r="A60" s="56"/>
      <c r="B60" s="56"/>
      <c r="C60" s="56"/>
      <c r="D60" s="56"/>
      <c r="E60" s="56"/>
      <c r="F60" s="56"/>
      <c r="G60" s="56"/>
      <c r="H60" s="56"/>
    </row>
    <row r="61" spans="1:9" ht="12.75" customHeight="1">
      <c r="A61" s="150">
        <v>20</v>
      </c>
      <c r="H61" s="57" t="s">
        <v>225</v>
      </c>
    </row>
    <row r="62" spans="1:9" ht="12.75" customHeight="1">
      <c r="A62" s="151"/>
      <c r="H62" s="57" t="s">
        <v>226</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176</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c r="A7" s="155" t="s">
        <v>70</v>
      </c>
      <c r="B7" s="19" t="s">
        <v>3</v>
      </c>
      <c r="C7" s="20">
        <v>271585.66666666669</v>
      </c>
      <c r="D7" s="20">
        <v>299510</v>
      </c>
      <c r="E7" s="83">
        <v>303254.62613180245</v>
      </c>
      <c r="F7" s="22" t="s">
        <v>224</v>
      </c>
      <c r="G7" s="23">
        <v>11.660762459899971</v>
      </c>
      <c r="H7" s="24">
        <v>1.2502507868860562</v>
      </c>
    </row>
    <row r="8" spans="1:8">
      <c r="A8" s="156"/>
      <c r="B8" s="25" t="s">
        <v>127</v>
      </c>
      <c r="C8" s="26">
        <v>61217.965909090904</v>
      </c>
      <c r="D8" s="26">
        <v>64072.416666666664</v>
      </c>
      <c r="E8" s="26">
        <v>65994.352272727265</v>
      </c>
      <c r="F8" s="27"/>
      <c r="G8" s="28">
        <v>7.8022624448667983</v>
      </c>
      <c r="H8" s="29">
        <v>2.9996302715712631</v>
      </c>
    </row>
    <row r="9" spans="1:8">
      <c r="A9" s="30" t="s">
        <v>71</v>
      </c>
      <c r="B9" s="31" t="s">
        <v>3</v>
      </c>
      <c r="C9" s="20">
        <v>95585.166666666672</v>
      </c>
      <c r="D9" s="20">
        <v>100045</v>
      </c>
      <c r="E9" s="21">
        <v>96510.082926300325</v>
      </c>
      <c r="F9" s="22" t="s">
        <v>224</v>
      </c>
      <c r="G9" s="32">
        <v>0.96763576597518863</v>
      </c>
      <c r="H9" s="33">
        <v>-3.5333270765152491</v>
      </c>
    </row>
    <row r="10" spans="1:8">
      <c r="A10" s="34"/>
      <c r="B10" s="35" t="s">
        <v>127</v>
      </c>
      <c r="C10" s="21">
        <v>21121.1875</v>
      </c>
      <c r="D10" s="21">
        <v>21282.041666666668</v>
      </c>
      <c r="E10" s="21">
        <v>20788.5625</v>
      </c>
      <c r="F10" s="36"/>
      <c r="G10" s="37">
        <v>-1.574840429781716</v>
      </c>
      <c r="H10" s="29">
        <v>-2.3187585777523765</v>
      </c>
    </row>
    <row r="11" spans="1:8">
      <c r="A11" s="30" t="s">
        <v>52</v>
      </c>
      <c r="B11" s="38" t="s">
        <v>3</v>
      </c>
      <c r="C11" s="39">
        <v>8398.2265432098757</v>
      </c>
      <c r="D11" s="39">
        <v>8274</v>
      </c>
      <c r="E11" s="39">
        <v>7522.091947658736</v>
      </c>
      <c r="F11" s="40" t="s">
        <v>224</v>
      </c>
      <c r="G11" s="41">
        <v>-10.432376300440609</v>
      </c>
      <c r="H11" s="33">
        <v>-9.0876003425340031</v>
      </c>
    </row>
    <row r="12" spans="1:8">
      <c r="A12" s="34"/>
      <c r="B12" s="25" t="s">
        <v>127</v>
      </c>
      <c r="C12" s="26">
        <v>1940.3789351851851</v>
      </c>
      <c r="D12" s="26">
        <v>2250.5566358024689</v>
      </c>
      <c r="E12" s="26">
        <v>1931.8812499999999</v>
      </c>
      <c r="F12" s="27"/>
      <c r="G12" s="28">
        <v>-0.4379394679614137</v>
      </c>
      <c r="H12" s="29">
        <v>-14.15984742320606</v>
      </c>
    </row>
    <row r="13" spans="1:8">
      <c r="A13" s="30" t="s">
        <v>53</v>
      </c>
      <c r="B13" s="31" t="s">
        <v>3</v>
      </c>
      <c r="C13" s="20">
        <v>90145.038888888885</v>
      </c>
      <c r="D13" s="20">
        <v>96673</v>
      </c>
      <c r="E13" s="21">
        <v>102821.52333868647</v>
      </c>
      <c r="F13" s="22" t="s">
        <v>224</v>
      </c>
      <c r="G13" s="23">
        <v>14.062320684582971</v>
      </c>
      <c r="H13" s="24">
        <v>6.360124687023756</v>
      </c>
    </row>
    <row r="14" spans="1:8">
      <c r="A14" s="34"/>
      <c r="B14" s="35" t="s">
        <v>127</v>
      </c>
      <c r="C14" s="21">
        <v>21128.410416666666</v>
      </c>
      <c r="D14" s="21">
        <v>22311.009722222221</v>
      </c>
      <c r="E14" s="21">
        <v>23851.931250000001</v>
      </c>
      <c r="F14" s="36"/>
      <c r="G14" s="42">
        <v>12.890325299554718</v>
      </c>
      <c r="H14" s="24">
        <v>6.906552177434591</v>
      </c>
    </row>
    <row r="15" spans="1:8">
      <c r="A15" s="30" t="s">
        <v>54</v>
      </c>
      <c r="B15" s="38" t="s">
        <v>3</v>
      </c>
      <c r="C15" s="39">
        <v>48607.038888888892</v>
      </c>
      <c r="D15" s="39">
        <v>52704</v>
      </c>
      <c r="E15" s="39">
        <v>55226.823830960522</v>
      </c>
      <c r="F15" s="40" t="s">
        <v>224</v>
      </c>
      <c r="G15" s="41">
        <v>13.618984191165879</v>
      </c>
      <c r="H15" s="33">
        <v>4.7867786713731846</v>
      </c>
    </row>
    <row r="16" spans="1:8">
      <c r="A16" s="34"/>
      <c r="B16" s="25" t="s">
        <v>127</v>
      </c>
      <c r="C16" s="26">
        <v>10627.410416666668</v>
      </c>
      <c r="D16" s="26">
        <v>11926.009722222223</v>
      </c>
      <c r="E16" s="26">
        <v>12352.93125</v>
      </c>
      <c r="F16" s="27"/>
      <c r="G16" s="28">
        <v>16.236512618607875</v>
      </c>
      <c r="H16" s="29">
        <v>3.5797516329563024</v>
      </c>
    </row>
    <row r="17" spans="1:9">
      <c r="A17" s="30" t="s">
        <v>55</v>
      </c>
      <c r="B17" s="38" t="s">
        <v>3</v>
      </c>
      <c r="C17" s="39">
        <v>33992.679629629631</v>
      </c>
      <c r="D17" s="39">
        <v>47387</v>
      </c>
      <c r="E17" s="39">
        <v>46359.808316669158</v>
      </c>
      <c r="F17" s="40" t="s">
        <v>224</v>
      </c>
      <c r="G17" s="41">
        <v>36.381741074215711</v>
      </c>
      <c r="H17" s="33">
        <v>-2.167665569314039</v>
      </c>
    </row>
    <row r="18" spans="1:9" ht="13.5" thickBot="1">
      <c r="A18" s="60"/>
      <c r="B18" s="46" t="s">
        <v>127</v>
      </c>
      <c r="C18" s="47">
        <v>7749.1368055555558</v>
      </c>
      <c r="D18" s="47">
        <v>7468.6699074074077</v>
      </c>
      <c r="E18" s="47">
        <v>8144.6437500000002</v>
      </c>
      <c r="F18" s="48"/>
      <c r="G18" s="61">
        <v>5.1038838824073167</v>
      </c>
      <c r="H18" s="50">
        <v>9.0507928583396478</v>
      </c>
    </row>
    <row r="19" spans="1:9">
      <c r="A19" s="62"/>
      <c r="B19" s="62"/>
      <c r="C19" s="21"/>
      <c r="D19" s="21"/>
      <c r="E19" s="21"/>
      <c r="F19" s="63"/>
      <c r="G19" s="42"/>
      <c r="H19" s="64"/>
      <c r="I19" s="65"/>
    </row>
    <row r="20" spans="1:9">
      <c r="A20" s="62"/>
      <c r="B20" s="66"/>
      <c r="C20" s="21"/>
      <c r="D20" s="21"/>
      <c r="E20" s="21"/>
      <c r="F20" s="67"/>
      <c r="G20" s="42"/>
      <c r="H20" s="64"/>
      <c r="I20" s="65"/>
    </row>
    <row r="21" spans="1:9">
      <c r="A21" s="62"/>
      <c r="B21" s="62"/>
      <c r="C21" s="21"/>
      <c r="D21" s="21"/>
      <c r="E21" s="21"/>
      <c r="F21" s="63"/>
      <c r="G21" s="42"/>
      <c r="H21" s="64"/>
      <c r="I21" s="65"/>
    </row>
    <row r="22" spans="1:9">
      <c r="A22" s="62"/>
      <c r="B22" s="66"/>
      <c r="C22" s="21"/>
      <c r="D22" s="21"/>
      <c r="E22" s="21"/>
      <c r="F22" s="67"/>
      <c r="G22" s="42"/>
      <c r="H22" s="64"/>
      <c r="I22" s="65"/>
    </row>
    <row r="23" spans="1:9">
      <c r="A23" s="62"/>
      <c r="B23" s="62"/>
      <c r="C23" s="21"/>
      <c r="D23" s="21"/>
      <c r="E23" s="21"/>
      <c r="F23" s="63"/>
      <c r="G23" s="42"/>
      <c r="H23" s="64"/>
      <c r="I23" s="65"/>
    </row>
    <row r="24" spans="1:9">
      <c r="A24" s="62"/>
      <c r="B24" s="66"/>
      <c r="C24" s="21"/>
      <c r="D24" s="21"/>
      <c r="E24" s="21"/>
      <c r="F24" s="67"/>
      <c r="G24" s="42"/>
      <c r="H24" s="64"/>
      <c r="I24" s="65"/>
    </row>
    <row r="25" spans="1:9">
      <c r="A25" s="62"/>
      <c r="B25" s="62"/>
      <c r="C25" s="21"/>
      <c r="D25" s="21"/>
      <c r="E25" s="21"/>
      <c r="F25" s="63"/>
      <c r="G25" s="42"/>
      <c r="H25" s="64"/>
      <c r="I25" s="65"/>
    </row>
    <row r="26" spans="1:9">
      <c r="A26" s="62"/>
      <c r="B26" s="66"/>
      <c r="C26" s="21"/>
      <c r="D26" s="21"/>
      <c r="E26" s="21"/>
      <c r="F26" s="67"/>
      <c r="G26" s="42"/>
      <c r="H26" s="64"/>
      <c r="I26" s="65"/>
    </row>
    <row r="27" spans="1:9">
      <c r="A27" s="62"/>
      <c r="B27" s="62"/>
      <c r="C27" s="21"/>
      <c r="D27" s="21"/>
      <c r="E27" s="21"/>
      <c r="F27" s="63"/>
      <c r="G27" s="42"/>
      <c r="H27" s="64"/>
      <c r="I27" s="65"/>
    </row>
    <row r="28" spans="1:9">
      <c r="A28" s="62"/>
      <c r="B28" s="66"/>
      <c r="C28" s="21"/>
      <c r="D28" s="21"/>
      <c r="E28" s="21"/>
      <c r="F28" s="67"/>
      <c r="G28" s="42"/>
      <c r="H28" s="64"/>
      <c r="I28" s="65"/>
    </row>
    <row r="29" spans="1:9">
      <c r="A29" s="62"/>
      <c r="B29" s="62"/>
      <c r="C29" s="68"/>
      <c r="D29" s="68"/>
      <c r="E29" s="21"/>
      <c r="F29" s="63"/>
      <c r="G29" s="42"/>
      <c r="H29" s="64"/>
      <c r="I29" s="65"/>
    </row>
    <row r="30" spans="1:9">
      <c r="A30" s="69"/>
      <c r="B30" s="66"/>
      <c r="C30" s="21"/>
      <c r="D30" s="21"/>
      <c r="E30" s="21"/>
      <c r="F30" s="67"/>
      <c r="G30" s="42"/>
      <c r="H30" s="64"/>
      <c r="I30" s="65"/>
    </row>
    <row r="31" spans="1:9">
      <c r="A31" s="51"/>
      <c r="B31" s="52"/>
      <c r="C31" s="53"/>
      <c r="D31" s="59"/>
      <c r="E31" s="53"/>
      <c r="F31" s="53"/>
      <c r="G31" s="54"/>
      <c r="H31" s="55"/>
      <c r="I31" s="65"/>
    </row>
    <row r="32" spans="1:9" ht="16.5" thickBot="1">
      <c r="A32" s="4" t="s">
        <v>87</v>
      </c>
      <c r="B32" s="5"/>
      <c r="C32" s="5"/>
      <c r="D32" s="5"/>
      <c r="E32" s="5"/>
      <c r="F32" s="5"/>
      <c r="G32" s="5"/>
      <c r="H32" s="6"/>
    </row>
    <row r="33" spans="1:9">
      <c r="A33" s="7"/>
      <c r="B33" s="8"/>
      <c r="C33" s="159" t="s">
        <v>16</v>
      </c>
      <c r="D33" s="153"/>
      <c r="E33" s="153"/>
      <c r="F33" s="160"/>
      <c r="G33" s="153" t="s">
        <v>1</v>
      </c>
      <c r="H33" s="154"/>
    </row>
    <row r="34" spans="1:9">
      <c r="A34" s="12"/>
      <c r="B34" s="13"/>
      <c r="C34" s="14">
        <v>2011</v>
      </c>
      <c r="D34" s="15">
        <v>2012</v>
      </c>
      <c r="E34" s="15">
        <v>2013</v>
      </c>
      <c r="F34" s="16"/>
      <c r="G34" s="17" t="s">
        <v>222</v>
      </c>
      <c r="H34" s="18" t="s">
        <v>223</v>
      </c>
    </row>
    <row r="35" spans="1:9" ht="12.75" customHeight="1">
      <c r="A35" s="155" t="s">
        <v>70</v>
      </c>
      <c r="B35" s="19" t="s">
        <v>3</v>
      </c>
      <c r="C35" s="84">
        <v>1522.1364975195495</v>
      </c>
      <c r="D35" s="84">
        <v>1684.9369804392695</v>
      </c>
      <c r="E35" s="85">
        <v>1690.8814468290263</v>
      </c>
      <c r="F35" s="22" t="s">
        <v>224</v>
      </c>
      <c r="G35" s="23">
        <v>11.08605894310142</v>
      </c>
      <c r="H35" s="24">
        <v>0.3528005176909943</v>
      </c>
    </row>
    <row r="36" spans="1:9" ht="12.75" customHeight="1">
      <c r="A36" s="156"/>
      <c r="B36" s="25" t="s">
        <v>127</v>
      </c>
      <c r="C36" s="86">
        <v>347.53323942363625</v>
      </c>
      <c r="D36" s="86">
        <v>433.66874899144364</v>
      </c>
      <c r="E36" s="86">
        <v>417.48621703025185</v>
      </c>
      <c r="F36" s="27"/>
      <c r="G36" s="28">
        <v>20.128427923219249</v>
      </c>
      <c r="H36" s="29">
        <v>-3.73154210415818</v>
      </c>
    </row>
    <row r="37" spans="1:9">
      <c r="A37" s="30" t="s">
        <v>71</v>
      </c>
      <c r="B37" s="31" t="s">
        <v>3</v>
      </c>
      <c r="C37" s="84">
        <v>315.81642100250252</v>
      </c>
      <c r="D37" s="84">
        <v>325.12739390000081</v>
      </c>
      <c r="E37" s="87">
        <v>291.29007404048059</v>
      </c>
      <c r="F37" s="22" t="s">
        <v>224</v>
      </c>
      <c r="G37" s="32">
        <v>-7.7660138393587772</v>
      </c>
      <c r="H37" s="33">
        <v>-10.407403526854935</v>
      </c>
    </row>
    <row r="38" spans="1:9">
      <c r="A38" s="34"/>
      <c r="B38" s="35" t="s">
        <v>127</v>
      </c>
      <c r="C38" s="87">
        <v>73.274988396067045</v>
      </c>
      <c r="D38" s="87">
        <v>92.504379365916137</v>
      </c>
      <c r="E38" s="87">
        <v>77.064499545814201</v>
      </c>
      <c r="F38" s="36"/>
      <c r="G38" s="37">
        <v>5.1716298189827654</v>
      </c>
      <c r="H38" s="29">
        <v>-16.690971742026377</v>
      </c>
    </row>
    <row r="39" spans="1:9">
      <c r="A39" s="30" t="s">
        <v>52</v>
      </c>
      <c r="B39" s="38" t="s">
        <v>3</v>
      </c>
      <c r="C39" s="88">
        <v>159.2650766294347</v>
      </c>
      <c r="D39" s="88">
        <v>156.13917776832059</v>
      </c>
      <c r="E39" s="88">
        <v>155.34836033666298</v>
      </c>
      <c r="F39" s="40" t="s">
        <v>224</v>
      </c>
      <c r="G39" s="41">
        <v>-2.4592436557104236</v>
      </c>
      <c r="H39" s="33">
        <v>-0.50648238511351451</v>
      </c>
    </row>
    <row r="40" spans="1:9">
      <c r="A40" s="34"/>
      <c r="B40" s="25" t="s">
        <v>127</v>
      </c>
      <c r="C40" s="86">
        <v>48.138238154713804</v>
      </c>
      <c r="D40" s="86">
        <v>56.12185721098043</v>
      </c>
      <c r="E40" s="86">
        <v>52.525229248290763</v>
      </c>
      <c r="F40" s="27"/>
      <c r="G40" s="28">
        <v>9.1133187705735992</v>
      </c>
      <c r="H40" s="29">
        <v>-6.4086046710264242</v>
      </c>
    </row>
    <row r="41" spans="1:9">
      <c r="A41" s="30" t="s">
        <v>53</v>
      </c>
      <c r="B41" s="31" t="s">
        <v>3</v>
      </c>
      <c r="C41" s="84">
        <v>675.67575371707676</v>
      </c>
      <c r="D41" s="84">
        <v>742.96737256322035</v>
      </c>
      <c r="E41" s="87">
        <v>731.97942325178371</v>
      </c>
      <c r="F41" s="22" t="s">
        <v>224</v>
      </c>
      <c r="G41" s="23">
        <v>8.332942128671192</v>
      </c>
      <c r="H41" s="24">
        <v>-1.4789275703357561</v>
      </c>
    </row>
    <row r="42" spans="1:9">
      <c r="A42" s="34"/>
      <c r="B42" s="35" t="s">
        <v>127</v>
      </c>
      <c r="C42" s="87">
        <v>146.17386148613457</v>
      </c>
      <c r="D42" s="87">
        <v>183.05693087574781</v>
      </c>
      <c r="E42" s="87">
        <v>172.36904649246699</v>
      </c>
      <c r="F42" s="36"/>
      <c r="G42" s="42">
        <v>17.920567152026152</v>
      </c>
      <c r="H42" s="24">
        <v>-5.8385576181954804</v>
      </c>
    </row>
    <row r="43" spans="1:9">
      <c r="A43" s="30" t="s">
        <v>54</v>
      </c>
      <c r="B43" s="38" t="s">
        <v>3</v>
      </c>
      <c r="C43" s="88">
        <v>254.61516366712624</v>
      </c>
      <c r="D43" s="88">
        <v>262.06058354049486</v>
      </c>
      <c r="E43" s="88">
        <v>294.34397995964014</v>
      </c>
      <c r="F43" s="40" t="s">
        <v>224</v>
      </c>
      <c r="G43" s="41">
        <v>15.603476132495302</v>
      </c>
      <c r="H43" s="33">
        <v>12.319058434118418</v>
      </c>
    </row>
    <row r="44" spans="1:9">
      <c r="A44" s="34"/>
      <c r="B44" s="25" t="s">
        <v>127</v>
      </c>
      <c r="C44" s="86">
        <v>52.577378121350456</v>
      </c>
      <c r="D44" s="86">
        <v>70.431734956605268</v>
      </c>
      <c r="E44" s="86">
        <v>71.883414698960053</v>
      </c>
      <c r="F44" s="27"/>
      <c r="G44" s="28">
        <v>36.719283591986255</v>
      </c>
      <c r="H44" s="29">
        <v>2.0611159774059189</v>
      </c>
    </row>
    <row r="45" spans="1:9">
      <c r="A45" s="30" t="s">
        <v>55</v>
      </c>
      <c r="B45" s="38" t="s">
        <v>3</v>
      </c>
      <c r="C45" s="88">
        <v>110.62908250340892</v>
      </c>
      <c r="D45" s="88">
        <v>189.22245266723283</v>
      </c>
      <c r="E45" s="88">
        <v>234.64253568718871</v>
      </c>
      <c r="F45" s="40" t="s">
        <v>224</v>
      </c>
      <c r="G45" s="41">
        <v>112.09841967184212</v>
      </c>
      <c r="H45" s="33">
        <v>24.003537835878163</v>
      </c>
    </row>
    <row r="46" spans="1:9" ht="13.5" thickBot="1">
      <c r="A46" s="60"/>
      <c r="B46" s="46" t="s">
        <v>127</v>
      </c>
      <c r="C46" s="90">
        <v>25.773773265370377</v>
      </c>
      <c r="D46" s="90">
        <v>29.329846582193941</v>
      </c>
      <c r="E46" s="90">
        <v>40.937027044719784</v>
      </c>
      <c r="F46" s="48"/>
      <c r="G46" s="61">
        <v>58.832106666053221</v>
      </c>
      <c r="H46" s="50">
        <v>39.574637494259946</v>
      </c>
    </row>
    <row r="47" spans="1:9">
      <c r="A47" s="62"/>
      <c r="B47" s="62"/>
      <c r="C47" s="21"/>
      <c r="D47" s="21"/>
      <c r="E47" s="21"/>
      <c r="F47" s="63"/>
      <c r="G47" s="42"/>
      <c r="H47" s="64"/>
      <c r="I47" s="65"/>
    </row>
    <row r="48" spans="1:9">
      <c r="A48" s="62"/>
      <c r="B48" s="66"/>
      <c r="C48" s="21"/>
      <c r="D48" s="21"/>
      <c r="E48" s="21"/>
      <c r="F48" s="67"/>
      <c r="G48" s="42"/>
      <c r="H48" s="64"/>
      <c r="I48" s="65"/>
    </row>
    <row r="49" spans="1:9">
      <c r="A49" s="62"/>
      <c r="B49" s="62"/>
      <c r="C49" s="21"/>
      <c r="D49" s="21"/>
      <c r="E49" s="117"/>
      <c r="F49" s="63"/>
      <c r="G49" s="42"/>
      <c r="H49" s="64"/>
      <c r="I49" s="65"/>
    </row>
    <row r="50" spans="1:9">
      <c r="A50" s="62"/>
      <c r="B50" s="66"/>
      <c r="C50" s="21"/>
      <c r="D50" s="21"/>
      <c r="E50" s="21"/>
      <c r="F50" s="67"/>
      <c r="G50" s="42"/>
      <c r="H50" s="64"/>
      <c r="I50" s="65"/>
    </row>
    <row r="51" spans="1:9">
      <c r="A51" s="62"/>
      <c r="B51" s="62"/>
      <c r="C51" s="21"/>
      <c r="D51" s="21"/>
      <c r="E51" s="21"/>
      <c r="F51" s="63"/>
      <c r="G51" s="42"/>
      <c r="H51" s="64"/>
      <c r="I51" s="65"/>
    </row>
    <row r="52" spans="1:9">
      <c r="A52" s="62"/>
      <c r="B52" s="66"/>
      <c r="C52" s="21"/>
      <c r="D52" s="21"/>
      <c r="E52" s="21"/>
      <c r="F52" s="67"/>
      <c r="G52" s="42"/>
      <c r="H52" s="64"/>
      <c r="I52" s="65"/>
    </row>
    <row r="53" spans="1:9">
      <c r="A53" s="62"/>
      <c r="B53" s="62"/>
      <c r="C53" s="21"/>
      <c r="D53" s="21"/>
      <c r="E53" s="21"/>
      <c r="F53" s="63"/>
      <c r="G53" s="42"/>
      <c r="H53" s="64"/>
      <c r="I53" s="65"/>
    </row>
    <row r="54" spans="1:9">
      <c r="A54" s="62"/>
      <c r="B54" s="66"/>
      <c r="C54" s="21"/>
      <c r="D54" s="21"/>
      <c r="E54" s="21"/>
      <c r="F54" s="67"/>
      <c r="G54" s="42"/>
      <c r="H54" s="64"/>
      <c r="I54" s="65"/>
    </row>
    <row r="55" spans="1:9">
      <c r="A55" s="62"/>
      <c r="B55" s="62"/>
      <c r="C55" s="21"/>
      <c r="D55" s="21"/>
      <c r="E55" s="21"/>
      <c r="F55" s="63"/>
      <c r="G55" s="42"/>
      <c r="H55" s="64"/>
      <c r="I55" s="65"/>
    </row>
    <row r="56" spans="1:9">
      <c r="A56" s="62"/>
      <c r="B56" s="66"/>
      <c r="C56" s="21"/>
      <c r="D56" s="21"/>
      <c r="E56" s="21"/>
      <c r="F56" s="67"/>
      <c r="G56" s="42"/>
      <c r="H56" s="64"/>
      <c r="I56" s="65"/>
    </row>
    <row r="57" spans="1:9">
      <c r="A57" s="62"/>
      <c r="B57" s="62"/>
      <c r="C57" s="68"/>
      <c r="D57" s="68"/>
      <c r="E57" s="21"/>
      <c r="F57" s="63"/>
      <c r="G57" s="42"/>
      <c r="H57" s="64"/>
      <c r="I57" s="65"/>
    </row>
    <row r="58" spans="1:9">
      <c r="A58" s="69"/>
      <c r="B58" s="66"/>
      <c r="C58" s="21"/>
      <c r="D58" s="21"/>
      <c r="E58" s="21"/>
      <c r="F58" s="67"/>
      <c r="G58" s="42"/>
      <c r="H58" s="64"/>
      <c r="I58" s="65"/>
    </row>
    <row r="59" spans="1:9">
      <c r="A59" s="51"/>
      <c r="B59" s="52"/>
      <c r="C59" s="53"/>
      <c r="D59" s="53"/>
      <c r="E59" s="53"/>
      <c r="F59" s="53"/>
      <c r="G59" s="54"/>
      <c r="H59" s="55"/>
    </row>
    <row r="60" spans="1:9">
      <c r="A60" s="56"/>
      <c r="B60" s="56"/>
      <c r="C60" s="56"/>
      <c r="D60" s="56"/>
      <c r="E60" s="56"/>
      <c r="F60" s="56"/>
      <c r="G60" s="56"/>
      <c r="H60" s="56"/>
    </row>
    <row r="61" spans="1:9" ht="12.75" customHeight="1">
      <c r="A61" s="58" t="s">
        <v>225</v>
      </c>
      <c r="G61" s="57"/>
      <c r="H61" s="158">
        <v>21</v>
      </c>
    </row>
    <row r="62" spans="1:9" ht="12.75" customHeight="1">
      <c r="A62" s="58" t="s">
        <v>226</v>
      </c>
      <c r="G62" s="57"/>
      <c r="H62" s="149"/>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56"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177</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c r="A7" s="155" t="s">
        <v>56</v>
      </c>
      <c r="B7" s="19" t="s">
        <v>3</v>
      </c>
      <c r="C7" s="20">
        <v>9746.9906759906753</v>
      </c>
      <c r="D7" s="20">
        <v>8915</v>
      </c>
      <c r="E7" s="83">
        <v>5694.0626057582958</v>
      </c>
      <c r="F7" s="22" t="s">
        <v>224</v>
      </c>
      <c r="G7" s="23">
        <v>-41.581327047083107</v>
      </c>
      <c r="H7" s="24">
        <v>-36.129415527108286</v>
      </c>
    </row>
    <row r="8" spans="1:8">
      <c r="A8" s="156"/>
      <c r="B8" s="25" t="s">
        <v>127</v>
      </c>
      <c r="C8" s="26">
        <v>1005.8554778554778</v>
      </c>
      <c r="D8" s="26">
        <v>1395.4976689976691</v>
      </c>
      <c r="E8" s="26">
        <v>760.32167832167829</v>
      </c>
      <c r="F8" s="27"/>
      <c r="G8" s="28">
        <v>-24.41044513246446</v>
      </c>
      <c r="H8" s="29">
        <v>-45.516091125556137</v>
      </c>
    </row>
    <row r="9" spans="1:8">
      <c r="A9" s="30" t="s">
        <v>12</v>
      </c>
      <c r="B9" s="31" t="s">
        <v>3</v>
      </c>
      <c r="C9" s="20">
        <v>251.83441558441558</v>
      </c>
      <c r="D9" s="20">
        <v>181</v>
      </c>
      <c r="E9" s="21">
        <v>82.600774716115666</v>
      </c>
      <c r="F9" s="22" t="s">
        <v>224</v>
      </c>
      <c r="G9" s="32">
        <v>-67.200362776299073</v>
      </c>
      <c r="H9" s="33">
        <v>-54.364212864024495</v>
      </c>
    </row>
    <row r="10" spans="1:8">
      <c r="A10" s="34"/>
      <c r="B10" s="35" t="s">
        <v>127</v>
      </c>
      <c r="C10" s="21">
        <v>28.665584415584416</v>
      </c>
      <c r="D10" s="21">
        <v>28.208603896103895</v>
      </c>
      <c r="E10" s="21">
        <v>11.462662337662337</v>
      </c>
      <c r="F10" s="36"/>
      <c r="G10" s="37">
        <v>-60.012458942122556</v>
      </c>
      <c r="H10" s="29">
        <v>-59.36465916611516</v>
      </c>
    </row>
    <row r="11" spans="1:8">
      <c r="A11" s="30" t="s">
        <v>18</v>
      </c>
      <c r="B11" s="38" t="s">
        <v>3</v>
      </c>
      <c r="C11" s="39">
        <v>263.07301136363634</v>
      </c>
      <c r="D11" s="39">
        <v>265</v>
      </c>
      <c r="E11" s="39">
        <v>215.28901732124066</v>
      </c>
      <c r="F11" s="40" t="s">
        <v>224</v>
      </c>
      <c r="G11" s="41">
        <v>-18.163776586092126</v>
      </c>
      <c r="H11" s="33">
        <v>-18.758861388211074</v>
      </c>
    </row>
    <row r="12" spans="1:8">
      <c r="A12" s="34"/>
      <c r="B12" s="25" t="s">
        <v>127</v>
      </c>
      <c r="C12" s="26">
        <v>33.583238636363639</v>
      </c>
      <c r="D12" s="26">
        <v>33.018252840909092</v>
      </c>
      <c r="E12" s="26">
        <v>27.040482954545453</v>
      </c>
      <c r="F12" s="27"/>
      <c r="G12" s="28">
        <v>-19.482205848764536</v>
      </c>
      <c r="H12" s="29">
        <v>-18.104440338397538</v>
      </c>
    </row>
    <row r="13" spans="1:8">
      <c r="A13" s="30" t="s">
        <v>72</v>
      </c>
      <c r="B13" s="31" t="s">
        <v>3</v>
      </c>
      <c r="C13" s="20">
        <v>1737.8319559228651</v>
      </c>
      <c r="D13" s="20">
        <v>1499</v>
      </c>
      <c r="E13" s="21">
        <v>915.79926930524289</v>
      </c>
      <c r="F13" s="22" t="s">
        <v>224</v>
      </c>
      <c r="G13" s="23">
        <v>-47.302196499263175</v>
      </c>
      <c r="H13" s="24">
        <v>-38.905986037008475</v>
      </c>
    </row>
    <row r="14" spans="1:8">
      <c r="A14" s="34"/>
      <c r="B14" s="35" t="s">
        <v>127</v>
      </c>
      <c r="C14" s="21">
        <v>182.62258953168046</v>
      </c>
      <c r="D14" s="21">
        <v>132.70798898071627</v>
      </c>
      <c r="E14" s="21">
        <v>85.570247933884303</v>
      </c>
      <c r="F14" s="36"/>
      <c r="G14" s="42">
        <v>-53.14366741084897</v>
      </c>
      <c r="H14" s="24">
        <v>-35.519897037759733</v>
      </c>
    </row>
    <row r="15" spans="1:8">
      <c r="A15" s="30" t="s">
        <v>57</v>
      </c>
      <c r="B15" s="38" t="s">
        <v>3</v>
      </c>
      <c r="C15" s="39">
        <v>5045.67012987013</v>
      </c>
      <c r="D15" s="39">
        <v>4567</v>
      </c>
      <c r="E15" s="39">
        <v>2873.7330016653336</v>
      </c>
      <c r="F15" s="40" t="s">
        <v>224</v>
      </c>
      <c r="G15" s="41">
        <v>-43.045563271111021</v>
      </c>
      <c r="H15" s="33">
        <v>-37.076133092504193</v>
      </c>
    </row>
    <row r="16" spans="1:8">
      <c r="A16" s="34"/>
      <c r="B16" s="25" t="s">
        <v>127</v>
      </c>
      <c r="C16" s="26">
        <v>496.32987012987013</v>
      </c>
      <c r="D16" s="26">
        <v>741.66753246753251</v>
      </c>
      <c r="E16" s="26">
        <v>383.48051948051949</v>
      </c>
      <c r="F16" s="27"/>
      <c r="G16" s="28">
        <v>-22.73676388242005</v>
      </c>
      <c r="H16" s="29">
        <v>-48.294821777531851</v>
      </c>
    </row>
    <row r="17" spans="1:9">
      <c r="A17" s="30" t="s">
        <v>55</v>
      </c>
      <c r="B17" s="38" t="s">
        <v>3</v>
      </c>
      <c r="C17" s="39">
        <v>3119.1681818181819</v>
      </c>
      <c r="D17" s="39">
        <v>3047</v>
      </c>
      <c r="E17" s="39">
        <v>2019.8211599602466</v>
      </c>
      <c r="F17" s="40" t="s">
        <v>224</v>
      </c>
      <c r="G17" s="41">
        <v>-35.244878050054979</v>
      </c>
      <c r="H17" s="33">
        <v>-33.711153266811735</v>
      </c>
    </row>
    <row r="18" spans="1:9" ht="13.5" thickBot="1">
      <c r="A18" s="60"/>
      <c r="B18" s="46" t="s">
        <v>127</v>
      </c>
      <c r="C18" s="47">
        <v>312.33181818181816</v>
      </c>
      <c r="D18" s="47">
        <v>501.29204545454547</v>
      </c>
      <c r="E18" s="47">
        <v>273.64772727272725</v>
      </c>
      <c r="F18" s="48"/>
      <c r="G18" s="61">
        <v>-12.385574782064538</v>
      </c>
      <c r="H18" s="50">
        <v>-45.411516150311591</v>
      </c>
    </row>
    <row r="19" spans="1:9">
      <c r="A19" s="62"/>
      <c r="B19" s="62"/>
      <c r="C19" s="21"/>
      <c r="D19" s="21"/>
      <c r="E19" s="21"/>
      <c r="F19" s="63"/>
      <c r="G19" s="42"/>
      <c r="H19" s="64"/>
      <c r="I19" s="65"/>
    </row>
    <row r="20" spans="1:9">
      <c r="A20" s="62"/>
      <c r="B20" s="66"/>
      <c r="C20" s="21"/>
      <c r="D20" s="21"/>
      <c r="E20" s="21"/>
      <c r="F20" s="67"/>
      <c r="G20" s="42"/>
      <c r="H20" s="64"/>
      <c r="I20" s="65"/>
    </row>
    <row r="21" spans="1:9">
      <c r="A21" s="62"/>
      <c r="B21" s="62"/>
      <c r="C21" s="21"/>
      <c r="D21" s="21"/>
      <c r="E21" s="21"/>
      <c r="F21" s="63"/>
      <c r="G21" s="42"/>
      <c r="H21" s="64"/>
      <c r="I21" s="65"/>
    </row>
    <row r="22" spans="1:9">
      <c r="A22" s="62"/>
      <c r="B22" s="66"/>
      <c r="C22" s="21"/>
      <c r="D22" s="21"/>
      <c r="E22" s="21"/>
      <c r="F22" s="67"/>
      <c r="G22" s="42"/>
      <c r="H22" s="64"/>
      <c r="I22" s="65"/>
    </row>
    <row r="23" spans="1:9">
      <c r="A23" s="62"/>
      <c r="B23" s="62"/>
      <c r="C23" s="21"/>
      <c r="D23" s="21"/>
      <c r="E23" s="21"/>
      <c r="F23" s="63"/>
      <c r="G23" s="42"/>
      <c r="H23" s="64"/>
      <c r="I23" s="65"/>
    </row>
    <row r="24" spans="1:9">
      <c r="A24" s="62"/>
      <c r="B24" s="66"/>
      <c r="C24" s="21"/>
      <c r="D24" s="21"/>
      <c r="E24" s="21"/>
      <c r="F24" s="67"/>
      <c r="G24" s="42"/>
      <c r="H24" s="64"/>
      <c r="I24" s="65"/>
    </row>
    <row r="25" spans="1:9">
      <c r="A25" s="62"/>
      <c r="B25" s="62"/>
      <c r="C25" s="21"/>
      <c r="D25" s="21"/>
      <c r="E25" s="21"/>
      <c r="F25" s="63"/>
      <c r="G25" s="42"/>
      <c r="H25" s="64"/>
      <c r="I25" s="65"/>
    </row>
    <row r="26" spans="1:9">
      <c r="A26" s="62"/>
      <c r="B26" s="66"/>
      <c r="C26" s="21"/>
      <c r="D26" s="21"/>
      <c r="E26" s="21"/>
      <c r="F26" s="67"/>
      <c r="G26" s="42"/>
      <c r="H26" s="64"/>
      <c r="I26" s="65"/>
    </row>
    <row r="27" spans="1:9">
      <c r="A27" s="62"/>
      <c r="B27" s="62"/>
      <c r="C27" s="21"/>
      <c r="D27" s="21"/>
      <c r="E27" s="21"/>
      <c r="F27" s="63"/>
      <c r="G27" s="42"/>
      <c r="H27" s="64"/>
      <c r="I27" s="65"/>
    </row>
    <row r="28" spans="1:9">
      <c r="A28" s="62"/>
      <c r="B28" s="66"/>
      <c r="C28" s="21"/>
      <c r="D28" s="21"/>
      <c r="E28" s="21"/>
      <c r="F28" s="67"/>
      <c r="G28" s="42"/>
      <c r="H28" s="64"/>
      <c r="I28" s="65"/>
    </row>
    <row r="29" spans="1:9">
      <c r="A29" s="62"/>
      <c r="B29" s="62"/>
      <c r="C29" s="68"/>
      <c r="D29" s="68"/>
      <c r="E29" s="21"/>
      <c r="F29" s="63"/>
      <c r="G29" s="42"/>
      <c r="H29" s="64"/>
      <c r="I29" s="65"/>
    </row>
    <row r="30" spans="1:9">
      <c r="A30" s="69"/>
      <c r="B30" s="66"/>
      <c r="C30" s="21"/>
      <c r="D30" s="21"/>
      <c r="E30" s="21"/>
      <c r="F30" s="67"/>
      <c r="G30" s="42"/>
      <c r="H30" s="64"/>
      <c r="I30" s="65"/>
    </row>
    <row r="31" spans="1:9">
      <c r="A31" s="51"/>
      <c r="B31" s="52"/>
      <c r="C31" s="53"/>
      <c r="D31" s="59"/>
      <c r="E31" s="53"/>
      <c r="F31" s="53"/>
      <c r="G31" s="54"/>
      <c r="H31" s="55"/>
      <c r="I31" s="65"/>
    </row>
    <row r="32" spans="1:9" ht="16.5" thickBot="1">
      <c r="A32" s="4" t="s">
        <v>86</v>
      </c>
      <c r="B32" s="5"/>
      <c r="C32" s="5"/>
      <c r="D32" s="5"/>
      <c r="E32" s="5"/>
      <c r="F32" s="5"/>
      <c r="G32" s="5"/>
      <c r="H32" s="6"/>
    </row>
    <row r="33" spans="1:9">
      <c r="A33" s="7"/>
      <c r="B33" s="8"/>
      <c r="C33" s="159" t="s">
        <v>16</v>
      </c>
      <c r="D33" s="153"/>
      <c r="E33" s="153"/>
      <c r="F33" s="160"/>
      <c r="G33" s="153" t="s">
        <v>1</v>
      </c>
      <c r="H33" s="154"/>
    </row>
    <row r="34" spans="1:9">
      <c r="A34" s="12"/>
      <c r="B34" s="13"/>
      <c r="C34" s="14">
        <v>2011</v>
      </c>
      <c r="D34" s="15">
        <v>2012</v>
      </c>
      <c r="E34" s="15">
        <v>2013</v>
      </c>
      <c r="F34" s="16"/>
      <c r="G34" s="17" t="s">
        <v>222</v>
      </c>
      <c r="H34" s="18" t="s">
        <v>223</v>
      </c>
    </row>
    <row r="35" spans="1:9" ht="12.75" customHeight="1">
      <c r="A35" s="155" t="s">
        <v>56</v>
      </c>
      <c r="B35" s="19" t="s">
        <v>3</v>
      </c>
      <c r="C35" s="84">
        <v>443.46113981184629</v>
      </c>
      <c r="D35" s="84">
        <v>394.8041479268025</v>
      </c>
      <c r="E35" s="85">
        <v>302.16817824245402</v>
      </c>
      <c r="F35" s="22" t="s">
        <v>224</v>
      </c>
      <c r="G35" s="23">
        <v>-31.861407660058035</v>
      </c>
      <c r="H35" s="24">
        <v>-23.463778222898355</v>
      </c>
    </row>
    <row r="36" spans="1:9" ht="12.75" customHeight="1">
      <c r="A36" s="156"/>
      <c r="B36" s="25" t="s">
        <v>127</v>
      </c>
      <c r="C36" s="86">
        <v>42.528881402172203</v>
      </c>
      <c r="D36" s="86">
        <v>43.997332892470908</v>
      </c>
      <c r="E36" s="86">
        <v>31.948394489102466</v>
      </c>
      <c r="F36" s="27"/>
      <c r="G36" s="28">
        <v>-24.878356928826562</v>
      </c>
      <c r="H36" s="29">
        <v>-27.385610925134813</v>
      </c>
    </row>
    <row r="37" spans="1:9">
      <c r="A37" s="30" t="s">
        <v>12</v>
      </c>
      <c r="B37" s="31" t="s">
        <v>3</v>
      </c>
      <c r="C37" s="84">
        <v>2.4544407719590695</v>
      </c>
      <c r="D37" s="84">
        <v>1.8544556363036016</v>
      </c>
      <c r="E37" s="87">
        <v>0.68598743683779939</v>
      </c>
      <c r="F37" s="22" t="s">
        <v>224</v>
      </c>
      <c r="G37" s="32">
        <v>-72.051171709869266</v>
      </c>
      <c r="H37" s="33">
        <v>-63.008689805858843</v>
      </c>
    </row>
    <row r="38" spans="1:9">
      <c r="A38" s="34"/>
      <c r="B38" s="35" t="s">
        <v>127</v>
      </c>
      <c r="C38" s="87">
        <v>0.20893747629576936</v>
      </c>
      <c r="D38" s="87">
        <v>0.16668502320239476</v>
      </c>
      <c r="E38" s="87">
        <v>6.0531388672217815E-2</v>
      </c>
      <c r="F38" s="36"/>
      <c r="G38" s="37">
        <v>-71.028946197028674</v>
      </c>
      <c r="H38" s="29">
        <v>-63.685166483902698</v>
      </c>
    </row>
    <row r="39" spans="1:9">
      <c r="A39" s="30" t="s">
        <v>18</v>
      </c>
      <c r="B39" s="38" t="s">
        <v>3</v>
      </c>
      <c r="C39" s="88">
        <v>44.467868687842724</v>
      </c>
      <c r="D39" s="88">
        <v>40.100149569710268</v>
      </c>
      <c r="E39" s="88">
        <v>32.992752674581531</v>
      </c>
      <c r="F39" s="40" t="s">
        <v>224</v>
      </c>
      <c r="G39" s="41">
        <v>-25.805410405015493</v>
      </c>
      <c r="H39" s="33">
        <v>-17.724115673866024</v>
      </c>
    </row>
    <row r="40" spans="1:9">
      <c r="A40" s="34"/>
      <c r="B40" s="25" t="s">
        <v>127</v>
      </c>
      <c r="C40" s="86">
        <v>6.1950781584823762</v>
      </c>
      <c r="D40" s="86">
        <v>3.4898512331062155</v>
      </c>
      <c r="E40" s="86">
        <v>3.2818874921981203</v>
      </c>
      <c r="F40" s="27"/>
      <c r="G40" s="28">
        <v>-47.024276236054909</v>
      </c>
      <c r="H40" s="29">
        <v>-5.959100460651797</v>
      </c>
    </row>
    <row r="41" spans="1:9">
      <c r="A41" s="30" t="s">
        <v>72</v>
      </c>
      <c r="B41" s="31" t="s">
        <v>3</v>
      </c>
      <c r="C41" s="84">
        <v>82.703554729132009</v>
      </c>
      <c r="D41" s="84">
        <v>69.817991306111139</v>
      </c>
      <c r="E41" s="87">
        <v>42.99490687369839</v>
      </c>
      <c r="F41" s="22" t="s">
        <v>224</v>
      </c>
      <c r="G41" s="23">
        <v>-48.013229885324868</v>
      </c>
      <c r="H41" s="24">
        <v>-38.418585139193105</v>
      </c>
    </row>
    <row r="42" spans="1:9">
      <c r="A42" s="34"/>
      <c r="B42" s="35" t="s">
        <v>127</v>
      </c>
      <c r="C42" s="87">
        <v>9.2981024962680934</v>
      </c>
      <c r="D42" s="87">
        <v>6.2749829003037023</v>
      </c>
      <c r="E42" s="87">
        <v>4.1410969024503004</v>
      </c>
      <c r="F42" s="36"/>
      <c r="G42" s="42">
        <v>-55.462989313008968</v>
      </c>
      <c r="H42" s="24">
        <v>-34.006244028969775</v>
      </c>
    </row>
    <row r="43" spans="1:9">
      <c r="A43" s="30" t="s">
        <v>57</v>
      </c>
      <c r="B43" s="38" t="s">
        <v>3</v>
      </c>
      <c r="C43" s="88">
        <v>231.68631336202796</v>
      </c>
      <c r="D43" s="88">
        <v>203.93418468129383</v>
      </c>
      <c r="E43" s="88">
        <v>147.81307509420566</v>
      </c>
      <c r="F43" s="40" t="s">
        <v>224</v>
      </c>
      <c r="G43" s="41">
        <v>-36.20120543623301</v>
      </c>
      <c r="H43" s="33">
        <v>-27.519226202705369</v>
      </c>
    </row>
    <row r="44" spans="1:9">
      <c r="A44" s="34"/>
      <c r="B44" s="25" t="s">
        <v>127</v>
      </c>
      <c r="C44" s="86">
        <v>19.022291672663982</v>
      </c>
      <c r="D44" s="86">
        <v>22.802820960104889</v>
      </c>
      <c r="E44" s="86">
        <v>14.74862593840162</v>
      </c>
      <c r="F44" s="27"/>
      <c r="G44" s="28">
        <v>-22.466618679829423</v>
      </c>
      <c r="H44" s="29">
        <v>-35.321046618725987</v>
      </c>
    </row>
    <row r="45" spans="1:9">
      <c r="A45" s="30" t="s">
        <v>55</v>
      </c>
      <c r="B45" s="38" t="s">
        <v>3</v>
      </c>
      <c r="C45" s="88">
        <v>82.14896226088463</v>
      </c>
      <c r="D45" s="88">
        <v>79.097366733383652</v>
      </c>
      <c r="E45" s="88">
        <v>79.580698348802315</v>
      </c>
      <c r="F45" s="40" t="s">
        <v>224</v>
      </c>
      <c r="G45" s="41">
        <v>-3.1263497935934339</v>
      </c>
      <c r="H45" s="33">
        <v>0.61105904707024195</v>
      </c>
    </row>
    <row r="46" spans="1:9" ht="13.5" thickBot="1">
      <c r="A46" s="60"/>
      <c r="B46" s="46" t="s">
        <v>127</v>
      </c>
      <c r="C46" s="90">
        <v>7.8044715984619861</v>
      </c>
      <c r="D46" s="90">
        <v>11.262992775753707</v>
      </c>
      <c r="E46" s="90">
        <v>9.7162527673802082</v>
      </c>
      <c r="F46" s="48"/>
      <c r="G46" s="61">
        <v>24.495971889947981</v>
      </c>
      <c r="H46" s="50">
        <v>-13.732939718324488</v>
      </c>
    </row>
    <row r="47" spans="1:9">
      <c r="A47" s="62"/>
      <c r="B47" s="62"/>
      <c r="C47" s="21"/>
      <c r="D47" s="21"/>
      <c r="E47" s="21"/>
      <c r="F47" s="63"/>
      <c r="G47" s="42"/>
      <c r="H47" s="64"/>
      <c r="I47" s="65"/>
    </row>
    <row r="48" spans="1:9">
      <c r="A48" s="62"/>
      <c r="B48" s="66"/>
      <c r="C48" s="21"/>
      <c r="D48" s="21"/>
      <c r="E48" s="21"/>
      <c r="F48" s="67"/>
      <c r="G48" s="42"/>
      <c r="H48" s="64"/>
      <c r="I48" s="65"/>
    </row>
    <row r="49" spans="1:9">
      <c r="A49" s="62"/>
      <c r="B49" s="62"/>
      <c r="C49" s="21"/>
      <c r="D49" s="21"/>
      <c r="E49" s="117"/>
      <c r="F49" s="63"/>
      <c r="G49" s="42"/>
      <c r="H49" s="64"/>
      <c r="I49" s="65"/>
    </row>
    <row r="50" spans="1:9">
      <c r="A50" s="62"/>
      <c r="B50" s="66"/>
      <c r="C50" s="21"/>
      <c r="D50" s="21"/>
      <c r="E50" s="21"/>
      <c r="F50" s="67"/>
      <c r="G50" s="42"/>
      <c r="H50" s="64"/>
      <c r="I50" s="65"/>
    </row>
    <row r="51" spans="1:9">
      <c r="A51" s="62"/>
      <c r="B51" s="62"/>
      <c r="C51" s="21"/>
      <c r="D51" s="21"/>
      <c r="E51" s="21"/>
      <c r="F51" s="63"/>
      <c r="G51" s="42"/>
      <c r="H51" s="64"/>
      <c r="I51" s="65"/>
    </row>
    <row r="52" spans="1:9">
      <c r="A52" s="62"/>
      <c r="B52" s="66"/>
      <c r="C52" s="21"/>
      <c r="D52" s="21"/>
      <c r="E52" s="21"/>
      <c r="F52" s="67"/>
      <c r="G52" s="42"/>
      <c r="H52" s="64"/>
      <c r="I52" s="65"/>
    </row>
    <row r="53" spans="1:9">
      <c r="A53" s="62"/>
      <c r="B53" s="62"/>
      <c r="C53" s="21"/>
      <c r="D53" s="21"/>
      <c r="E53" s="21"/>
      <c r="F53" s="63"/>
      <c r="G53" s="42"/>
      <c r="H53" s="64"/>
      <c r="I53" s="65"/>
    </row>
    <row r="54" spans="1:9">
      <c r="A54" s="62"/>
      <c r="B54" s="66"/>
      <c r="C54" s="21"/>
      <c r="D54" s="21"/>
      <c r="E54" s="21"/>
      <c r="F54" s="67"/>
      <c r="G54" s="42"/>
      <c r="H54" s="64"/>
      <c r="I54" s="65"/>
    </row>
    <row r="55" spans="1:9">
      <c r="A55" s="62"/>
      <c r="B55" s="62"/>
      <c r="C55" s="21"/>
      <c r="D55" s="21"/>
      <c r="E55" s="21"/>
      <c r="F55" s="63"/>
      <c r="G55" s="42"/>
      <c r="H55" s="64"/>
      <c r="I55" s="65"/>
    </row>
    <row r="56" spans="1:9">
      <c r="A56" s="62"/>
      <c r="B56" s="66"/>
      <c r="C56" s="21"/>
      <c r="D56" s="21"/>
      <c r="E56" s="21"/>
      <c r="F56" s="67"/>
      <c r="G56" s="42"/>
      <c r="H56" s="64"/>
      <c r="I56" s="65"/>
    </row>
    <row r="57" spans="1:9">
      <c r="A57" s="62"/>
      <c r="B57" s="62"/>
      <c r="C57" s="68"/>
      <c r="D57" s="68"/>
      <c r="E57" s="21"/>
      <c r="F57" s="63"/>
      <c r="G57" s="42"/>
      <c r="H57" s="64"/>
      <c r="I57" s="65"/>
    </row>
    <row r="58" spans="1:9">
      <c r="A58" s="69"/>
      <c r="B58" s="66"/>
      <c r="C58" s="21"/>
      <c r="D58" s="21"/>
      <c r="E58" s="21"/>
      <c r="F58" s="67"/>
      <c r="G58" s="42"/>
      <c r="H58" s="64"/>
      <c r="I58" s="65"/>
    </row>
    <row r="59" spans="1:9">
      <c r="A59" s="51"/>
      <c r="B59" s="52"/>
      <c r="C59" s="53"/>
      <c r="D59" s="53"/>
      <c r="E59" s="53"/>
      <c r="F59" s="53"/>
      <c r="G59" s="54"/>
      <c r="H59" s="55"/>
    </row>
    <row r="60" spans="1:9">
      <c r="A60" s="56"/>
      <c r="B60" s="56"/>
      <c r="C60" s="56"/>
      <c r="D60" s="56"/>
      <c r="E60" s="56"/>
      <c r="F60" s="56"/>
      <c r="G60" s="56"/>
      <c r="H60" s="56"/>
    </row>
    <row r="61" spans="1:9" ht="12.75" customHeight="1">
      <c r="A61" s="150">
        <v>22</v>
      </c>
      <c r="H61" s="57" t="s">
        <v>225</v>
      </c>
    </row>
    <row r="62" spans="1:9" ht="12.75" customHeight="1">
      <c r="A62" s="151"/>
      <c r="H62" s="57" t="s">
        <v>226</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59"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178</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ht="12.75" customHeight="1">
      <c r="A7" s="155" t="s">
        <v>73</v>
      </c>
      <c r="B7" s="19" t="s">
        <v>3</v>
      </c>
      <c r="C7" s="20">
        <v>7847.1235164835161</v>
      </c>
      <c r="D7" s="20">
        <v>6707</v>
      </c>
      <c r="E7" s="83">
        <v>5705.1395709227018</v>
      </c>
      <c r="F7" s="22" t="s">
        <v>224</v>
      </c>
      <c r="G7" s="23">
        <v>-27.296421944441235</v>
      </c>
      <c r="H7" s="24">
        <v>-14.93753435332188</v>
      </c>
    </row>
    <row r="8" spans="1:8" ht="12.75" customHeight="1">
      <c r="A8" s="156"/>
      <c r="B8" s="25" t="s">
        <v>127</v>
      </c>
      <c r="C8" s="26">
        <v>1857.0920879120879</v>
      </c>
      <c r="D8" s="26">
        <v>1751.780879120879</v>
      </c>
      <c r="E8" s="26">
        <v>1440.3474725274725</v>
      </c>
      <c r="F8" s="27"/>
      <c r="G8" s="28">
        <v>-22.440708142435611</v>
      </c>
      <c r="H8" s="29">
        <v>-17.778102861226429</v>
      </c>
    </row>
    <row r="9" spans="1:8">
      <c r="A9" s="30" t="s">
        <v>58</v>
      </c>
      <c r="B9" s="31" t="s">
        <v>3</v>
      </c>
      <c r="C9" s="20">
        <v>7.123516483516483E-2</v>
      </c>
      <c r="D9" s="20">
        <v>3</v>
      </c>
      <c r="E9" s="21">
        <v>2.1684207069105943</v>
      </c>
      <c r="F9" s="22" t="s">
        <v>224</v>
      </c>
      <c r="G9" s="32">
        <v>2944.0312897825511</v>
      </c>
      <c r="H9" s="33">
        <v>-27.719309769646856</v>
      </c>
    </row>
    <row r="10" spans="1:8">
      <c r="A10" s="34"/>
      <c r="B10" s="35" t="s">
        <v>127</v>
      </c>
      <c r="C10" s="21">
        <v>0.32092087912087919</v>
      </c>
      <c r="D10" s="21">
        <v>1.0178087912087912</v>
      </c>
      <c r="E10" s="21">
        <v>1.0634747252747252</v>
      </c>
      <c r="F10" s="36"/>
      <c r="G10" s="37">
        <v>231.38221738266924</v>
      </c>
      <c r="H10" s="29">
        <v>4.4866908657469082</v>
      </c>
    </row>
    <row r="11" spans="1:8">
      <c r="A11" s="30" t="s">
        <v>59</v>
      </c>
      <c r="B11" s="38" t="s">
        <v>3</v>
      </c>
      <c r="C11" s="39">
        <v>488.07123516483517</v>
      </c>
      <c r="D11" s="39">
        <v>363</v>
      </c>
      <c r="E11" s="39">
        <v>337.04745010235433</v>
      </c>
      <c r="F11" s="40" t="s">
        <v>224</v>
      </c>
      <c r="G11" s="41">
        <v>-30.942980077790466</v>
      </c>
      <c r="H11" s="33">
        <v>-7.1494627817205725</v>
      </c>
    </row>
    <row r="12" spans="1:8">
      <c r="A12" s="34"/>
      <c r="B12" s="25" t="s">
        <v>127</v>
      </c>
      <c r="C12" s="26">
        <v>109.32092087912089</v>
      </c>
      <c r="D12" s="26">
        <v>79.017808791208793</v>
      </c>
      <c r="E12" s="26">
        <v>74.06347472527473</v>
      </c>
      <c r="F12" s="27"/>
      <c r="G12" s="28">
        <v>-32.251325611162088</v>
      </c>
      <c r="H12" s="29">
        <v>-6.2698955358595754</v>
      </c>
    </row>
    <row r="13" spans="1:8">
      <c r="A13" s="30" t="s">
        <v>75</v>
      </c>
      <c r="B13" s="31" t="s">
        <v>3</v>
      </c>
      <c r="C13" s="20">
        <v>49.142470329670331</v>
      </c>
      <c r="D13" s="20">
        <v>440</v>
      </c>
      <c r="E13" s="21">
        <v>84.108448974622931</v>
      </c>
      <c r="F13" s="22" t="s">
        <v>224</v>
      </c>
      <c r="G13" s="23">
        <v>71.152260784581443</v>
      </c>
      <c r="H13" s="24">
        <v>-80.884443414858424</v>
      </c>
    </row>
    <row r="14" spans="1:8">
      <c r="A14" s="34"/>
      <c r="B14" s="35" t="s">
        <v>127</v>
      </c>
      <c r="C14" s="21">
        <v>9.6418417582417568</v>
      </c>
      <c r="D14" s="21">
        <v>29.035617582417583</v>
      </c>
      <c r="E14" s="21">
        <v>7.1269494505494508</v>
      </c>
      <c r="F14" s="36"/>
      <c r="G14" s="42">
        <v>-26.083111201680936</v>
      </c>
      <c r="H14" s="24">
        <v>-75.454458888915966</v>
      </c>
    </row>
    <row r="15" spans="1:8">
      <c r="A15" s="30" t="s">
        <v>60</v>
      </c>
      <c r="B15" s="38" t="s">
        <v>3</v>
      </c>
      <c r="C15" s="39">
        <v>5675.4823999999999</v>
      </c>
      <c r="D15" s="39">
        <v>4775</v>
      </c>
      <c r="E15" s="39">
        <v>4437.5081317519507</v>
      </c>
      <c r="F15" s="40" t="s">
        <v>224</v>
      </c>
      <c r="G15" s="41">
        <v>-21.81267037755326</v>
      </c>
      <c r="H15" s="33">
        <v>-7.0678925287549532</v>
      </c>
    </row>
    <row r="16" spans="1:8">
      <c r="A16" s="34"/>
      <c r="B16" s="25" t="s">
        <v>127</v>
      </c>
      <c r="C16" s="26">
        <v>1382.2038</v>
      </c>
      <c r="D16" s="26">
        <v>1274.6206</v>
      </c>
      <c r="E16" s="26">
        <v>1147.7762</v>
      </c>
      <c r="F16" s="27"/>
      <c r="G16" s="28">
        <v>-16.96042218954976</v>
      </c>
      <c r="H16" s="29">
        <v>-9.951541658749278</v>
      </c>
    </row>
    <row r="17" spans="1:9">
      <c r="A17" s="30" t="s">
        <v>76</v>
      </c>
      <c r="B17" s="38" t="s">
        <v>3</v>
      </c>
      <c r="C17" s="39">
        <v>1012.1424703296703</v>
      </c>
      <c r="D17" s="39">
        <v>426</v>
      </c>
      <c r="E17" s="39">
        <v>177.13378919812868</v>
      </c>
      <c r="F17" s="40" t="s">
        <v>224</v>
      </c>
      <c r="G17" s="41">
        <v>-82.499124936390274</v>
      </c>
      <c r="H17" s="33">
        <v>-58.419298310298437</v>
      </c>
    </row>
    <row r="18" spans="1:9">
      <c r="A18" s="30"/>
      <c r="B18" s="25" t="s">
        <v>127</v>
      </c>
      <c r="C18" s="26">
        <v>136.64184175824178</v>
      </c>
      <c r="D18" s="26">
        <v>195.03561758241759</v>
      </c>
      <c r="E18" s="26">
        <v>45.126949450549454</v>
      </c>
      <c r="F18" s="27"/>
      <c r="G18" s="28">
        <v>-66.97428191110609</v>
      </c>
      <c r="H18" s="29">
        <v>-76.862200858527885</v>
      </c>
    </row>
    <row r="19" spans="1:9">
      <c r="A19" s="43" t="s">
        <v>61</v>
      </c>
      <c r="B19" s="31" t="s">
        <v>3</v>
      </c>
      <c r="C19" s="20">
        <v>29.071235164835166</v>
      </c>
      <c r="D19" s="20">
        <v>15</v>
      </c>
      <c r="E19" s="21">
        <v>20.708775499700529</v>
      </c>
      <c r="F19" s="22" t="s">
        <v>224</v>
      </c>
      <c r="G19" s="23">
        <v>-28.765408892051298</v>
      </c>
      <c r="H19" s="24">
        <v>38.05850333133688</v>
      </c>
    </row>
    <row r="20" spans="1:9">
      <c r="A20" s="34"/>
      <c r="B20" s="35" t="s">
        <v>127</v>
      </c>
      <c r="C20" s="21">
        <v>10.320920879120878</v>
      </c>
      <c r="D20" s="21">
        <v>5.0178087912087914</v>
      </c>
      <c r="E20" s="21">
        <v>7.063474725274725</v>
      </c>
      <c r="F20" s="36"/>
      <c r="G20" s="42">
        <v>-31.561584397337413</v>
      </c>
      <c r="H20" s="24">
        <v>40.768112520547675</v>
      </c>
    </row>
    <row r="21" spans="1:9">
      <c r="A21" s="43" t="s">
        <v>77</v>
      </c>
      <c r="B21" s="38" t="s">
        <v>3</v>
      </c>
      <c r="C21" s="39">
        <v>89.071235164835159</v>
      </c>
      <c r="D21" s="39">
        <v>94</v>
      </c>
      <c r="E21" s="39">
        <v>74.862692829182308</v>
      </c>
      <c r="F21" s="40" t="s">
        <v>224</v>
      </c>
      <c r="G21" s="41">
        <v>-15.951886497766125</v>
      </c>
      <c r="H21" s="33">
        <v>-20.358837415763503</v>
      </c>
    </row>
    <row r="22" spans="1:9">
      <c r="A22" s="34"/>
      <c r="B22" s="25" t="s">
        <v>127</v>
      </c>
      <c r="C22" s="26">
        <v>15.320920879120878</v>
      </c>
      <c r="D22" s="26">
        <v>23.01780879120879</v>
      </c>
      <c r="E22" s="26">
        <v>16.063474725274727</v>
      </c>
      <c r="F22" s="27"/>
      <c r="G22" s="28">
        <v>4.8466658891619829</v>
      </c>
      <c r="H22" s="29">
        <v>-30.212841409083808</v>
      </c>
    </row>
    <row r="23" spans="1:9">
      <c r="A23" s="30" t="s">
        <v>78</v>
      </c>
      <c r="B23" s="31" t="s">
        <v>3</v>
      </c>
      <c r="C23" s="20">
        <v>528.07123516483512</v>
      </c>
      <c r="D23" s="20">
        <v>605</v>
      </c>
      <c r="E23" s="21">
        <v>444.63680480148031</v>
      </c>
      <c r="F23" s="22" t="s">
        <v>224</v>
      </c>
      <c r="G23" s="23">
        <v>-15.799843810335773</v>
      </c>
      <c r="H23" s="24">
        <v>-26.506313255953671</v>
      </c>
    </row>
    <row r="24" spans="1:9" ht="13.5" thickBot="1">
      <c r="A24" s="60"/>
      <c r="B24" s="46" t="s">
        <v>127</v>
      </c>
      <c r="C24" s="47">
        <v>197.32092087912088</v>
      </c>
      <c r="D24" s="47">
        <v>182.01780879120878</v>
      </c>
      <c r="E24" s="47">
        <v>143.06347472527472</v>
      </c>
      <c r="F24" s="48"/>
      <c r="G24" s="61">
        <v>-27.497057033848108</v>
      </c>
      <c r="H24" s="50">
        <v>-21.401386119650681</v>
      </c>
    </row>
    <row r="25" spans="1:9">
      <c r="A25" s="62"/>
      <c r="B25" s="62"/>
      <c r="C25" s="68"/>
      <c r="D25" s="68"/>
      <c r="E25" s="21"/>
      <c r="F25" s="63"/>
      <c r="G25" s="42"/>
      <c r="H25" s="64"/>
      <c r="I25" s="65"/>
    </row>
    <row r="26" spans="1:9">
      <c r="A26" s="62"/>
      <c r="B26" s="62"/>
      <c r="C26" s="68"/>
      <c r="D26" s="68"/>
      <c r="E26" s="21"/>
      <c r="F26" s="63"/>
      <c r="G26" s="42"/>
      <c r="H26" s="64"/>
      <c r="I26" s="65"/>
    </row>
    <row r="27" spans="1:9">
      <c r="A27" s="62"/>
      <c r="B27" s="62"/>
      <c r="C27" s="68"/>
      <c r="D27" s="68"/>
      <c r="E27" s="21"/>
      <c r="F27" s="63"/>
      <c r="G27" s="42"/>
      <c r="H27" s="64"/>
      <c r="I27" s="65"/>
    </row>
    <row r="28" spans="1:9">
      <c r="A28" s="62"/>
      <c r="B28" s="62"/>
      <c r="C28" s="68"/>
      <c r="D28" s="68"/>
      <c r="E28" s="21"/>
      <c r="F28" s="63"/>
      <c r="G28" s="42"/>
      <c r="H28" s="64"/>
      <c r="I28" s="65"/>
    </row>
    <row r="29" spans="1:9">
      <c r="A29" s="62"/>
      <c r="B29" s="62"/>
      <c r="C29" s="68"/>
      <c r="D29" s="68"/>
      <c r="E29" s="21"/>
      <c r="F29" s="63"/>
      <c r="G29" s="42"/>
      <c r="H29" s="64"/>
      <c r="I29" s="65"/>
    </row>
    <row r="30" spans="1:9">
      <c r="A30" s="69"/>
      <c r="B30" s="66"/>
      <c r="C30" s="21"/>
      <c r="D30" s="21"/>
      <c r="E30" s="21"/>
      <c r="F30" s="67"/>
      <c r="G30" s="42"/>
      <c r="H30" s="64"/>
      <c r="I30" s="65"/>
    </row>
    <row r="31" spans="1:9">
      <c r="A31" s="51"/>
      <c r="B31" s="52"/>
      <c r="C31" s="53"/>
      <c r="D31" s="59"/>
      <c r="E31" s="53"/>
      <c r="F31" s="53"/>
      <c r="G31" s="54"/>
      <c r="H31" s="55"/>
      <c r="I31" s="65"/>
    </row>
    <row r="32" spans="1:9" ht="16.5" thickBot="1">
      <c r="A32" s="4" t="s">
        <v>74</v>
      </c>
      <c r="B32" s="5"/>
      <c r="C32" s="5"/>
      <c r="D32" s="5"/>
      <c r="E32" s="5"/>
      <c r="F32" s="5"/>
      <c r="G32" s="5"/>
      <c r="H32" s="6"/>
    </row>
    <row r="33" spans="1:8">
      <c r="A33" s="7"/>
      <c r="B33" s="8"/>
      <c r="C33" s="159" t="s">
        <v>16</v>
      </c>
      <c r="D33" s="153"/>
      <c r="E33" s="153"/>
      <c r="F33" s="160"/>
      <c r="G33" s="153" t="s">
        <v>1</v>
      </c>
      <c r="H33" s="154"/>
    </row>
    <row r="34" spans="1:8">
      <c r="A34" s="12"/>
      <c r="B34" s="13"/>
      <c r="C34" s="14">
        <v>2011</v>
      </c>
      <c r="D34" s="15">
        <v>2012</v>
      </c>
      <c r="E34" s="15">
        <v>2013</v>
      </c>
      <c r="F34" s="16"/>
      <c r="G34" s="17" t="s">
        <v>222</v>
      </c>
      <c r="H34" s="18" t="s">
        <v>223</v>
      </c>
    </row>
    <row r="35" spans="1:8" ht="12.75" customHeight="1">
      <c r="A35" s="155" t="s">
        <v>73</v>
      </c>
      <c r="B35" s="19" t="s">
        <v>3</v>
      </c>
      <c r="C35" s="84">
        <v>780.30053224084452</v>
      </c>
      <c r="D35" s="84">
        <v>924.24003950207214</v>
      </c>
      <c r="E35" s="85">
        <v>920.58596246327397</v>
      </c>
      <c r="F35" s="22" t="s">
        <v>224</v>
      </c>
      <c r="G35" s="23">
        <v>17.978384535963571</v>
      </c>
      <c r="H35" s="24">
        <v>-0.39536017513013633</v>
      </c>
    </row>
    <row r="36" spans="1:8" ht="12.75" customHeight="1">
      <c r="A36" s="156"/>
      <c r="B36" s="25" t="s">
        <v>127</v>
      </c>
      <c r="C36" s="86">
        <v>177.62726986279887</v>
      </c>
      <c r="D36" s="86">
        <v>207.81839803160429</v>
      </c>
      <c r="E36" s="86">
        <v>207.84476701898808</v>
      </c>
      <c r="F36" s="27"/>
      <c r="G36" s="28">
        <v>17.011744412628488</v>
      </c>
      <c r="H36" s="29">
        <v>1.2688475916263542E-2</v>
      </c>
    </row>
    <row r="37" spans="1:8">
      <c r="A37" s="30" t="s">
        <v>58</v>
      </c>
      <c r="B37" s="31" t="s">
        <v>3</v>
      </c>
      <c r="C37" s="84">
        <v>1.99525234674124</v>
      </c>
      <c r="D37" s="84">
        <v>1.2770496953887258</v>
      </c>
      <c r="E37" s="87">
        <v>0.83867646128302087</v>
      </c>
      <c r="F37" s="22" t="s">
        <v>224</v>
      </c>
      <c r="G37" s="32">
        <v>-57.966396448409391</v>
      </c>
      <c r="H37" s="33">
        <v>-34.32703016089495</v>
      </c>
    </row>
    <row r="38" spans="1:8">
      <c r="A38" s="34"/>
      <c r="B38" s="35" t="s">
        <v>127</v>
      </c>
      <c r="C38" s="87">
        <v>0.74176062087508055</v>
      </c>
      <c r="D38" s="87">
        <v>0.42745039972428295</v>
      </c>
      <c r="E38" s="87">
        <v>0.29036417827942301</v>
      </c>
      <c r="F38" s="36"/>
      <c r="G38" s="37">
        <v>-60.854732631011018</v>
      </c>
      <c r="H38" s="29">
        <v>-32.070673353746841</v>
      </c>
    </row>
    <row r="39" spans="1:8">
      <c r="A39" s="30" t="s">
        <v>59</v>
      </c>
      <c r="B39" s="38" t="s">
        <v>3</v>
      </c>
      <c r="C39" s="88">
        <v>29.049704442313956</v>
      </c>
      <c r="D39" s="88">
        <v>27.506265535160949</v>
      </c>
      <c r="E39" s="88">
        <v>36.353948399186343</v>
      </c>
      <c r="F39" s="40" t="s">
        <v>224</v>
      </c>
      <c r="G39" s="41">
        <v>25.143952742710127</v>
      </c>
      <c r="H39" s="33">
        <v>32.166063592731263</v>
      </c>
    </row>
    <row r="40" spans="1:8">
      <c r="A40" s="34"/>
      <c r="B40" s="25" t="s">
        <v>127</v>
      </c>
      <c r="C40" s="86">
        <v>5.9584810615219155</v>
      </c>
      <c r="D40" s="86">
        <v>6.2538821794885955</v>
      </c>
      <c r="E40" s="86">
        <v>7.9770832906420832</v>
      </c>
      <c r="F40" s="27"/>
      <c r="G40" s="28">
        <v>33.877798859774771</v>
      </c>
      <c r="H40" s="29">
        <v>27.554102582955949</v>
      </c>
    </row>
    <row r="41" spans="1:8">
      <c r="A41" s="30" t="s">
        <v>75</v>
      </c>
      <c r="B41" s="31" t="s">
        <v>3</v>
      </c>
      <c r="C41" s="84">
        <v>4.4745184853943591</v>
      </c>
      <c r="D41" s="84">
        <v>71.695448421688639</v>
      </c>
      <c r="E41" s="87">
        <v>273.27678354636259</v>
      </c>
      <c r="F41" s="22" t="s">
        <v>224</v>
      </c>
      <c r="G41" s="23">
        <v>6007.4009290248241</v>
      </c>
      <c r="H41" s="24">
        <v>281.16336470767294</v>
      </c>
    </row>
    <row r="42" spans="1:8">
      <c r="A42" s="34"/>
      <c r="B42" s="35" t="s">
        <v>127</v>
      </c>
      <c r="C42" s="87">
        <v>1.328336058788381</v>
      </c>
      <c r="D42" s="87">
        <v>1.7169287461651197</v>
      </c>
      <c r="E42" s="87">
        <v>9.4358706405700534</v>
      </c>
      <c r="F42" s="36"/>
      <c r="G42" s="42">
        <v>610.35266852401958</v>
      </c>
      <c r="H42" s="24">
        <v>449.57846454873152</v>
      </c>
    </row>
    <row r="43" spans="1:8">
      <c r="A43" s="30" t="s">
        <v>60</v>
      </c>
      <c r="B43" s="38" t="s">
        <v>3</v>
      </c>
      <c r="C43" s="88">
        <v>530.41353758354671</v>
      </c>
      <c r="D43" s="88">
        <v>611.61889912667959</v>
      </c>
      <c r="E43" s="88">
        <v>613.55763252358486</v>
      </c>
      <c r="F43" s="40" t="s">
        <v>224</v>
      </c>
      <c r="G43" s="41">
        <v>15.67533425312358</v>
      </c>
      <c r="H43" s="33">
        <v>0.31698389302121655</v>
      </c>
    </row>
    <row r="44" spans="1:8">
      <c r="A44" s="34"/>
      <c r="B44" s="25" t="s">
        <v>127</v>
      </c>
      <c r="C44" s="86">
        <v>121.56475573222089</v>
      </c>
      <c r="D44" s="86">
        <v>136.69110498194271</v>
      </c>
      <c r="E44" s="86">
        <v>138.27026537058566</v>
      </c>
      <c r="F44" s="27"/>
      <c r="G44" s="28">
        <v>13.742066553535608</v>
      </c>
      <c r="H44" s="29">
        <v>1.1552766281694602</v>
      </c>
    </row>
    <row r="45" spans="1:8">
      <c r="A45" s="30" t="s">
        <v>76</v>
      </c>
      <c r="B45" s="38" t="s">
        <v>3</v>
      </c>
      <c r="C45" s="88">
        <v>138.78201122418292</v>
      </c>
      <c r="D45" s="88">
        <v>95.738799072321569</v>
      </c>
      <c r="E45" s="88">
        <v>71.802964577560388</v>
      </c>
      <c r="F45" s="40" t="s">
        <v>224</v>
      </c>
      <c r="G45" s="41">
        <v>-48.262052160655934</v>
      </c>
      <c r="H45" s="33">
        <v>-25.001185231788767</v>
      </c>
    </row>
    <row r="46" spans="1:8">
      <c r="A46" s="30"/>
      <c r="B46" s="25" t="s">
        <v>127</v>
      </c>
      <c r="C46" s="86">
        <v>27.717473079906945</v>
      </c>
      <c r="D46" s="86">
        <v>38.174426107761001</v>
      </c>
      <c r="E46" s="86">
        <v>21.491709784468053</v>
      </c>
      <c r="F46" s="27"/>
      <c r="G46" s="28">
        <v>-22.461511110665043</v>
      </c>
      <c r="H46" s="29">
        <v>-43.701289120103603</v>
      </c>
    </row>
    <row r="47" spans="1:8">
      <c r="A47" s="43" t="s">
        <v>61</v>
      </c>
      <c r="B47" s="31" t="s">
        <v>3</v>
      </c>
      <c r="C47" s="84">
        <v>7.4741812116626827</v>
      </c>
      <c r="D47" s="84">
        <v>6.6453368072366086</v>
      </c>
      <c r="E47" s="87">
        <v>7.4568120046603177</v>
      </c>
      <c r="F47" s="22" t="s">
        <v>224</v>
      </c>
      <c r="G47" s="23">
        <v>-0.23238942849368982</v>
      </c>
      <c r="H47" s="24">
        <v>12.211197430053986</v>
      </c>
    </row>
    <row r="48" spans="1:8">
      <c r="A48" s="34"/>
      <c r="B48" s="35" t="s">
        <v>127</v>
      </c>
      <c r="C48" s="87">
        <v>2.2749168049585315</v>
      </c>
      <c r="D48" s="87">
        <v>1.4878655662005691</v>
      </c>
      <c r="E48" s="87">
        <v>1.8309130553865758</v>
      </c>
      <c r="F48" s="36"/>
      <c r="G48" s="42">
        <v>-19.517362068106465</v>
      </c>
      <c r="H48" s="24">
        <v>23.05634977910114</v>
      </c>
    </row>
    <row r="49" spans="1:9">
      <c r="A49" s="43" t="s">
        <v>77</v>
      </c>
      <c r="B49" s="38" t="s">
        <v>3</v>
      </c>
      <c r="C49" s="88">
        <v>6.1810382469384919</v>
      </c>
      <c r="D49" s="88">
        <v>5.9436803538543295</v>
      </c>
      <c r="E49" s="88">
        <v>5.4782073178995141</v>
      </c>
      <c r="F49" s="40" t="s">
        <v>224</v>
      </c>
      <c r="G49" s="41">
        <v>-11.370758454489334</v>
      </c>
      <c r="H49" s="33">
        <v>-7.8313941572071144</v>
      </c>
    </row>
    <row r="50" spans="1:9">
      <c r="A50" s="34"/>
      <c r="B50" s="25" t="s">
        <v>127</v>
      </c>
      <c r="C50" s="86">
        <v>1.0911973049402073</v>
      </c>
      <c r="D50" s="86">
        <v>2.5935113146348092</v>
      </c>
      <c r="E50" s="86">
        <v>1.6036975813467824</v>
      </c>
      <c r="F50" s="27"/>
      <c r="G50" s="28">
        <v>46.966783558419621</v>
      </c>
      <c r="H50" s="29">
        <v>-38.165005400310037</v>
      </c>
    </row>
    <row r="51" spans="1:9">
      <c r="A51" s="30" t="s">
        <v>78</v>
      </c>
      <c r="B51" s="31" t="s">
        <v>3</v>
      </c>
      <c r="C51" s="84">
        <v>61.930288700064132</v>
      </c>
      <c r="D51" s="84">
        <v>103.81456048974152</v>
      </c>
      <c r="E51" s="87">
        <v>123.90256529599949</v>
      </c>
      <c r="F51" s="22" t="s">
        <v>224</v>
      </c>
      <c r="G51" s="23">
        <v>100.06779864385032</v>
      </c>
      <c r="H51" s="24">
        <v>19.349891490647849</v>
      </c>
    </row>
    <row r="52" spans="1:9" ht="13.5" thickBot="1">
      <c r="A52" s="60"/>
      <c r="B52" s="46" t="s">
        <v>127</v>
      </c>
      <c r="C52" s="90">
        <v>16.950349199586917</v>
      </c>
      <c r="D52" s="90">
        <v>20.473228735687183</v>
      </c>
      <c r="E52" s="90">
        <v>26.944863117709449</v>
      </c>
      <c r="F52" s="48"/>
      <c r="G52" s="61">
        <v>58.963469132341544</v>
      </c>
      <c r="H52" s="50">
        <v>31.610228487026404</v>
      </c>
    </row>
    <row r="53" spans="1:9">
      <c r="A53" s="69"/>
      <c r="B53" s="66"/>
      <c r="C53" s="21"/>
      <c r="D53" s="21"/>
      <c r="E53" s="21"/>
      <c r="F53" s="67"/>
      <c r="G53" s="42"/>
      <c r="H53" s="64"/>
      <c r="I53" s="65"/>
    </row>
    <row r="54" spans="1:9">
      <c r="A54" s="69"/>
      <c r="B54" s="66"/>
      <c r="C54" s="21"/>
      <c r="D54" s="21"/>
      <c r="E54" s="21"/>
      <c r="F54" s="67"/>
      <c r="G54" s="42"/>
      <c r="H54" s="64"/>
      <c r="I54" s="65"/>
    </row>
    <row r="55" spans="1:9">
      <c r="A55" s="69"/>
      <c r="B55" s="66"/>
      <c r="C55" s="21"/>
      <c r="D55" s="21"/>
      <c r="E55" s="21"/>
      <c r="F55" s="67"/>
      <c r="G55" s="42"/>
      <c r="H55" s="64"/>
      <c r="I55" s="65"/>
    </row>
    <row r="56" spans="1:9">
      <c r="A56" s="69"/>
      <c r="B56" s="66"/>
      <c r="C56" s="21"/>
      <c r="D56" s="21"/>
      <c r="E56" s="21"/>
      <c r="F56" s="67"/>
      <c r="G56" s="42"/>
      <c r="H56" s="64"/>
      <c r="I56" s="65"/>
    </row>
    <row r="57" spans="1:9">
      <c r="A57" s="69"/>
      <c r="B57" s="66"/>
      <c r="C57" s="21"/>
      <c r="D57" s="21"/>
      <c r="E57" s="21"/>
      <c r="F57" s="67"/>
      <c r="G57" s="42"/>
      <c r="H57" s="64"/>
      <c r="I57" s="65"/>
    </row>
    <row r="58" spans="1:9">
      <c r="A58" s="69"/>
      <c r="B58" s="66"/>
      <c r="C58" s="21"/>
      <c r="D58" s="21"/>
      <c r="E58" s="21"/>
      <c r="F58" s="67"/>
      <c r="G58" s="42"/>
      <c r="H58" s="64"/>
      <c r="I58" s="65"/>
    </row>
    <row r="59" spans="1:9">
      <c r="A59" s="51"/>
      <c r="B59" s="52"/>
      <c r="C59" s="53"/>
      <c r="D59" s="53"/>
      <c r="E59" s="53"/>
      <c r="F59" s="53"/>
      <c r="G59" s="54"/>
      <c r="H59" s="55"/>
      <c r="I59" s="65"/>
    </row>
    <row r="60" spans="1:9">
      <c r="A60" s="56"/>
      <c r="B60" s="56"/>
      <c r="C60" s="56"/>
      <c r="D60" s="56"/>
      <c r="E60" s="56"/>
      <c r="F60" s="56"/>
      <c r="G60" s="56"/>
      <c r="H60" s="56"/>
    </row>
    <row r="61" spans="1:9" ht="12.75" customHeight="1">
      <c r="A61" s="58" t="s">
        <v>225</v>
      </c>
      <c r="G61" s="57"/>
      <c r="H61" s="158">
        <v>23</v>
      </c>
    </row>
    <row r="62" spans="1:9" ht="12.75" customHeight="1">
      <c r="A62" s="58" t="s">
        <v>226</v>
      </c>
      <c r="G62" s="57"/>
      <c r="H62" s="149"/>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62"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N147"/>
  <sheetViews>
    <sheetView showGridLines="0" showRowColHeaders="0" tabSelected="1" topLeftCell="A4" zoomScaleNormal="100" workbookViewId="0"/>
  </sheetViews>
  <sheetFormatPr baseColWidth="10" defaultColWidth="11.42578125" defaultRowHeight="12.75"/>
  <cols>
    <col min="1" max="1" width="11.28515625" style="93" customWidth="1"/>
    <col min="2" max="2" width="27.140625" style="1" customWidth="1"/>
    <col min="3" max="5" width="10.7109375" style="1" customWidth="1"/>
    <col min="6" max="8" width="7.7109375" style="1" customWidth="1"/>
    <col min="9" max="16384" width="11.42578125" style="1"/>
  </cols>
  <sheetData>
    <row r="1" spans="1:8" ht="5.25" customHeight="1"/>
    <row r="2" spans="1:8">
      <c r="B2" s="2"/>
      <c r="C2" s="2"/>
      <c r="D2" s="2"/>
      <c r="E2" s="2"/>
      <c r="F2" s="2"/>
      <c r="G2" s="2"/>
    </row>
    <row r="3" spans="1:8" ht="6" customHeight="1">
      <c r="A3" s="94"/>
      <c r="B3" s="2"/>
      <c r="C3" s="2"/>
      <c r="D3" s="2"/>
      <c r="E3" s="2"/>
      <c r="F3" s="2"/>
      <c r="G3" s="2"/>
    </row>
    <row r="4" spans="1:8" ht="15.75" customHeight="1">
      <c r="A4" s="94"/>
      <c r="C4" s="78"/>
      <c r="D4" s="78" t="s">
        <v>105</v>
      </c>
      <c r="E4" s="78"/>
      <c r="F4" s="78"/>
      <c r="G4" s="78"/>
      <c r="H4" s="78"/>
    </row>
    <row r="5" spans="1:8" ht="15.75" customHeight="1">
      <c r="A5" s="94"/>
      <c r="B5" s="79"/>
      <c r="C5" s="78"/>
      <c r="D5" s="78"/>
      <c r="E5" s="78"/>
      <c r="F5" s="78"/>
      <c r="G5" s="78"/>
      <c r="H5" s="78"/>
    </row>
    <row r="6" spans="1:8" ht="15.75" customHeight="1">
      <c r="A6" s="94"/>
      <c r="B6" s="77"/>
      <c r="C6" s="77"/>
      <c r="D6" s="77"/>
      <c r="E6" s="77"/>
      <c r="F6" s="77"/>
      <c r="G6" s="77"/>
      <c r="H6" s="77"/>
    </row>
    <row r="7" spans="1:8" ht="15.75" customHeight="1">
      <c r="A7" s="94"/>
      <c r="B7" s="77"/>
      <c r="C7" s="77"/>
      <c r="D7" s="77"/>
      <c r="E7" s="77"/>
      <c r="F7" s="77"/>
      <c r="G7" s="77"/>
      <c r="H7" s="77"/>
    </row>
    <row r="8" spans="1:8" ht="15.75" customHeight="1">
      <c r="A8" s="95" t="s">
        <v>133</v>
      </c>
      <c r="B8" s="77" t="s">
        <v>106</v>
      </c>
      <c r="C8" s="77"/>
      <c r="D8" s="77"/>
      <c r="E8" s="77"/>
      <c r="F8" s="77"/>
      <c r="G8" s="77"/>
      <c r="H8" s="80">
        <v>3</v>
      </c>
    </row>
    <row r="9" spans="1:8" ht="15.75" customHeight="1">
      <c r="B9" s="77"/>
      <c r="C9" s="77"/>
      <c r="D9" s="77"/>
      <c r="E9" s="77"/>
      <c r="F9" s="77"/>
      <c r="G9" s="77"/>
      <c r="H9" s="80"/>
    </row>
    <row r="10" spans="1:8" ht="15.75" customHeight="1">
      <c r="B10" s="77" t="s">
        <v>107</v>
      </c>
      <c r="C10" s="77"/>
      <c r="D10" s="77"/>
      <c r="E10" s="77"/>
      <c r="F10" s="77"/>
      <c r="G10" s="77"/>
      <c r="H10" s="80"/>
    </row>
    <row r="11" spans="1:8" ht="15.75" customHeight="1">
      <c r="A11" s="95" t="s">
        <v>134</v>
      </c>
      <c r="B11" s="77" t="str">
        <f>+'Tab2'!A6&amp;" ……………………………………………"</f>
        <v>Figur 1. Antall meldte skader etter bransjer 1.kvartal ……………………………………………</v>
      </c>
      <c r="C11" s="77"/>
      <c r="D11" s="77"/>
      <c r="E11" s="77"/>
      <c r="F11" s="77"/>
      <c r="G11" s="77"/>
      <c r="H11" s="80">
        <v>4</v>
      </c>
    </row>
    <row r="12" spans="1:8" ht="15.75" customHeight="1">
      <c r="B12" s="77" t="str">
        <f>+'Tab2'!A32&amp;" ……………………………"</f>
        <v>Figur 2. Antall meldte skader etter bransjer 1.kvartal ……………………………</v>
      </c>
      <c r="C12" s="77"/>
      <c r="D12" s="77"/>
      <c r="E12" s="77"/>
      <c r="F12" s="77"/>
      <c r="G12" s="77"/>
      <c r="H12" s="80">
        <v>4</v>
      </c>
    </row>
    <row r="13" spans="1:8" ht="15.75" customHeight="1">
      <c r="B13" s="77" t="str">
        <f>+'Tab2'!I6&amp;"  ………………………………………………………………………………………………….."</f>
        <v>Figur 3. Anslått erstatning etter bransje, pr. 1.kvartal  …………………………………………………………………………………………………..</v>
      </c>
      <c r="C13" s="77"/>
      <c r="D13" s="77"/>
      <c r="E13" s="77"/>
      <c r="F13" s="77"/>
      <c r="G13" s="77"/>
      <c r="H13" s="80">
        <v>5</v>
      </c>
    </row>
    <row r="14" spans="1:8" ht="15.75" customHeight="1">
      <c r="B14" s="77" t="str">
        <f>+'Tab2'!I32&amp;"  ………………………………………………………………………………………………….."</f>
        <v>Figur 4. Vannskader pr. kvartal  …………………………………………………………………………………………………..</v>
      </c>
      <c r="C14" s="77"/>
      <c r="D14" s="77"/>
      <c r="E14" s="77"/>
      <c r="F14" s="77"/>
      <c r="G14" s="77"/>
      <c r="H14" s="80">
        <v>5</v>
      </c>
    </row>
    <row r="15" spans="1:8" ht="15.75" customHeight="1">
      <c r="B15" s="77" t="str">
        <f>+'Tab2'!P6&amp;" ……………………………"</f>
        <v>Figur 5. Antall meldte skader i motorvogn kvartalsvis (i 1000) ……………………………</v>
      </c>
      <c r="C15" s="77"/>
      <c r="D15" s="77"/>
      <c r="E15" s="77"/>
      <c r="F15" s="77"/>
      <c r="G15" s="77"/>
      <c r="H15" s="80">
        <v>6</v>
      </c>
    </row>
    <row r="16" spans="1:8" ht="15.75" customHeight="1">
      <c r="B16" s="77" t="str">
        <f>+'Tab2'!P32&amp;" ……………………………"</f>
        <v>Figur 6. Anslått erstatning etter skadetype, motorvogn 1.kvartal 2013 ……………………………</v>
      </c>
      <c r="C16" s="77"/>
      <c r="D16" s="77"/>
      <c r="E16" s="77"/>
      <c r="F16" s="77"/>
      <c r="G16" s="77"/>
      <c r="H16" s="80">
        <v>6</v>
      </c>
    </row>
    <row r="17" spans="1:14" ht="15.75" customHeight="1">
      <c r="B17" s="77" t="str">
        <f>+'Tab2'!W6&amp;" ……………………………………………………………"</f>
        <v>Figur 7. Antall meldte skader i de Brann-kombinerte bransjer etter skadetype 1.kvartal ……………………………………………………………</v>
      </c>
      <c r="C17" s="77"/>
      <c r="D17" s="77"/>
      <c r="E17" s="77"/>
      <c r="F17" s="77"/>
      <c r="G17" s="77"/>
      <c r="H17" s="80">
        <v>7</v>
      </c>
    </row>
    <row r="18" spans="1:14" ht="15.75" customHeight="1">
      <c r="B18" s="77" t="str">
        <f>+'Tab2'!W32&amp;" ……………………………………………………………"</f>
        <v>Figur 8. Anslått erstatning i de Brann-kombinerte bransjer etter skadetype 1.kvartal ……………………………………………………………</v>
      </c>
      <c r="C18" s="77"/>
      <c r="D18" s="77"/>
      <c r="E18" s="77"/>
      <c r="F18" s="77"/>
      <c r="G18" s="77"/>
      <c r="H18" s="80">
        <v>7</v>
      </c>
    </row>
    <row r="19" spans="1:14" ht="15.75" customHeight="1">
      <c r="B19" s="77" t="str">
        <f>+'Tab2'!AD6&amp;"  ………………………………………………………………………………………………….."</f>
        <v>Figur 9. Brannskader pr. kvartal  …………………………………………………………………………………………………..</v>
      </c>
      <c r="C19" s="77"/>
      <c r="D19" s="77"/>
      <c r="E19" s="77"/>
      <c r="F19" s="77"/>
      <c r="G19" s="77"/>
      <c r="H19" s="80">
        <v>8</v>
      </c>
    </row>
    <row r="20" spans="1:14" ht="15.75" customHeight="1">
      <c r="B20" s="77" t="str">
        <f>+'Tab2'!AD32&amp;"  ………………………………………………………………………………………………….."</f>
        <v>Figur 10. Innbrudd, tyverier og ran pr. kvartal  …………………………………………………………………………………………………..</v>
      </c>
      <c r="C20" s="77"/>
      <c r="D20" s="77"/>
      <c r="E20" s="77"/>
      <c r="F20" s="77"/>
      <c r="G20" s="77"/>
      <c r="H20" s="80">
        <v>8</v>
      </c>
    </row>
    <row r="21" spans="1:14" ht="15.75" customHeight="1"/>
    <row r="22" spans="1:14" ht="15.75" customHeight="1">
      <c r="B22" s="77" t="s">
        <v>108</v>
      </c>
      <c r="C22" s="77"/>
      <c r="D22" s="77"/>
      <c r="E22" s="77"/>
      <c r="F22" s="77"/>
      <c r="G22" s="77"/>
      <c r="H22" s="80"/>
    </row>
    <row r="23" spans="1:14" ht="15.75" customHeight="1">
      <c r="A23" s="95" t="s">
        <v>135</v>
      </c>
      <c r="B23" s="77" t="s">
        <v>152</v>
      </c>
      <c r="C23" s="77"/>
      <c r="D23" s="77"/>
      <c r="E23" s="77"/>
      <c r="F23" s="77"/>
      <c r="G23" s="77"/>
      <c r="H23" s="80">
        <v>9</v>
      </c>
    </row>
    <row r="24" spans="1:14" ht="15.75" customHeight="1">
      <c r="A24" s="95" t="s">
        <v>136</v>
      </c>
      <c r="B24" s="77" t="s">
        <v>110</v>
      </c>
      <c r="C24" s="77"/>
      <c r="D24" s="77"/>
      <c r="E24" s="77"/>
      <c r="F24" s="77"/>
      <c r="G24" s="77"/>
      <c r="H24" s="80">
        <f>+H23+1</f>
        <v>10</v>
      </c>
    </row>
    <row r="25" spans="1:14" ht="15.75" customHeight="1">
      <c r="B25" s="77"/>
      <c r="C25" s="77"/>
      <c r="D25" s="77"/>
      <c r="E25" s="77"/>
      <c r="F25" s="77"/>
      <c r="G25" s="77"/>
      <c r="H25" s="80"/>
    </row>
    <row r="26" spans="1:14" ht="15.75" customHeight="1">
      <c r="A26" s="95" t="s">
        <v>137</v>
      </c>
      <c r="B26" s="77" t="s">
        <v>153</v>
      </c>
      <c r="C26" s="77"/>
      <c r="D26" s="77"/>
      <c r="E26" s="77"/>
      <c r="F26" s="77"/>
      <c r="G26" s="77"/>
      <c r="H26" s="80">
        <f>+H24+1</f>
        <v>11</v>
      </c>
    </row>
    <row r="27" spans="1:14" ht="15.75" customHeight="1">
      <c r="B27" s="77" t="s">
        <v>111</v>
      </c>
      <c r="C27" s="77"/>
      <c r="D27" s="77"/>
      <c r="E27" s="77"/>
      <c r="F27" s="77"/>
      <c r="G27" s="77"/>
      <c r="H27" s="80">
        <f>+H26</f>
        <v>11</v>
      </c>
      <c r="N27" s="81"/>
    </row>
    <row r="28" spans="1:14" ht="15.75" customHeight="1">
      <c r="A28" s="95" t="s">
        <v>138</v>
      </c>
      <c r="B28" s="77" t="s">
        <v>154</v>
      </c>
      <c r="C28" s="77"/>
      <c r="D28" s="77"/>
      <c r="E28" s="77"/>
      <c r="F28" s="77"/>
      <c r="G28" s="77"/>
      <c r="H28" s="80">
        <f>+H26+1</f>
        <v>12</v>
      </c>
      <c r="N28" s="81"/>
    </row>
    <row r="29" spans="1:14" ht="15.75" customHeight="1">
      <c r="B29" s="77" t="s">
        <v>112</v>
      </c>
      <c r="C29" s="77"/>
      <c r="D29" s="77"/>
      <c r="E29" s="77"/>
      <c r="F29" s="77"/>
      <c r="G29" s="77"/>
      <c r="H29" s="80">
        <f>+H28</f>
        <v>12</v>
      </c>
      <c r="N29" s="81"/>
    </row>
    <row r="30" spans="1:14" ht="15.75" customHeight="1">
      <c r="B30" s="77"/>
      <c r="C30" s="77"/>
      <c r="D30" s="77"/>
      <c r="E30" s="77"/>
      <c r="F30" s="77"/>
      <c r="G30" s="77"/>
      <c r="H30" s="80"/>
      <c r="N30" s="81"/>
    </row>
    <row r="31" spans="1:14" ht="15.75" customHeight="1">
      <c r="A31" s="95" t="s">
        <v>139</v>
      </c>
      <c r="B31" s="77" t="s">
        <v>155</v>
      </c>
      <c r="C31" s="77"/>
      <c r="D31" s="77"/>
      <c r="E31" s="77"/>
      <c r="F31" s="77"/>
      <c r="G31" s="77"/>
      <c r="H31" s="80">
        <f>+H29+1</f>
        <v>13</v>
      </c>
      <c r="N31" s="81"/>
    </row>
    <row r="32" spans="1:14" ht="15.75" customHeight="1">
      <c r="B32" s="77" t="s">
        <v>113</v>
      </c>
      <c r="C32" s="77"/>
      <c r="D32" s="77"/>
      <c r="E32" s="77"/>
      <c r="F32" s="77"/>
      <c r="G32" s="77"/>
      <c r="H32" s="80">
        <f>+H31</f>
        <v>13</v>
      </c>
      <c r="N32" s="81"/>
    </row>
    <row r="33" spans="1:14" ht="15.75" customHeight="1">
      <c r="A33" s="95" t="s">
        <v>140</v>
      </c>
      <c r="B33" s="77" t="s">
        <v>156</v>
      </c>
      <c r="C33" s="77"/>
      <c r="D33" s="77"/>
      <c r="E33" s="77"/>
      <c r="F33" s="77"/>
      <c r="G33" s="77"/>
      <c r="H33" s="80">
        <f>+H31+1</f>
        <v>14</v>
      </c>
      <c r="N33" s="81"/>
    </row>
    <row r="34" spans="1:14" ht="15.75" customHeight="1">
      <c r="B34" s="77" t="s">
        <v>114</v>
      </c>
      <c r="C34" s="77"/>
      <c r="D34" s="77"/>
      <c r="E34" s="77"/>
      <c r="F34" s="77"/>
      <c r="G34" s="77"/>
      <c r="H34" s="80">
        <f>+H33</f>
        <v>14</v>
      </c>
      <c r="N34" s="81"/>
    </row>
    <row r="35" spans="1:14" ht="15.75" customHeight="1">
      <c r="A35" s="95" t="s">
        <v>141</v>
      </c>
      <c r="B35" s="77" t="s">
        <v>157</v>
      </c>
      <c r="C35" s="77"/>
      <c r="D35" s="77"/>
      <c r="E35" s="77"/>
      <c r="F35" s="77"/>
      <c r="G35" s="77"/>
      <c r="H35" s="80">
        <f>+H34+1</f>
        <v>15</v>
      </c>
      <c r="N35" s="81"/>
    </row>
    <row r="36" spans="1:14" ht="15.75" customHeight="1">
      <c r="B36" s="77" t="s">
        <v>117</v>
      </c>
      <c r="C36" s="77"/>
      <c r="D36" s="77"/>
      <c r="E36" s="77"/>
      <c r="F36" s="77"/>
      <c r="G36" s="77"/>
      <c r="H36" s="80">
        <f>+H35</f>
        <v>15</v>
      </c>
      <c r="N36" s="81"/>
    </row>
    <row r="37" spans="1:14" ht="15.75" customHeight="1">
      <c r="A37" s="95" t="s">
        <v>142</v>
      </c>
      <c r="B37" s="77" t="s">
        <v>158</v>
      </c>
      <c r="C37" s="77"/>
      <c r="D37" s="77"/>
      <c r="E37" s="77"/>
      <c r="F37" s="77"/>
      <c r="G37" s="77"/>
      <c r="H37" s="80">
        <f>+H36+1</f>
        <v>16</v>
      </c>
      <c r="N37" s="81"/>
    </row>
    <row r="38" spans="1:14" ht="15.75" customHeight="1">
      <c r="B38" s="77" t="s">
        <v>118</v>
      </c>
      <c r="C38" s="77"/>
      <c r="D38" s="77"/>
      <c r="E38" s="77"/>
      <c r="F38" s="77"/>
      <c r="G38" s="77"/>
      <c r="H38" s="80">
        <f>+H37</f>
        <v>16</v>
      </c>
      <c r="N38" s="81"/>
    </row>
    <row r="39" spans="1:14" ht="15.75" customHeight="1">
      <c r="B39" s="77"/>
      <c r="C39" s="77"/>
      <c r="D39" s="77"/>
      <c r="E39" s="77"/>
      <c r="F39" s="77"/>
      <c r="G39" s="77"/>
      <c r="H39" s="80"/>
      <c r="N39" s="81"/>
    </row>
    <row r="40" spans="1:14" ht="15.75" customHeight="1">
      <c r="A40" s="95" t="s">
        <v>143</v>
      </c>
      <c r="B40" s="77" t="s">
        <v>194</v>
      </c>
      <c r="C40" s="77"/>
      <c r="D40" s="77"/>
      <c r="E40" s="77"/>
      <c r="F40" s="77"/>
      <c r="G40" s="77"/>
      <c r="H40" s="80">
        <f>+H38+1</f>
        <v>17</v>
      </c>
      <c r="N40" s="81"/>
    </row>
    <row r="41" spans="1:14" ht="15.75" customHeight="1">
      <c r="B41" s="77" t="s">
        <v>195</v>
      </c>
      <c r="C41" s="77"/>
      <c r="D41" s="77"/>
      <c r="E41" s="77"/>
      <c r="F41" s="77"/>
      <c r="G41" s="77"/>
      <c r="H41" s="80">
        <f>+H40</f>
        <v>17</v>
      </c>
      <c r="N41" s="81"/>
    </row>
    <row r="42" spans="1:14" ht="15.75" customHeight="1">
      <c r="B42" s="77"/>
      <c r="C42" s="77"/>
      <c r="D42" s="77"/>
      <c r="E42" s="77"/>
      <c r="F42" s="77"/>
      <c r="G42" s="77"/>
      <c r="H42" s="80"/>
      <c r="N42" s="81"/>
    </row>
    <row r="43" spans="1:14" ht="15.75" customHeight="1">
      <c r="A43" s="95" t="s">
        <v>200</v>
      </c>
      <c r="B43" s="77" t="s">
        <v>159</v>
      </c>
      <c r="H43" s="80">
        <f>+H40+1</f>
        <v>18</v>
      </c>
      <c r="N43" s="81"/>
    </row>
    <row r="44" spans="1:14" ht="15.75" customHeight="1">
      <c r="B44" s="77" t="s">
        <v>121</v>
      </c>
      <c r="H44" s="80">
        <f>+H43</f>
        <v>18</v>
      </c>
      <c r="N44" s="81"/>
    </row>
    <row r="45" spans="1:14" ht="15.75" customHeight="1">
      <c r="A45" s="95" t="s">
        <v>144</v>
      </c>
      <c r="B45" s="77" t="s">
        <v>160</v>
      </c>
      <c r="H45" s="80">
        <f>+H43+1</f>
        <v>19</v>
      </c>
      <c r="N45" s="81"/>
    </row>
    <row r="46" spans="1:14" ht="15.75" customHeight="1">
      <c r="B46" s="77" t="s">
        <v>119</v>
      </c>
      <c r="H46" s="80">
        <f>+H45</f>
        <v>19</v>
      </c>
      <c r="N46" s="81"/>
    </row>
    <row r="47" spans="1:14" ht="15.75" customHeight="1">
      <c r="A47" s="95"/>
      <c r="B47" s="77"/>
      <c r="C47" s="77"/>
      <c r="D47" s="77"/>
      <c r="E47" s="77"/>
      <c r="F47" s="77"/>
      <c r="G47" s="77"/>
      <c r="H47" s="80"/>
      <c r="N47" s="81"/>
    </row>
    <row r="48" spans="1:14" ht="15.75" customHeight="1">
      <c r="B48" s="77"/>
      <c r="C48" s="77"/>
      <c r="D48" s="77"/>
      <c r="E48" s="77"/>
      <c r="F48" s="77"/>
      <c r="G48" s="77"/>
      <c r="H48" s="80"/>
      <c r="N48" s="81"/>
    </row>
    <row r="49" spans="1:14" ht="3.75" customHeight="1">
      <c r="B49" s="52"/>
      <c r="C49" s="53"/>
      <c r="D49" s="53"/>
      <c r="E49" s="118"/>
      <c r="F49" s="53"/>
      <c r="G49" s="54"/>
      <c r="H49" s="55"/>
      <c r="N49" s="81"/>
    </row>
    <row r="50" spans="1:14" ht="12.75" customHeight="1">
      <c r="B50" s="56"/>
      <c r="C50" s="56"/>
      <c r="D50" s="56"/>
      <c r="E50" s="56"/>
      <c r="F50" s="56"/>
      <c r="G50" s="56"/>
      <c r="H50" s="56"/>
      <c r="I50" s="81"/>
    </row>
    <row r="51" spans="1:14" ht="12.75" customHeight="1">
      <c r="B51" s="58" t="str">
        <f>+H107</f>
        <v>Finans Norge / Skadestatistikk - 4/13</v>
      </c>
      <c r="H51" s="148">
        <v>1</v>
      </c>
      <c r="I51" s="81"/>
    </row>
    <row r="52" spans="1:14" ht="12.75" customHeight="1">
      <c r="B52" s="58" t="str">
        <f>+H108</f>
        <v>Skadestatistikk for landbasert forsikring 1. kvartal 2013</v>
      </c>
      <c r="H52" s="149"/>
      <c r="I52" s="81"/>
    </row>
    <row r="53" spans="1:14" ht="15.75" customHeight="1">
      <c r="I53" s="81"/>
    </row>
    <row r="54" spans="1:14" ht="15.75" customHeight="1">
      <c r="I54" s="81"/>
    </row>
    <row r="55" spans="1:14" ht="15.75" customHeight="1"/>
    <row r="56" spans="1:14" ht="15.75" customHeight="1">
      <c r="A56" s="95" t="s">
        <v>145</v>
      </c>
      <c r="B56" s="77" t="s">
        <v>161</v>
      </c>
      <c r="H56" s="80">
        <f>+H46+1</f>
        <v>20</v>
      </c>
    </row>
    <row r="57" spans="1:14" ht="15.75" customHeight="1">
      <c r="B57" s="77" t="s">
        <v>120</v>
      </c>
      <c r="H57" s="80">
        <f>H56</f>
        <v>20</v>
      </c>
    </row>
    <row r="58" spans="1:14" ht="15.75" customHeight="1"/>
    <row r="59" spans="1:14" ht="15.75" customHeight="1">
      <c r="A59" s="95" t="s">
        <v>146</v>
      </c>
      <c r="B59" s="77" t="s">
        <v>162</v>
      </c>
      <c r="C59" s="77"/>
      <c r="D59" s="77"/>
      <c r="E59" s="77"/>
      <c r="F59" s="77"/>
      <c r="G59" s="77"/>
      <c r="H59" s="80">
        <f>+H57+1</f>
        <v>21</v>
      </c>
    </row>
    <row r="60" spans="1:14" ht="15.75" customHeight="1">
      <c r="B60" s="77" t="s">
        <v>125</v>
      </c>
      <c r="C60" s="77"/>
      <c r="D60" s="77"/>
      <c r="E60" s="77"/>
      <c r="F60" s="77"/>
      <c r="G60" s="77"/>
      <c r="H60" s="80">
        <f>+H59</f>
        <v>21</v>
      </c>
      <c r="J60"/>
      <c r="K60"/>
      <c r="L60"/>
      <c r="M60"/>
    </row>
    <row r="61" spans="1:14" ht="15.75" customHeight="1">
      <c r="J61"/>
      <c r="K61" s="75"/>
      <c r="L61" s="76"/>
      <c r="M61" s="76"/>
    </row>
    <row r="62" spans="1:14" ht="15.75" customHeight="1">
      <c r="A62" s="95" t="s">
        <v>147</v>
      </c>
      <c r="B62" s="77" t="s">
        <v>163</v>
      </c>
      <c r="C62" s="77"/>
      <c r="D62" s="77"/>
      <c r="E62" s="77"/>
      <c r="F62" s="77"/>
      <c r="G62" s="77"/>
      <c r="H62" s="80">
        <f>+H60+1</f>
        <v>22</v>
      </c>
      <c r="J62"/>
      <c r="K62" s="74"/>
      <c r="L62"/>
      <c r="M62"/>
    </row>
    <row r="63" spans="1:14" ht="15.75" customHeight="1">
      <c r="B63" s="77" t="s">
        <v>122</v>
      </c>
      <c r="C63" s="77"/>
      <c r="D63" s="77"/>
      <c r="E63" s="77"/>
      <c r="F63" s="77"/>
      <c r="G63" s="77"/>
      <c r="H63" s="80">
        <f>+H62</f>
        <v>22</v>
      </c>
      <c r="J63"/>
      <c r="K63" s="73"/>
      <c r="L63" s="73"/>
      <c r="M63" s="73"/>
    </row>
    <row r="64" spans="1:14" ht="15.75" customHeight="1">
      <c r="B64" s="77"/>
      <c r="C64" s="77"/>
      <c r="D64" s="77"/>
      <c r="E64" s="77"/>
      <c r="F64" s="77"/>
      <c r="G64" s="77"/>
      <c r="H64" s="80"/>
      <c r="J64"/>
      <c r="K64" s="73"/>
      <c r="L64" s="73"/>
      <c r="M64" s="73"/>
    </row>
    <row r="65" spans="1:13" ht="15.75" customHeight="1">
      <c r="A65" s="95" t="s">
        <v>148</v>
      </c>
      <c r="B65" s="77" t="s">
        <v>164</v>
      </c>
      <c r="C65" s="77"/>
      <c r="D65" s="77"/>
      <c r="E65" s="77"/>
      <c r="F65" s="77"/>
      <c r="G65" s="77"/>
      <c r="H65" s="80">
        <f>+H63+1</f>
        <v>23</v>
      </c>
      <c r="J65"/>
      <c r="K65" s="73"/>
      <c r="L65" s="73"/>
      <c r="M65" s="73"/>
    </row>
    <row r="66" spans="1:13" ht="15.75" customHeight="1">
      <c r="B66" s="77" t="s">
        <v>123</v>
      </c>
      <c r="C66" s="77"/>
      <c r="D66" s="77"/>
      <c r="E66" s="77"/>
      <c r="F66" s="77"/>
      <c r="G66" s="77"/>
      <c r="H66" s="80">
        <f>+H65</f>
        <v>23</v>
      </c>
      <c r="J66"/>
      <c r="K66" s="73"/>
      <c r="L66" s="73"/>
      <c r="M66" s="73"/>
    </row>
    <row r="67" spans="1:13" ht="15.75" customHeight="1">
      <c r="B67" s="77"/>
      <c r="C67" s="77"/>
      <c r="D67" s="77"/>
      <c r="E67" s="77"/>
      <c r="F67" s="77"/>
      <c r="G67" s="77"/>
      <c r="H67" s="80"/>
      <c r="I67"/>
      <c r="J67"/>
      <c r="K67" s="73"/>
      <c r="L67" s="73"/>
      <c r="M67" s="73"/>
    </row>
    <row r="68" spans="1:13" ht="15.75" customHeight="1">
      <c r="A68" s="95" t="s">
        <v>149</v>
      </c>
      <c r="B68" s="77" t="s">
        <v>165</v>
      </c>
      <c r="C68" s="77"/>
      <c r="D68" s="77"/>
      <c r="E68" s="77"/>
      <c r="F68" s="77"/>
      <c r="G68" s="77"/>
      <c r="H68" s="80">
        <f>+H66+1</f>
        <v>24</v>
      </c>
      <c r="I68"/>
      <c r="J68"/>
      <c r="K68" s="73"/>
      <c r="L68" s="73"/>
      <c r="M68" s="73"/>
    </row>
    <row r="69" spans="1:13" ht="15.75" customHeight="1">
      <c r="B69" s="77" t="s">
        <v>124</v>
      </c>
      <c r="C69" s="77"/>
      <c r="D69" s="77"/>
      <c r="E69" s="77"/>
      <c r="F69" s="77"/>
      <c r="G69" s="77"/>
      <c r="H69" s="80">
        <f>+H68</f>
        <v>24</v>
      </c>
      <c r="I69"/>
      <c r="J69"/>
      <c r="K69" s="73"/>
      <c r="L69" s="73"/>
      <c r="M69" s="73"/>
    </row>
    <row r="70" spans="1:13" ht="15.75" customHeight="1">
      <c r="B70"/>
      <c r="C70"/>
      <c r="D70"/>
      <c r="E70"/>
      <c r="F70"/>
      <c r="G70"/>
      <c r="I70"/>
      <c r="J70"/>
      <c r="K70"/>
      <c r="L70"/>
      <c r="M70"/>
    </row>
    <row r="71" spans="1:13" ht="15.75">
      <c r="A71" s="95" t="s">
        <v>150</v>
      </c>
      <c r="B71" s="77" t="s">
        <v>109</v>
      </c>
      <c r="C71" s="77"/>
      <c r="D71" s="77"/>
      <c r="E71" s="77"/>
      <c r="F71" s="77"/>
      <c r="G71" s="77"/>
      <c r="H71" s="80">
        <f>+H69+1</f>
        <v>25</v>
      </c>
      <c r="I71"/>
      <c r="J71"/>
      <c r="K71"/>
      <c r="L71"/>
      <c r="M71"/>
    </row>
    <row r="72" spans="1:13">
      <c r="C72"/>
      <c r="D72"/>
      <c r="E72"/>
      <c r="F72"/>
      <c r="G72"/>
      <c r="I72" s="72"/>
      <c r="J72"/>
      <c r="K72"/>
      <c r="L72"/>
      <c r="M72"/>
    </row>
    <row r="73" spans="1:13">
      <c r="C73"/>
      <c r="D73"/>
      <c r="E73"/>
      <c r="F73"/>
      <c r="G73"/>
      <c r="I73" s="72"/>
      <c r="J73"/>
      <c r="K73"/>
      <c r="L73"/>
      <c r="M73"/>
    </row>
    <row r="74" spans="1:13">
      <c r="C74"/>
      <c r="D74"/>
      <c r="E74"/>
      <c r="F74"/>
      <c r="G74"/>
      <c r="I74" s="72"/>
      <c r="J74"/>
      <c r="K74"/>
      <c r="L74"/>
      <c r="M74"/>
    </row>
    <row r="75" spans="1:13">
      <c r="C75"/>
      <c r="D75"/>
      <c r="E75"/>
      <c r="F75"/>
      <c r="G75"/>
      <c r="I75"/>
      <c r="J75"/>
      <c r="K75"/>
      <c r="L75"/>
      <c r="M75"/>
    </row>
    <row r="76" spans="1:13">
      <c r="C76"/>
      <c r="D76"/>
      <c r="E76"/>
      <c r="F76"/>
      <c r="G76"/>
      <c r="I76"/>
      <c r="J76"/>
      <c r="K76"/>
      <c r="L76"/>
      <c r="M76"/>
    </row>
    <row r="77" spans="1:13" ht="15.75">
      <c r="B77" s="92"/>
      <c r="C77"/>
      <c r="D77"/>
      <c r="E77"/>
      <c r="F77"/>
      <c r="G77"/>
      <c r="I77"/>
      <c r="J77"/>
      <c r="K77"/>
      <c r="L77"/>
      <c r="M77"/>
    </row>
    <row r="78" spans="1:13">
      <c r="C78"/>
      <c r="D78"/>
      <c r="E78"/>
      <c r="F78"/>
      <c r="G78"/>
      <c r="I78"/>
      <c r="J78"/>
      <c r="K78"/>
      <c r="L78"/>
      <c r="M78"/>
    </row>
    <row r="79" spans="1:13">
      <c r="C79"/>
      <c r="D79"/>
      <c r="E79"/>
      <c r="F79"/>
      <c r="G79"/>
      <c r="I79"/>
      <c r="J79"/>
      <c r="K79"/>
      <c r="L79"/>
      <c r="M79"/>
    </row>
    <row r="80" spans="1:13">
      <c r="B80"/>
      <c r="C80"/>
      <c r="D80"/>
      <c r="E80"/>
      <c r="F80"/>
      <c r="G80"/>
      <c r="I80"/>
      <c r="J80"/>
      <c r="K80"/>
      <c r="L80"/>
      <c r="M80"/>
    </row>
    <row r="81" spans="2:13">
      <c r="B81"/>
      <c r="C81"/>
      <c r="D81"/>
      <c r="E81"/>
      <c r="F81"/>
      <c r="G81"/>
      <c r="I81"/>
      <c r="J81"/>
      <c r="K81"/>
      <c r="L81"/>
      <c r="M81"/>
    </row>
    <row r="82" spans="2:13">
      <c r="C82"/>
      <c r="D82"/>
      <c r="E82"/>
      <c r="F82"/>
      <c r="G82"/>
      <c r="I82"/>
      <c r="J82"/>
      <c r="K82"/>
      <c r="L82"/>
      <c r="M82"/>
    </row>
    <row r="83" spans="2:13">
      <c r="C83"/>
      <c r="D83"/>
      <c r="E83"/>
      <c r="F83"/>
      <c r="G83"/>
      <c r="I83"/>
      <c r="J83"/>
      <c r="K83"/>
      <c r="L83"/>
      <c r="M83"/>
    </row>
    <row r="84" spans="2:13">
      <c r="B84"/>
      <c r="C84"/>
      <c r="D84"/>
      <c r="E84"/>
      <c r="F84"/>
      <c r="G84"/>
      <c r="I84"/>
      <c r="J84"/>
      <c r="K84"/>
      <c r="L84"/>
      <c r="M84"/>
    </row>
    <row r="85" spans="2:13">
      <c r="C85"/>
      <c r="D85"/>
      <c r="E85"/>
      <c r="F85"/>
      <c r="G85"/>
      <c r="I85"/>
      <c r="J85"/>
      <c r="K85"/>
      <c r="L85"/>
      <c r="M85"/>
    </row>
    <row r="86" spans="2:13">
      <c r="C86"/>
      <c r="D86"/>
      <c r="E86"/>
      <c r="F86"/>
      <c r="G86"/>
      <c r="I86"/>
      <c r="J86"/>
      <c r="K86"/>
      <c r="L86"/>
      <c r="M86"/>
    </row>
    <row r="87" spans="2:13">
      <c r="B87"/>
      <c r="C87"/>
      <c r="D87"/>
      <c r="E87"/>
      <c r="F87"/>
      <c r="G87"/>
      <c r="I87"/>
      <c r="J87"/>
      <c r="K87"/>
      <c r="L87"/>
      <c r="M87"/>
    </row>
    <row r="88" spans="2:13">
      <c r="B88"/>
      <c r="C88"/>
      <c r="D88"/>
      <c r="E88"/>
      <c r="F88"/>
      <c r="G88"/>
      <c r="I88"/>
      <c r="J88"/>
      <c r="K88"/>
      <c r="L88"/>
      <c r="M88"/>
    </row>
    <row r="89" spans="2:13">
      <c r="B89"/>
      <c r="C89"/>
      <c r="D89"/>
      <c r="E89"/>
      <c r="F89"/>
      <c r="G89"/>
      <c r="I89"/>
      <c r="J89"/>
      <c r="K89"/>
      <c r="L89"/>
      <c r="M89"/>
    </row>
    <row r="90" spans="2:13">
      <c r="B90"/>
      <c r="C90"/>
      <c r="D90"/>
      <c r="E90"/>
      <c r="F90"/>
      <c r="G90"/>
      <c r="I90"/>
      <c r="J90"/>
      <c r="K90"/>
      <c r="L90"/>
      <c r="M90"/>
    </row>
    <row r="91" spans="2:13">
      <c r="B91"/>
      <c r="C91"/>
      <c r="D91"/>
      <c r="E91"/>
      <c r="F91"/>
      <c r="G91"/>
      <c r="I91"/>
      <c r="J91"/>
      <c r="K91"/>
      <c r="L91"/>
      <c r="M91"/>
    </row>
    <row r="92" spans="2:13">
      <c r="B92"/>
      <c r="C92"/>
      <c r="D92"/>
      <c r="E92"/>
      <c r="F92"/>
      <c r="G92"/>
      <c r="I92"/>
      <c r="J92"/>
      <c r="K92"/>
      <c r="L92"/>
      <c r="M92"/>
    </row>
    <row r="93" spans="2:13">
      <c r="B93"/>
      <c r="C93"/>
      <c r="D93"/>
      <c r="E93"/>
      <c r="F93"/>
      <c r="G93"/>
      <c r="I93"/>
      <c r="J93"/>
      <c r="K93"/>
      <c r="L93"/>
      <c r="M93"/>
    </row>
    <row r="94" spans="2:13">
      <c r="B94"/>
      <c r="C94"/>
      <c r="D94"/>
      <c r="E94"/>
      <c r="F94"/>
      <c r="G94"/>
      <c r="I94"/>
      <c r="J94"/>
      <c r="K94"/>
      <c r="L94"/>
      <c r="M94"/>
    </row>
    <row r="95" spans="2:13">
      <c r="B95"/>
      <c r="C95"/>
      <c r="D95"/>
      <c r="E95"/>
      <c r="F95"/>
      <c r="G95"/>
      <c r="I95"/>
      <c r="J95"/>
      <c r="K95"/>
      <c r="L95"/>
      <c r="M95"/>
    </row>
    <row r="96" spans="2:13">
      <c r="B96"/>
      <c r="C96"/>
      <c r="D96"/>
      <c r="E96"/>
      <c r="F96"/>
      <c r="G96"/>
      <c r="I96"/>
      <c r="J96"/>
      <c r="K96"/>
      <c r="L96"/>
      <c r="M96"/>
    </row>
    <row r="97" spans="2:13">
      <c r="B97"/>
      <c r="C97"/>
      <c r="D97"/>
      <c r="E97"/>
      <c r="F97"/>
      <c r="G97"/>
      <c r="I97"/>
      <c r="J97"/>
      <c r="K97"/>
      <c r="L97"/>
      <c r="M97"/>
    </row>
    <row r="98" spans="2:13">
      <c r="B98"/>
      <c r="C98"/>
      <c r="D98"/>
      <c r="E98"/>
      <c r="F98"/>
      <c r="G98"/>
      <c r="I98"/>
      <c r="J98"/>
      <c r="K98"/>
      <c r="L98"/>
      <c r="M98"/>
    </row>
    <row r="99" spans="2:13">
      <c r="B99"/>
      <c r="C99"/>
      <c r="D99"/>
      <c r="E99"/>
      <c r="F99"/>
      <c r="G99"/>
      <c r="I99"/>
      <c r="J99"/>
      <c r="K99"/>
      <c r="L99"/>
      <c r="M99"/>
    </row>
    <row r="100" spans="2:13">
      <c r="B100"/>
      <c r="C100"/>
      <c r="D100"/>
      <c r="E100"/>
      <c r="F100"/>
      <c r="G100"/>
      <c r="I100"/>
      <c r="J100"/>
      <c r="K100"/>
      <c r="L100"/>
      <c r="M100"/>
    </row>
    <row r="101" spans="2:13">
      <c r="B101"/>
      <c r="C101"/>
      <c r="D101"/>
      <c r="E101"/>
      <c r="F101"/>
      <c r="G101"/>
      <c r="L101"/>
    </row>
    <row r="102" spans="2:13">
      <c r="B102"/>
      <c r="C102"/>
      <c r="D102"/>
      <c r="E102"/>
      <c r="F102"/>
      <c r="G102"/>
      <c r="L102"/>
    </row>
    <row r="103" spans="2:13">
      <c r="B103"/>
      <c r="C103"/>
      <c r="D103"/>
      <c r="E103"/>
      <c r="F103"/>
      <c r="G103"/>
      <c r="I103"/>
      <c r="J103"/>
      <c r="K103"/>
      <c r="L103"/>
    </row>
    <row r="104" spans="2:13">
      <c r="B104"/>
      <c r="C104"/>
      <c r="D104"/>
      <c r="E104"/>
      <c r="F104"/>
      <c r="G104"/>
      <c r="I104"/>
      <c r="J104"/>
      <c r="K104"/>
      <c r="L104"/>
    </row>
    <row r="105" spans="2:13">
      <c r="B105"/>
      <c r="C105"/>
      <c r="D105"/>
      <c r="E105"/>
      <c r="F105"/>
      <c r="G105"/>
      <c r="I105"/>
      <c r="J105"/>
      <c r="K105"/>
      <c r="L105"/>
    </row>
    <row r="106" spans="2:13">
      <c r="B106" s="56"/>
      <c r="C106" s="56"/>
      <c r="D106" s="56"/>
      <c r="E106" s="56"/>
      <c r="F106" s="56"/>
      <c r="G106" s="56"/>
      <c r="H106" s="56"/>
      <c r="I106"/>
      <c r="J106" s="73"/>
      <c r="K106" s="73"/>
      <c r="L106" s="73"/>
    </row>
    <row r="107" spans="2:13">
      <c r="B107" s="150">
        <v>2</v>
      </c>
      <c r="H107" s="57" t="str">
        <f>"Finans Norge / " &amp; PROPER(Forside!E13)</f>
        <v>Finans Norge / Skadestatistikk - 4/13</v>
      </c>
      <c r="I107"/>
      <c r="J107" s="73"/>
      <c r="K107" s="73"/>
      <c r="L107" s="73"/>
    </row>
    <row r="108" spans="2:13">
      <c r="B108" s="151"/>
      <c r="H108" s="57" t="str">
        <f>"Skadestatistikk for landbasert forsikring " &amp; Forside!E22</f>
        <v>Skadestatistikk for landbasert forsikring 1. kvartal 2013</v>
      </c>
      <c r="I108"/>
      <c r="J108"/>
      <c r="K108"/>
      <c r="L108"/>
    </row>
    <row r="109" spans="2:13">
      <c r="B109" s="82"/>
      <c r="C109"/>
      <c r="D109"/>
      <c r="E109"/>
      <c r="F109"/>
      <c r="G109"/>
      <c r="I109"/>
      <c r="J109"/>
      <c r="K109"/>
      <c r="L109"/>
    </row>
    <row r="110" spans="2:13">
      <c r="B110"/>
      <c r="C110"/>
      <c r="D110"/>
      <c r="E110"/>
      <c r="F110"/>
      <c r="G110"/>
      <c r="I110"/>
      <c r="J110"/>
      <c r="K110"/>
      <c r="L110"/>
    </row>
    <row r="111" spans="2:13">
      <c r="B111"/>
      <c r="C111"/>
      <c r="D111"/>
      <c r="E111"/>
      <c r="F111"/>
      <c r="G111"/>
      <c r="L111"/>
    </row>
    <row r="112" spans="2:13">
      <c r="B112"/>
      <c r="C112"/>
      <c r="D112"/>
      <c r="E112"/>
      <c r="F112"/>
      <c r="G112"/>
      <c r="L112"/>
    </row>
    <row r="113" spans="2:12">
      <c r="B113"/>
      <c r="C113"/>
      <c r="D113"/>
      <c r="E113"/>
      <c r="F113"/>
      <c r="G113"/>
      <c r="I113" s="72"/>
      <c r="J113"/>
      <c r="K113"/>
      <c r="L113"/>
    </row>
    <row r="114" spans="2:12">
      <c r="B114"/>
      <c r="C114"/>
      <c r="D114"/>
      <c r="E114"/>
      <c r="F114"/>
      <c r="G114"/>
      <c r="I114"/>
      <c r="J114"/>
      <c r="K114"/>
      <c r="L114"/>
    </row>
    <row r="115" spans="2:12">
      <c r="B115"/>
      <c r="C115"/>
      <c r="D115"/>
      <c r="E115"/>
      <c r="F115"/>
      <c r="G115"/>
      <c r="I115"/>
      <c r="J115"/>
      <c r="K115"/>
      <c r="L115"/>
    </row>
    <row r="116" spans="2:12">
      <c r="B116"/>
      <c r="C116"/>
      <c r="D116"/>
      <c r="E116"/>
      <c r="F116"/>
      <c r="G116"/>
      <c r="I116"/>
      <c r="J116"/>
      <c r="K116" s="73"/>
      <c r="L116" s="73"/>
    </row>
    <row r="117" spans="2:12">
      <c r="B117"/>
      <c r="C117"/>
      <c r="D117"/>
      <c r="E117"/>
      <c r="F117"/>
      <c r="G117"/>
      <c r="I117"/>
      <c r="J117"/>
      <c r="K117" s="73"/>
      <c r="L117" s="73"/>
    </row>
    <row r="118" spans="2:12">
      <c r="B118"/>
      <c r="C118"/>
      <c r="D118"/>
      <c r="E118"/>
      <c r="F118"/>
      <c r="G118"/>
      <c r="I118"/>
      <c r="J118"/>
      <c r="K118" s="73"/>
      <c r="L118" s="73"/>
    </row>
    <row r="119" spans="2:12">
      <c r="B119"/>
      <c r="C119"/>
      <c r="D119"/>
      <c r="E119"/>
      <c r="F119"/>
      <c r="G119"/>
      <c r="I119"/>
      <c r="J119"/>
      <c r="K119"/>
      <c r="L119"/>
    </row>
    <row r="120" spans="2:12">
      <c r="B120"/>
      <c r="C120"/>
      <c r="D120"/>
      <c r="E120"/>
      <c r="F120"/>
      <c r="G120"/>
      <c r="I120"/>
      <c r="J120"/>
      <c r="K120"/>
      <c r="L120"/>
    </row>
    <row r="121" spans="2:12">
      <c r="B121"/>
      <c r="C121"/>
      <c r="D121"/>
      <c r="E121"/>
      <c r="F121"/>
      <c r="G121"/>
      <c r="I121"/>
      <c r="J121"/>
      <c r="K121"/>
      <c r="L121"/>
    </row>
    <row r="122" spans="2:12">
      <c r="B122"/>
      <c r="C122"/>
      <c r="D122"/>
      <c r="E122"/>
      <c r="F122"/>
      <c r="G122"/>
    </row>
    <row r="123" spans="2:12">
      <c r="B123"/>
      <c r="C123"/>
      <c r="D123"/>
      <c r="E123"/>
      <c r="F123"/>
      <c r="G123"/>
    </row>
    <row r="124" spans="2:12">
      <c r="B124"/>
      <c r="C124"/>
      <c r="D124"/>
      <c r="E124"/>
      <c r="F124"/>
      <c r="G124"/>
      <c r="I124" s="72"/>
      <c r="J124"/>
      <c r="K124"/>
      <c r="L124"/>
    </row>
    <row r="125" spans="2:12">
      <c r="B125"/>
      <c r="C125"/>
      <c r="D125"/>
      <c r="E125"/>
      <c r="F125"/>
      <c r="G125"/>
      <c r="I125"/>
      <c r="J125"/>
      <c r="K125"/>
      <c r="L125"/>
    </row>
    <row r="126" spans="2:12">
      <c r="B126"/>
      <c r="C126"/>
      <c r="D126"/>
      <c r="E126"/>
      <c r="F126"/>
      <c r="G126"/>
      <c r="I126"/>
      <c r="J126"/>
      <c r="K126"/>
      <c r="L126"/>
    </row>
    <row r="127" spans="2:12">
      <c r="B127"/>
      <c r="C127"/>
      <c r="D127"/>
      <c r="E127"/>
      <c r="F127"/>
      <c r="G127"/>
      <c r="I127"/>
      <c r="J127"/>
      <c r="K127" s="73"/>
      <c r="L127" s="73"/>
    </row>
    <row r="128" spans="2:12">
      <c r="B128"/>
      <c r="C128"/>
      <c r="D128"/>
      <c r="E128"/>
      <c r="F128"/>
      <c r="G128"/>
      <c r="I128"/>
      <c r="J128"/>
      <c r="K128" s="73"/>
      <c r="L128" s="73"/>
    </row>
    <row r="129" spans="2:12">
      <c r="B129"/>
      <c r="C129"/>
      <c r="D129"/>
      <c r="E129"/>
      <c r="F129"/>
      <c r="G129"/>
      <c r="I129"/>
      <c r="J129"/>
      <c r="K129" s="73"/>
      <c r="L129" s="73"/>
    </row>
    <row r="130" spans="2:12">
      <c r="B130"/>
      <c r="C130"/>
      <c r="D130"/>
      <c r="E130"/>
      <c r="F130"/>
      <c r="G130"/>
      <c r="I130"/>
      <c r="J130"/>
      <c r="K130"/>
      <c r="L130"/>
    </row>
    <row r="131" spans="2:12">
      <c r="B131"/>
      <c r="C131"/>
      <c r="D131"/>
      <c r="E131"/>
      <c r="F131"/>
      <c r="G131"/>
      <c r="H131"/>
      <c r="I131"/>
      <c r="J131"/>
      <c r="K131"/>
      <c r="L131"/>
    </row>
    <row r="132" spans="2:12">
      <c r="B132"/>
      <c r="C132"/>
      <c r="D132"/>
      <c r="E132"/>
      <c r="F132"/>
      <c r="G132"/>
      <c r="H132"/>
      <c r="I132"/>
      <c r="J132"/>
      <c r="K132"/>
      <c r="L132"/>
    </row>
    <row r="133" spans="2:12">
      <c r="B133"/>
      <c r="C133"/>
      <c r="D133"/>
      <c r="E133"/>
      <c r="F133"/>
      <c r="G133"/>
      <c r="H133"/>
      <c r="I133"/>
      <c r="J133" s="73"/>
      <c r="K133" s="73"/>
    </row>
    <row r="134" spans="2:12">
      <c r="B134"/>
      <c r="C134" s="73"/>
      <c r="D134" s="73"/>
      <c r="E134"/>
      <c r="F134"/>
      <c r="G134"/>
      <c r="H134"/>
      <c r="I134"/>
      <c r="J134" s="73"/>
      <c r="K134" s="73"/>
    </row>
    <row r="135" spans="2:12">
      <c r="B135"/>
      <c r="C135"/>
      <c r="D135"/>
      <c r="E135"/>
      <c r="G135"/>
      <c r="H135"/>
      <c r="I135"/>
      <c r="J135"/>
      <c r="K135"/>
    </row>
    <row r="136" spans="2:12">
      <c r="B136"/>
      <c r="C136"/>
      <c r="D136"/>
      <c r="E136"/>
      <c r="G136"/>
      <c r="H136"/>
      <c r="I136"/>
      <c r="J136"/>
      <c r="K136"/>
    </row>
    <row r="137" spans="2:12">
      <c r="B137"/>
      <c r="C137"/>
      <c r="D137"/>
      <c r="E137"/>
      <c r="G137"/>
      <c r="H137"/>
      <c r="I137"/>
      <c r="J137"/>
      <c r="K137"/>
    </row>
    <row r="138" spans="2:12">
      <c r="B138"/>
      <c r="C138" s="73"/>
      <c r="D138" s="73"/>
      <c r="E138"/>
      <c r="G138"/>
      <c r="H138"/>
      <c r="I138"/>
      <c r="J138"/>
      <c r="K138"/>
    </row>
    <row r="139" spans="2:12">
      <c r="B139"/>
      <c r="C139" s="73"/>
      <c r="D139" s="73"/>
      <c r="E139"/>
      <c r="G139"/>
      <c r="H139"/>
      <c r="I139"/>
      <c r="J139"/>
      <c r="K139"/>
    </row>
    <row r="140" spans="2:12">
      <c r="B140"/>
      <c r="C140" s="73"/>
      <c r="D140" s="73"/>
      <c r="E140"/>
      <c r="G140"/>
    </row>
    <row r="141" spans="2:12">
      <c r="B141"/>
      <c r="C141"/>
      <c r="D141"/>
      <c r="E141"/>
      <c r="G141"/>
    </row>
    <row r="142" spans="2:12">
      <c r="B142"/>
      <c r="C142" s="73"/>
      <c r="D142" s="73"/>
      <c r="E142"/>
      <c r="G142"/>
    </row>
    <row r="143" spans="2:12">
      <c r="B143"/>
      <c r="C143" s="73"/>
      <c r="D143" s="73"/>
      <c r="E143"/>
      <c r="G143"/>
    </row>
    <row r="144" spans="2:12">
      <c r="B144"/>
      <c r="C144" s="73"/>
      <c r="D144" s="73"/>
      <c r="E144"/>
      <c r="G144"/>
    </row>
    <row r="145" spans="2:7">
      <c r="B145"/>
      <c r="C145"/>
      <c r="D145"/>
      <c r="E145"/>
      <c r="G145"/>
    </row>
    <row r="146" spans="2:7">
      <c r="B146"/>
      <c r="C146" s="73"/>
      <c r="D146" s="73"/>
      <c r="E146"/>
      <c r="G146"/>
    </row>
    <row r="147" spans="2:7">
      <c r="B147"/>
      <c r="C147" s="73"/>
      <c r="D147" s="73"/>
      <c r="E147"/>
      <c r="G147"/>
    </row>
  </sheetData>
  <mergeCells count="2">
    <mergeCell ref="H51:H52"/>
    <mergeCell ref="B107:B108"/>
  </mergeCells>
  <phoneticPr fontId="0" type="noConversion"/>
  <hyperlinks>
    <hyperlink ref="A8" location="Tab1!A2" display="Tab1"/>
    <hyperlink ref="A71" location="'Tab19'!A2" display="Tab19"/>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59" location="'Tab15'!A2" display="Tab15"/>
    <hyperlink ref="A62" location="'Tab16'!A2" display="Tab16"/>
    <hyperlink ref="A65" location="'Tab17'!A2" display="Tab17"/>
    <hyperlink ref="A68" location="'Tab18'!A2" display="Tab18"/>
    <hyperlink ref="A56" location="'Tab14'!A2" display="Tab14"/>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179</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c r="A7" s="155" t="s">
        <v>79</v>
      </c>
      <c r="B7" s="19" t="s">
        <v>3</v>
      </c>
      <c r="C7" s="20">
        <v>145</v>
      </c>
      <c r="D7" s="20">
        <v>110</v>
      </c>
      <c r="E7" s="83">
        <v>89.533333333333317</v>
      </c>
      <c r="F7" s="22" t="s">
        <v>224</v>
      </c>
      <c r="G7" s="23">
        <v>-38.252873563218401</v>
      </c>
      <c r="H7" s="24">
        <v>-18.606060606060623</v>
      </c>
    </row>
    <row r="8" spans="1:8">
      <c r="A8" s="156"/>
      <c r="B8" s="25" t="s">
        <v>127</v>
      </c>
      <c r="C8" s="26">
        <v>25</v>
      </c>
      <c r="D8" s="26">
        <v>22</v>
      </c>
      <c r="E8" s="26">
        <v>17</v>
      </c>
      <c r="F8" s="27"/>
      <c r="G8" s="28">
        <v>-32</v>
      </c>
      <c r="H8" s="29">
        <v>-22.727272727272734</v>
      </c>
    </row>
    <row r="9" spans="1:8">
      <c r="A9" s="30" t="s">
        <v>80</v>
      </c>
      <c r="B9" s="31" t="s">
        <v>3</v>
      </c>
      <c r="C9" s="20">
        <v>62</v>
      </c>
      <c r="D9" s="20">
        <v>49</v>
      </c>
      <c r="E9" s="21">
        <v>52.31481481481481</v>
      </c>
      <c r="F9" s="22" t="s">
        <v>224</v>
      </c>
      <c r="G9" s="32">
        <v>-15.621266427718055</v>
      </c>
      <c r="H9" s="33">
        <v>6.7649281934996139</v>
      </c>
    </row>
    <row r="10" spans="1:8">
      <c r="A10" s="34"/>
      <c r="B10" s="35" t="s">
        <v>127</v>
      </c>
      <c r="C10" s="21">
        <v>9</v>
      </c>
      <c r="D10" s="21">
        <v>4</v>
      </c>
      <c r="E10" s="21">
        <v>5</v>
      </c>
      <c r="F10" s="36"/>
      <c r="G10" s="37">
        <v>-44.444444444444443</v>
      </c>
      <c r="H10" s="29">
        <v>25</v>
      </c>
    </row>
    <row r="11" spans="1:8">
      <c r="A11" s="30" t="s">
        <v>81</v>
      </c>
      <c r="B11" s="38" t="s">
        <v>3</v>
      </c>
      <c r="C11" s="39">
        <v>2</v>
      </c>
      <c r="D11" s="39">
        <v>1</v>
      </c>
      <c r="E11" s="39">
        <v>0</v>
      </c>
      <c r="F11" s="40" t="s">
        <v>224</v>
      </c>
      <c r="G11" s="41">
        <v>-100</v>
      </c>
      <c r="H11" s="33">
        <v>-100</v>
      </c>
    </row>
    <row r="12" spans="1:8">
      <c r="A12" s="34"/>
      <c r="B12" s="25" t="s">
        <v>127</v>
      </c>
      <c r="C12" s="26">
        <v>0</v>
      </c>
      <c r="D12" s="26">
        <v>0</v>
      </c>
      <c r="E12" s="26">
        <v>0</v>
      </c>
      <c r="F12" s="27"/>
      <c r="G12" s="28" t="s">
        <v>228</v>
      </c>
      <c r="H12" s="29" t="s">
        <v>228</v>
      </c>
    </row>
    <row r="13" spans="1:8">
      <c r="A13" s="30" t="s">
        <v>82</v>
      </c>
      <c r="B13" s="31" t="s">
        <v>3</v>
      </c>
      <c r="C13" s="20">
        <v>4</v>
      </c>
      <c r="D13" s="20">
        <v>2</v>
      </c>
      <c r="E13" s="21">
        <v>0</v>
      </c>
      <c r="F13" s="22" t="s">
        <v>224</v>
      </c>
      <c r="G13" s="23">
        <v>-100</v>
      </c>
      <c r="H13" s="24">
        <v>-100</v>
      </c>
    </row>
    <row r="14" spans="1:8">
      <c r="A14" s="34"/>
      <c r="B14" s="35" t="s">
        <v>127</v>
      </c>
      <c r="C14" s="21">
        <v>1</v>
      </c>
      <c r="D14" s="21">
        <v>0</v>
      </c>
      <c r="E14" s="21">
        <v>0</v>
      </c>
      <c r="F14" s="36"/>
      <c r="G14" s="42">
        <v>-100</v>
      </c>
      <c r="H14" s="24" t="s">
        <v>228</v>
      </c>
    </row>
    <row r="15" spans="1:8">
      <c r="A15" s="30" t="s">
        <v>83</v>
      </c>
      <c r="B15" s="38" t="s">
        <v>3</v>
      </c>
      <c r="C15" s="39">
        <v>15</v>
      </c>
      <c r="D15" s="39">
        <v>12</v>
      </c>
      <c r="E15" s="39">
        <v>0</v>
      </c>
      <c r="F15" s="40" t="s">
        <v>224</v>
      </c>
      <c r="G15" s="41">
        <v>-100</v>
      </c>
      <c r="H15" s="33">
        <v>-100</v>
      </c>
    </row>
    <row r="16" spans="1:8">
      <c r="A16" s="34"/>
      <c r="B16" s="25" t="s">
        <v>127</v>
      </c>
      <c r="C16" s="26">
        <v>1</v>
      </c>
      <c r="D16" s="26">
        <v>7</v>
      </c>
      <c r="E16" s="26">
        <v>0</v>
      </c>
      <c r="F16" s="27"/>
      <c r="G16" s="28">
        <v>-100</v>
      </c>
      <c r="H16" s="29">
        <v>-100</v>
      </c>
    </row>
    <row r="17" spans="1:9">
      <c r="A17" s="30" t="s">
        <v>84</v>
      </c>
      <c r="B17" s="38" t="s">
        <v>3</v>
      </c>
      <c r="C17" s="39">
        <v>10</v>
      </c>
      <c r="D17" s="39">
        <v>11</v>
      </c>
      <c r="E17" s="39">
        <v>2.1587301587301586</v>
      </c>
      <c r="F17" s="40" t="s">
        <v>224</v>
      </c>
      <c r="G17" s="41">
        <v>-78.412698412698418</v>
      </c>
      <c r="H17" s="33">
        <v>-80.375180375180378</v>
      </c>
    </row>
    <row r="18" spans="1:9">
      <c r="A18" s="34"/>
      <c r="B18" s="25" t="s">
        <v>127</v>
      </c>
      <c r="C18" s="26">
        <v>3</v>
      </c>
      <c r="D18" s="26">
        <v>7</v>
      </c>
      <c r="E18" s="26">
        <v>1</v>
      </c>
      <c r="F18" s="27"/>
      <c r="G18" s="28">
        <v>-66.666666666666671</v>
      </c>
      <c r="H18" s="29">
        <v>-85.714285714285722</v>
      </c>
    </row>
    <row r="19" spans="1:9">
      <c r="A19" s="30" t="s">
        <v>55</v>
      </c>
      <c r="B19" s="38" t="s">
        <v>3</v>
      </c>
      <c r="C19" s="39">
        <v>52</v>
      </c>
      <c r="D19" s="39">
        <v>35</v>
      </c>
      <c r="E19" s="39">
        <v>81.499999999999986</v>
      </c>
      <c r="F19" s="40" t="s">
        <v>224</v>
      </c>
      <c r="G19" s="41">
        <v>56.730769230769198</v>
      </c>
      <c r="H19" s="33">
        <v>132.85714285714283</v>
      </c>
      <c r="I19" s="65"/>
    </row>
    <row r="20" spans="1:9" ht="13.5" thickBot="1">
      <c r="A20" s="60"/>
      <c r="B20" s="46" t="s">
        <v>127</v>
      </c>
      <c r="C20" s="47">
        <v>11</v>
      </c>
      <c r="D20" s="47">
        <v>4</v>
      </c>
      <c r="E20" s="47">
        <v>11</v>
      </c>
      <c r="F20" s="48"/>
      <c r="G20" s="61">
        <v>0</v>
      </c>
      <c r="H20" s="50">
        <v>175</v>
      </c>
      <c r="I20" s="65"/>
    </row>
    <row r="21" spans="1:9">
      <c r="A21" s="62"/>
      <c r="B21" s="62"/>
      <c r="C21" s="21"/>
      <c r="D21" s="21"/>
      <c r="E21" s="21"/>
      <c r="F21" s="63"/>
      <c r="G21" s="42"/>
      <c r="H21" s="64"/>
      <c r="I21" s="65"/>
    </row>
    <row r="22" spans="1:9">
      <c r="A22" s="62"/>
      <c r="B22" s="66"/>
      <c r="C22" s="21"/>
      <c r="D22" s="21"/>
      <c r="E22" s="21"/>
      <c r="F22" s="67"/>
      <c r="G22" s="42"/>
      <c r="H22" s="64"/>
      <c r="I22" s="65"/>
    </row>
    <row r="23" spans="1:9">
      <c r="A23" s="62"/>
      <c r="B23" s="62"/>
      <c r="C23" s="21"/>
      <c r="D23" s="21"/>
      <c r="E23" s="21"/>
      <c r="F23" s="63"/>
      <c r="G23" s="42"/>
      <c r="H23" s="64"/>
      <c r="I23" s="65"/>
    </row>
    <row r="24" spans="1:9">
      <c r="A24" s="62"/>
      <c r="B24" s="66"/>
      <c r="C24" s="21"/>
      <c r="D24" s="21"/>
      <c r="E24" s="21"/>
      <c r="F24" s="67"/>
      <c r="G24" s="42"/>
      <c r="H24" s="64"/>
      <c r="I24" s="65"/>
    </row>
    <row r="25" spans="1:9">
      <c r="A25" s="62"/>
      <c r="B25" s="62"/>
      <c r="C25" s="21"/>
      <c r="D25" s="21"/>
      <c r="E25" s="21"/>
      <c r="F25" s="63"/>
      <c r="G25" s="42"/>
      <c r="H25" s="64"/>
      <c r="I25" s="65"/>
    </row>
    <row r="26" spans="1:9">
      <c r="A26" s="62"/>
      <c r="B26" s="66"/>
      <c r="C26" s="21"/>
      <c r="D26" s="21"/>
      <c r="E26" s="21"/>
      <c r="F26" s="67"/>
      <c r="G26" s="42"/>
      <c r="H26" s="64"/>
      <c r="I26" s="65"/>
    </row>
    <row r="27" spans="1:9">
      <c r="A27" s="62"/>
      <c r="B27" s="62"/>
      <c r="C27" s="21"/>
      <c r="D27" s="21"/>
      <c r="E27" s="21"/>
      <c r="F27" s="63"/>
      <c r="G27" s="42"/>
      <c r="H27" s="64"/>
      <c r="I27" s="65"/>
    </row>
    <row r="28" spans="1:9">
      <c r="A28" s="62"/>
      <c r="B28" s="66"/>
      <c r="C28" s="21"/>
      <c r="D28" s="21"/>
      <c r="E28" s="21"/>
      <c r="F28" s="67"/>
      <c r="G28" s="42"/>
      <c r="H28" s="64"/>
      <c r="I28" s="65"/>
    </row>
    <row r="29" spans="1:9">
      <c r="A29" s="62"/>
      <c r="B29" s="62"/>
      <c r="C29" s="68"/>
      <c r="D29" s="68"/>
      <c r="E29" s="21"/>
      <c r="F29" s="63"/>
      <c r="G29" s="42"/>
      <c r="H29" s="64"/>
      <c r="I29" s="65"/>
    </row>
    <row r="30" spans="1:9">
      <c r="A30" s="69"/>
      <c r="B30" s="66"/>
      <c r="C30" s="21"/>
      <c r="D30" s="21"/>
      <c r="E30" s="21"/>
      <c r="F30" s="67"/>
      <c r="G30" s="42"/>
      <c r="H30" s="64"/>
      <c r="I30" s="65"/>
    </row>
    <row r="31" spans="1:9">
      <c r="A31" s="51"/>
      <c r="B31" s="52"/>
      <c r="C31" s="53"/>
      <c r="D31" s="59"/>
      <c r="E31" s="53"/>
      <c r="F31" s="53"/>
      <c r="G31" s="54"/>
      <c r="H31" s="55"/>
      <c r="I31" s="65"/>
    </row>
    <row r="32" spans="1:9" ht="16.5" thickBot="1">
      <c r="A32" s="4" t="s">
        <v>85</v>
      </c>
      <c r="B32" s="5"/>
      <c r="C32" s="5"/>
      <c r="D32" s="5"/>
      <c r="E32" s="5"/>
      <c r="F32" s="5"/>
      <c r="G32" s="5"/>
      <c r="H32" s="6"/>
    </row>
    <row r="33" spans="1:9">
      <c r="A33" s="7"/>
      <c r="B33" s="8"/>
      <c r="C33" s="159" t="s">
        <v>16</v>
      </c>
      <c r="D33" s="153"/>
      <c r="E33" s="153"/>
      <c r="F33" s="160"/>
      <c r="G33" s="153" t="s">
        <v>1</v>
      </c>
      <c r="H33" s="154"/>
    </row>
    <row r="34" spans="1:9">
      <c r="A34" s="12"/>
      <c r="B34" s="13"/>
      <c r="C34" s="14">
        <v>2011</v>
      </c>
      <c r="D34" s="15">
        <v>2012</v>
      </c>
      <c r="E34" s="15">
        <v>2013</v>
      </c>
      <c r="F34" s="16"/>
      <c r="G34" s="17" t="s">
        <v>222</v>
      </c>
      <c r="H34" s="18" t="s">
        <v>223</v>
      </c>
    </row>
    <row r="35" spans="1:9" ht="12.75" customHeight="1">
      <c r="A35" s="155" t="s">
        <v>79</v>
      </c>
      <c r="B35" s="19" t="s">
        <v>3</v>
      </c>
      <c r="C35" s="84">
        <v>109.48395761946921</v>
      </c>
      <c r="D35" s="84">
        <v>99.056529776607675</v>
      </c>
      <c r="E35" s="85">
        <v>105.86705227926529</v>
      </c>
      <c r="F35" s="22" t="s">
        <v>224</v>
      </c>
      <c r="G35" s="23">
        <v>-3.3035938952582455</v>
      </c>
      <c r="H35" s="24">
        <v>6.875389757764296</v>
      </c>
    </row>
    <row r="36" spans="1:9" ht="12.75" customHeight="1">
      <c r="A36" s="156"/>
      <c r="B36" s="25" t="s">
        <v>127</v>
      </c>
      <c r="C36" s="86">
        <v>24.37490860947257</v>
      </c>
      <c r="D36" s="86">
        <v>24.66118280746571</v>
      </c>
      <c r="E36" s="86">
        <v>25.357250488457183</v>
      </c>
      <c r="F36" s="27"/>
      <c r="G36" s="28">
        <v>4.0301356395767414</v>
      </c>
      <c r="H36" s="29">
        <v>2.8225235035391307</v>
      </c>
    </row>
    <row r="37" spans="1:9">
      <c r="A37" s="30" t="s">
        <v>80</v>
      </c>
      <c r="B37" s="31" t="s">
        <v>3</v>
      </c>
      <c r="C37" s="84">
        <v>51.211964506213192</v>
      </c>
      <c r="D37" s="84">
        <v>50.538717277733298</v>
      </c>
      <c r="E37" s="87">
        <v>41.987762712457915</v>
      </c>
      <c r="F37" s="22" t="s">
        <v>224</v>
      </c>
      <c r="G37" s="32">
        <v>-18.011810096908448</v>
      </c>
      <c r="H37" s="33">
        <v>-16.919611390775884</v>
      </c>
    </row>
    <row r="38" spans="1:9">
      <c r="A38" s="34"/>
      <c r="B38" s="35" t="s">
        <v>127</v>
      </c>
      <c r="C38" s="87">
        <v>8.9487121163177683</v>
      </c>
      <c r="D38" s="87">
        <v>7.6744688976684028</v>
      </c>
      <c r="E38" s="87">
        <v>6.6670381554051072</v>
      </c>
      <c r="F38" s="36"/>
      <c r="G38" s="37">
        <v>-25.497232800148765</v>
      </c>
      <c r="H38" s="29">
        <v>-13.127041827863366</v>
      </c>
    </row>
    <row r="39" spans="1:9">
      <c r="A39" s="30" t="s">
        <v>81</v>
      </c>
      <c r="B39" s="38" t="s">
        <v>3</v>
      </c>
      <c r="C39" s="88">
        <v>1.4875217521808151</v>
      </c>
      <c r="D39" s="88">
        <v>0.1666121726933229</v>
      </c>
      <c r="E39" s="88">
        <v>9.8459835767517739E-2</v>
      </c>
      <c r="F39" s="40" t="s">
        <v>224</v>
      </c>
      <c r="G39" s="41">
        <v>-93.38094816945241</v>
      </c>
      <c r="H39" s="33">
        <v>-40.904776538296957</v>
      </c>
    </row>
    <row r="40" spans="1:9">
      <c r="A40" s="34"/>
      <c r="B40" s="25" t="s">
        <v>127</v>
      </c>
      <c r="C40" s="86">
        <v>0.13070472541370443</v>
      </c>
      <c r="D40" s="86">
        <v>7.4693359003094956E-2</v>
      </c>
      <c r="E40" s="86">
        <v>1.8645328502756589E-2</v>
      </c>
      <c r="F40" s="27"/>
      <c r="G40" s="28">
        <v>-85.734770916858054</v>
      </c>
      <c r="H40" s="29">
        <v>-75.037501657966658</v>
      </c>
    </row>
    <row r="41" spans="1:9">
      <c r="A41" s="30" t="s">
        <v>82</v>
      </c>
      <c r="B41" s="31" t="s">
        <v>3</v>
      </c>
      <c r="C41" s="84">
        <v>3.9146068973581691</v>
      </c>
      <c r="D41" s="84">
        <v>2.0098690099322409</v>
      </c>
      <c r="E41" s="87">
        <v>0.66880498348305861</v>
      </c>
      <c r="F41" s="22" t="s">
        <v>224</v>
      </c>
      <c r="G41" s="23">
        <v>-82.915143179908767</v>
      </c>
      <c r="H41" s="24">
        <v>-66.723951651674753</v>
      </c>
    </row>
    <row r="42" spans="1:9">
      <c r="A42" s="34"/>
      <c r="B42" s="35" t="s">
        <v>127</v>
      </c>
      <c r="C42" s="87">
        <v>5.6900474122260709</v>
      </c>
      <c r="D42" s="87">
        <v>0.16803861566395895</v>
      </c>
      <c r="E42" s="87">
        <v>8.1530138138201161E-2</v>
      </c>
      <c r="F42" s="36"/>
      <c r="G42" s="42">
        <v>-98.567144836736873</v>
      </c>
      <c r="H42" s="24">
        <v>-51.481308140955001</v>
      </c>
    </row>
    <row r="43" spans="1:9">
      <c r="A43" s="30" t="s">
        <v>83</v>
      </c>
      <c r="B43" s="38" t="s">
        <v>3</v>
      </c>
      <c r="C43" s="88">
        <v>9.3939369620782891</v>
      </c>
      <c r="D43" s="88">
        <v>0.95496102766369428</v>
      </c>
      <c r="E43" s="88">
        <v>15.828333989502211</v>
      </c>
      <c r="F43" s="40" t="s">
        <v>224</v>
      </c>
      <c r="G43" s="41">
        <v>68.495211894634565</v>
      </c>
      <c r="H43" s="33">
        <v>1557.4848115243115</v>
      </c>
    </row>
    <row r="44" spans="1:9">
      <c r="A44" s="34"/>
      <c r="B44" s="25" t="s">
        <v>127</v>
      </c>
      <c r="C44" s="86">
        <v>9.0402087509866183E-2</v>
      </c>
      <c r="D44" s="86">
        <v>0.43385527560537629</v>
      </c>
      <c r="E44" s="86">
        <v>0.43839711384901847</v>
      </c>
      <c r="F44" s="27"/>
      <c r="G44" s="28">
        <v>384.94136133877799</v>
      </c>
      <c r="H44" s="29">
        <v>1.0468555988640986</v>
      </c>
    </row>
    <row r="45" spans="1:9">
      <c r="A45" s="30" t="s">
        <v>84</v>
      </c>
      <c r="B45" s="38" t="s">
        <v>3</v>
      </c>
      <c r="C45" s="88">
        <v>3.2417498007859029</v>
      </c>
      <c r="D45" s="88">
        <v>3.315186518897185</v>
      </c>
      <c r="E45" s="88">
        <v>7.067367019130999</v>
      </c>
      <c r="F45" s="40" t="s">
        <v>224</v>
      </c>
      <c r="G45" s="41">
        <v>118.01087232017861</v>
      </c>
      <c r="H45" s="33">
        <v>113.18158054895798</v>
      </c>
    </row>
    <row r="46" spans="1:9">
      <c r="A46" s="34"/>
      <c r="B46" s="25" t="s">
        <v>127</v>
      </c>
      <c r="C46" s="86">
        <v>1.8533138684878034</v>
      </c>
      <c r="D46" s="86">
        <v>1.2017542078468315</v>
      </c>
      <c r="E46" s="86">
        <v>2.9178235977048859</v>
      </c>
      <c r="F46" s="27"/>
      <c r="G46" s="28">
        <v>57.438178568515241</v>
      </c>
      <c r="H46" s="29">
        <v>142.7970360871642</v>
      </c>
    </row>
    <row r="47" spans="1:9">
      <c r="A47" s="30" t="s">
        <v>55</v>
      </c>
      <c r="B47" s="38" t="s">
        <v>3</v>
      </c>
      <c r="C47" s="88">
        <v>40.234177700852861</v>
      </c>
      <c r="D47" s="88">
        <v>42.07118376968792</v>
      </c>
      <c r="E47" s="88">
        <v>54.946206408857179</v>
      </c>
      <c r="F47" s="40" t="s">
        <v>224</v>
      </c>
      <c r="G47" s="41">
        <v>36.565998235108594</v>
      </c>
      <c r="H47" s="33">
        <v>30.602948349757753</v>
      </c>
      <c r="I47" s="65"/>
    </row>
    <row r="48" spans="1:9" ht="13.5" thickBot="1">
      <c r="A48" s="60"/>
      <c r="B48" s="46" t="s">
        <v>127</v>
      </c>
      <c r="C48" s="90">
        <v>7.6617283995173562</v>
      </c>
      <c r="D48" s="90">
        <v>15.108372451678045</v>
      </c>
      <c r="E48" s="90">
        <v>15.233816154857212</v>
      </c>
      <c r="F48" s="48"/>
      <c r="G48" s="61">
        <v>98.830020597139054</v>
      </c>
      <c r="H48" s="50">
        <v>0.83029263132333142</v>
      </c>
      <c r="I48" s="65"/>
    </row>
    <row r="49" spans="1:9">
      <c r="A49" s="62"/>
      <c r="B49" s="62"/>
      <c r="C49" s="21"/>
      <c r="D49" s="21"/>
      <c r="E49" s="117"/>
      <c r="F49" s="63"/>
      <c r="G49" s="42"/>
      <c r="H49" s="64"/>
      <c r="I49" s="65"/>
    </row>
    <row r="50" spans="1:9">
      <c r="A50" s="62"/>
      <c r="B50" s="66"/>
      <c r="C50" s="21"/>
      <c r="D50" s="21"/>
      <c r="E50" s="21"/>
      <c r="F50" s="67"/>
      <c r="G50" s="42"/>
      <c r="H50" s="64"/>
      <c r="I50" s="65"/>
    </row>
    <row r="51" spans="1:9">
      <c r="A51" s="62"/>
      <c r="B51" s="62"/>
      <c r="C51" s="21"/>
      <c r="D51" s="21"/>
      <c r="E51" s="21"/>
      <c r="F51" s="63"/>
      <c r="G51" s="42"/>
      <c r="H51" s="64"/>
      <c r="I51" s="65"/>
    </row>
    <row r="52" spans="1:9">
      <c r="A52" s="62"/>
      <c r="B52" s="66"/>
      <c r="C52" s="21"/>
      <c r="D52" s="21"/>
      <c r="E52" s="21"/>
      <c r="F52" s="67"/>
      <c r="G52" s="42"/>
      <c r="H52" s="64"/>
      <c r="I52" s="65"/>
    </row>
    <row r="53" spans="1:9">
      <c r="A53" s="62"/>
      <c r="B53" s="62"/>
      <c r="C53" s="21"/>
      <c r="D53" s="21"/>
      <c r="E53" s="21"/>
      <c r="F53" s="63"/>
      <c r="G53" s="42"/>
      <c r="H53" s="64"/>
      <c r="I53" s="65"/>
    </row>
    <row r="54" spans="1:9">
      <c r="A54" s="62"/>
      <c r="B54" s="66"/>
      <c r="C54" s="21"/>
      <c r="D54" s="21"/>
      <c r="E54" s="21"/>
      <c r="F54" s="67"/>
      <c r="G54" s="42"/>
      <c r="H54" s="64"/>
      <c r="I54" s="65"/>
    </row>
    <row r="55" spans="1:9">
      <c r="A55" s="62"/>
      <c r="B55" s="62"/>
      <c r="C55" s="21"/>
      <c r="D55" s="21"/>
      <c r="E55" s="21"/>
      <c r="F55" s="63"/>
      <c r="G55" s="42"/>
      <c r="H55" s="64"/>
      <c r="I55" s="65"/>
    </row>
    <row r="56" spans="1:9">
      <c r="A56" s="62"/>
      <c r="B56" s="66"/>
      <c r="C56" s="21"/>
      <c r="D56" s="21"/>
      <c r="E56" s="21"/>
      <c r="F56" s="67"/>
      <c r="G56" s="42"/>
      <c r="H56" s="64"/>
      <c r="I56" s="65"/>
    </row>
    <row r="57" spans="1:9">
      <c r="A57" s="62"/>
      <c r="B57" s="62"/>
      <c r="C57" s="68"/>
      <c r="D57" s="68"/>
      <c r="E57" s="21"/>
      <c r="F57" s="63"/>
      <c r="G57" s="42"/>
      <c r="H57" s="64"/>
      <c r="I57" s="65"/>
    </row>
    <row r="58" spans="1:9">
      <c r="A58" s="69"/>
      <c r="B58" s="66"/>
      <c r="C58" s="21"/>
      <c r="D58" s="21"/>
      <c r="E58" s="21"/>
      <c r="F58" s="67"/>
      <c r="G58" s="42"/>
      <c r="H58" s="64"/>
      <c r="I58" s="65"/>
    </row>
    <row r="59" spans="1:9">
      <c r="A59" s="51"/>
      <c r="B59" s="52"/>
      <c r="C59" s="53"/>
      <c r="D59" s="53"/>
      <c r="E59" s="53"/>
      <c r="F59" s="53"/>
      <c r="G59" s="54"/>
      <c r="H59" s="55"/>
    </row>
    <row r="60" spans="1:9">
      <c r="A60" s="56"/>
      <c r="B60" s="56"/>
      <c r="C60" s="56"/>
      <c r="D60" s="56"/>
      <c r="E60" s="56"/>
      <c r="F60" s="56"/>
      <c r="G60" s="56"/>
      <c r="H60" s="56"/>
    </row>
    <row r="61" spans="1:9" ht="12.75" customHeight="1">
      <c r="A61" s="150">
        <v>24</v>
      </c>
      <c r="H61" s="57" t="s">
        <v>225</v>
      </c>
    </row>
    <row r="62" spans="1:9" ht="12.75" customHeight="1">
      <c r="A62" s="151"/>
      <c r="H62" s="57" t="s">
        <v>226</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65" display="Tilbake til innholdsfortegnelsen"/>
  </hyperlinks>
  <pageMargins left="0.78740157480314965" right="0.78740157480314965" top="0.98425196850393704" bottom="0.31496062992125984" header="0.31496062992125984" footer="3.937007874015748E-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baseColWidth="10"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6" t="s">
        <v>0</v>
      </c>
      <c r="B2" s="2"/>
      <c r="C2" s="2"/>
      <c r="D2" s="2"/>
      <c r="E2" s="2"/>
      <c r="F2" s="2"/>
    </row>
    <row r="3" spans="1:7" ht="6" customHeight="1">
      <c r="A3" s="2"/>
      <c r="B3" s="2"/>
      <c r="C3" s="2"/>
      <c r="D3" s="2"/>
      <c r="E3" s="2"/>
      <c r="F3" s="2"/>
    </row>
    <row r="4" spans="1:7" ht="15.75" customHeight="1">
      <c r="A4" s="92" t="s">
        <v>128</v>
      </c>
      <c r="B4" s="78"/>
      <c r="C4" s="78"/>
      <c r="D4" s="78"/>
      <c r="E4" s="78"/>
      <c r="F4" s="78"/>
      <c r="G4" s="78"/>
    </row>
    <row r="5" spans="1:7" ht="15.75" customHeight="1">
      <c r="A5" s="79"/>
      <c r="B5" s="78"/>
      <c r="C5" s="78"/>
      <c r="D5" s="78"/>
      <c r="E5" s="78"/>
      <c r="F5" s="78"/>
      <c r="G5" s="78"/>
    </row>
    <row r="6" spans="1:7" ht="15.75" customHeight="1">
      <c r="A6" s="77"/>
      <c r="B6" s="77"/>
      <c r="C6" s="77"/>
      <c r="D6" s="77"/>
      <c r="E6" s="77"/>
      <c r="F6" s="77"/>
      <c r="G6" s="77"/>
    </row>
    <row r="7" spans="1:7" ht="15.75" customHeight="1">
      <c r="A7" s="77"/>
      <c r="B7" s="77"/>
      <c r="C7" s="77"/>
      <c r="D7" s="77"/>
      <c r="E7" s="77"/>
      <c r="F7" s="77"/>
      <c r="G7" s="77"/>
    </row>
    <row r="8" spans="1:7" ht="15.75" customHeight="1">
      <c r="A8" s="77"/>
      <c r="B8" s="77"/>
      <c r="C8" s="77"/>
      <c r="D8" s="77"/>
      <c r="E8" s="77"/>
      <c r="F8" s="77"/>
      <c r="G8" s="77"/>
    </row>
    <row r="9" spans="1:7" ht="15.75" customHeight="1">
      <c r="A9" s="77"/>
      <c r="B9" s="77"/>
      <c r="C9" s="77"/>
      <c r="D9" s="77"/>
      <c r="E9" s="77"/>
      <c r="F9" s="77"/>
      <c r="G9" s="77"/>
    </row>
    <row r="10" spans="1:7" ht="15.75" customHeight="1">
      <c r="A10" s="77"/>
      <c r="B10" s="77"/>
      <c r="C10" s="77"/>
      <c r="D10" s="77"/>
      <c r="E10" s="77"/>
      <c r="F10" s="77"/>
      <c r="G10" s="77"/>
    </row>
    <row r="11" spans="1:7" ht="15.75" customHeight="1">
      <c r="A11" s="77"/>
      <c r="B11" s="77"/>
      <c r="C11" s="77"/>
      <c r="D11" s="77"/>
      <c r="E11" s="77"/>
      <c r="F11" s="77"/>
      <c r="G11" s="77"/>
    </row>
    <row r="12" spans="1:7" ht="15.75" customHeight="1">
      <c r="A12" s="77"/>
      <c r="B12" s="77"/>
      <c r="C12" s="77"/>
      <c r="D12" s="77"/>
      <c r="E12" s="77"/>
      <c r="F12" s="77"/>
      <c r="G12" s="77"/>
    </row>
    <row r="13" spans="1:7" ht="15.75" customHeight="1">
      <c r="A13" s="77"/>
      <c r="B13" s="77"/>
      <c r="C13" s="77"/>
      <c r="D13" s="77"/>
      <c r="E13" s="77"/>
      <c r="F13" s="77"/>
      <c r="G13" s="77"/>
    </row>
    <row r="14" spans="1:7" ht="15.75" customHeight="1">
      <c r="A14" s="77"/>
      <c r="B14" s="77"/>
      <c r="C14" s="77"/>
      <c r="D14" s="77"/>
      <c r="E14" s="77"/>
      <c r="F14" s="77"/>
      <c r="G14" s="77"/>
    </row>
    <row r="15" spans="1:7" ht="15.75" customHeight="1">
      <c r="A15" s="77"/>
      <c r="B15" s="77"/>
      <c r="C15" s="77"/>
      <c r="D15" s="77"/>
      <c r="E15" s="77"/>
      <c r="F15" s="77"/>
      <c r="G15" s="77"/>
    </row>
    <row r="16" spans="1:7" ht="15.75" customHeight="1">
      <c r="A16" s="77"/>
      <c r="B16" s="77"/>
      <c r="C16" s="77"/>
      <c r="D16" s="77"/>
      <c r="E16" s="77"/>
      <c r="F16" s="77"/>
      <c r="G16" s="77"/>
    </row>
    <row r="17" spans="1:13" ht="15.75" customHeight="1">
      <c r="A17" s="77"/>
      <c r="B17" s="77"/>
      <c r="C17" s="77"/>
      <c r="D17" s="77"/>
      <c r="E17" s="77"/>
      <c r="F17" s="77"/>
      <c r="G17" s="77"/>
    </row>
    <row r="18" spans="1:13" ht="15.75" customHeight="1">
      <c r="A18" s="77"/>
      <c r="B18" s="77"/>
      <c r="C18" s="77"/>
      <c r="D18" s="77"/>
      <c r="E18" s="77"/>
      <c r="F18" s="77"/>
      <c r="G18" s="77"/>
    </row>
    <row r="19" spans="1:13" ht="15.75" customHeight="1">
      <c r="A19" s="77"/>
      <c r="B19" s="77"/>
      <c r="C19" s="77"/>
      <c r="D19" s="77"/>
      <c r="E19" s="77"/>
      <c r="F19" s="77"/>
      <c r="G19" s="77"/>
    </row>
    <row r="20" spans="1:13" ht="15.75" customHeight="1">
      <c r="A20" s="77"/>
      <c r="B20" s="77"/>
      <c r="C20" s="77"/>
      <c r="D20" s="77"/>
      <c r="E20" s="77"/>
      <c r="F20" s="77"/>
      <c r="G20" s="77"/>
    </row>
    <row r="21" spans="1:13" ht="15.75" customHeight="1">
      <c r="A21" s="77"/>
      <c r="B21" s="77"/>
      <c r="C21" s="77"/>
      <c r="D21" s="77"/>
      <c r="E21" s="77"/>
      <c r="F21" s="77"/>
      <c r="G21" s="77"/>
    </row>
    <row r="22" spans="1:13" ht="15.75" customHeight="1">
      <c r="A22" s="77"/>
      <c r="B22" s="77"/>
      <c r="C22" s="77"/>
      <c r="D22" s="77"/>
      <c r="E22" s="77"/>
      <c r="F22" s="77"/>
      <c r="G22" s="77"/>
    </row>
    <row r="23" spans="1:13" ht="15.75" customHeight="1">
      <c r="A23" s="77"/>
      <c r="B23" s="77"/>
      <c r="C23" s="77"/>
      <c r="D23" s="77"/>
      <c r="E23" s="77"/>
      <c r="F23" s="77"/>
      <c r="G23" s="77"/>
    </row>
    <row r="24" spans="1:13" ht="15.75" customHeight="1">
      <c r="A24" s="77"/>
      <c r="B24" s="77"/>
      <c r="C24" s="77"/>
      <c r="D24" s="77"/>
      <c r="E24" s="77"/>
      <c r="F24" s="77"/>
      <c r="G24" s="77"/>
    </row>
    <row r="25" spans="1:13" ht="15.75" customHeight="1">
      <c r="A25" s="77"/>
      <c r="B25" s="77"/>
      <c r="C25" s="77"/>
      <c r="D25" s="77"/>
      <c r="E25" s="77"/>
      <c r="F25" s="77"/>
      <c r="G25" s="77"/>
    </row>
    <row r="26" spans="1:13" ht="15.75" customHeight="1">
      <c r="A26" s="77"/>
      <c r="B26" s="77"/>
      <c r="C26" s="77"/>
      <c r="D26" s="77"/>
      <c r="E26" s="77"/>
      <c r="F26" s="77"/>
      <c r="G26" s="77"/>
    </row>
    <row r="27" spans="1:13" ht="15.75" customHeight="1">
      <c r="A27" s="77"/>
      <c r="B27" s="77"/>
      <c r="C27" s="77"/>
      <c r="D27" s="77"/>
      <c r="E27" s="77"/>
      <c r="F27" s="77"/>
      <c r="G27" s="77"/>
      <c r="M27" s="81"/>
    </row>
    <row r="28" spans="1:13" ht="15.75" customHeight="1">
      <c r="A28" s="77"/>
      <c r="B28" s="77"/>
      <c r="C28" s="77"/>
      <c r="D28" s="77"/>
      <c r="E28" s="77"/>
      <c r="F28" s="77"/>
      <c r="G28" s="77"/>
      <c r="M28" s="81"/>
    </row>
    <row r="29" spans="1:13" ht="15.75" customHeight="1">
      <c r="A29" s="77"/>
      <c r="B29" s="77"/>
      <c r="C29" s="77"/>
      <c r="D29" s="77"/>
      <c r="E29" s="77"/>
      <c r="F29" s="77"/>
      <c r="G29" s="77"/>
      <c r="M29" s="81"/>
    </row>
    <row r="30" spans="1:13" ht="15.75" customHeight="1">
      <c r="A30" s="77"/>
      <c r="B30" s="77"/>
      <c r="C30" s="77"/>
      <c r="D30" s="77"/>
      <c r="E30" s="77"/>
      <c r="F30" s="77"/>
      <c r="G30" s="77"/>
      <c r="M30" s="81"/>
    </row>
    <row r="31" spans="1:13" ht="15.75" customHeight="1">
      <c r="A31" s="77"/>
      <c r="B31" s="77"/>
      <c r="C31" s="77"/>
      <c r="D31" s="77"/>
      <c r="E31" s="77"/>
      <c r="F31" s="77"/>
      <c r="G31" s="77"/>
      <c r="M31" s="81"/>
    </row>
    <row r="32" spans="1:13" ht="15.75" customHeight="1">
      <c r="A32" s="77"/>
      <c r="B32" s="77"/>
      <c r="C32" s="77"/>
      <c r="D32" s="77"/>
      <c r="E32" s="77"/>
      <c r="F32" s="77"/>
      <c r="G32" s="77"/>
      <c r="M32" s="81"/>
    </row>
    <row r="33" spans="1:13" ht="15.75" customHeight="1">
      <c r="A33" s="77"/>
      <c r="B33" s="77"/>
      <c r="C33" s="77"/>
      <c r="D33" s="77"/>
      <c r="E33" s="77"/>
      <c r="F33" s="77"/>
      <c r="G33" s="77"/>
      <c r="M33" s="81"/>
    </row>
    <row r="34" spans="1:13" ht="15.75" customHeight="1">
      <c r="A34" s="77"/>
      <c r="B34" s="77"/>
      <c r="C34" s="77"/>
      <c r="D34" s="77"/>
      <c r="E34" s="77"/>
      <c r="F34" s="77"/>
      <c r="G34" s="77"/>
      <c r="M34" s="81"/>
    </row>
    <row r="35" spans="1:13" ht="15.75" customHeight="1">
      <c r="A35" s="77"/>
      <c r="B35" s="77"/>
      <c r="C35" s="77"/>
      <c r="D35" s="77"/>
      <c r="E35" s="77"/>
      <c r="F35" s="77"/>
      <c r="G35" s="77"/>
      <c r="M35" s="81"/>
    </row>
    <row r="36" spans="1:13" ht="15.75" customHeight="1">
      <c r="A36" s="77"/>
      <c r="B36" s="77"/>
      <c r="C36" s="77"/>
      <c r="D36" s="77"/>
      <c r="E36" s="77"/>
      <c r="F36" s="77"/>
      <c r="G36" s="77"/>
      <c r="M36" s="81"/>
    </row>
    <row r="37" spans="1:13" ht="15.75" customHeight="1">
      <c r="A37" s="77"/>
      <c r="B37" s="77"/>
      <c r="C37" s="77"/>
      <c r="D37" s="77"/>
      <c r="E37" s="77"/>
      <c r="F37" s="77"/>
      <c r="G37" s="77"/>
      <c r="M37" s="81"/>
    </row>
    <row r="38" spans="1:13" ht="15.75" customHeight="1">
      <c r="A38" s="77"/>
      <c r="B38" s="77"/>
      <c r="C38" s="77"/>
      <c r="D38" s="77"/>
      <c r="E38" s="77"/>
      <c r="F38" s="77"/>
      <c r="G38" s="77"/>
      <c r="M38" s="81"/>
    </row>
    <row r="39" spans="1:13" ht="15.75" customHeight="1">
      <c r="A39" s="77"/>
      <c r="B39" s="77"/>
      <c r="C39" s="77"/>
      <c r="D39" s="77"/>
      <c r="E39" s="77"/>
      <c r="F39" s="77"/>
      <c r="G39" s="77"/>
      <c r="M39" s="81"/>
    </row>
    <row r="40" spans="1:13" ht="15.75" customHeight="1">
      <c r="A40" s="77"/>
      <c r="B40" s="77"/>
      <c r="C40" s="77"/>
      <c r="D40" s="77"/>
      <c r="E40" s="77"/>
      <c r="F40" s="77"/>
      <c r="G40" s="77"/>
      <c r="M40" s="81"/>
    </row>
    <row r="41" spans="1:13" ht="15.75" customHeight="1">
      <c r="A41" s="77"/>
      <c r="B41" s="77"/>
      <c r="C41" s="77"/>
      <c r="D41" s="77"/>
      <c r="E41" s="77"/>
      <c r="F41" s="77"/>
      <c r="G41" s="77"/>
      <c r="M41" s="81"/>
    </row>
    <row r="42" spans="1:13" ht="15.75" customHeight="1">
      <c r="A42" s="77"/>
      <c r="B42" s="77"/>
      <c r="C42" s="77"/>
      <c r="D42" s="77"/>
      <c r="E42" s="77"/>
      <c r="F42" s="77"/>
      <c r="G42" s="77"/>
      <c r="M42" s="81"/>
    </row>
    <row r="43" spans="1:13" ht="15.75" customHeight="1">
      <c r="A43" s="77"/>
      <c r="B43" s="77"/>
      <c r="C43" s="77"/>
      <c r="D43" s="77"/>
      <c r="E43" s="77"/>
      <c r="F43" s="77"/>
      <c r="G43" s="77"/>
      <c r="M43" s="81"/>
    </row>
    <row r="44" spans="1:13" ht="15.75" customHeight="1">
      <c r="A44" s="77"/>
      <c r="B44" s="77"/>
      <c r="C44" s="77"/>
      <c r="D44" s="77"/>
      <c r="E44" s="77"/>
      <c r="F44" s="77"/>
      <c r="G44" s="77"/>
      <c r="M44" s="81"/>
    </row>
    <row r="45" spans="1:13" ht="15.75" customHeight="1">
      <c r="A45" s="77"/>
      <c r="B45" s="77"/>
      <c r="C45" s="77"/>
      <c r="D45" s="77"/>
      <c r="E45" s="77"/>
      <c r="F45" s="77"/>
      <c r="G45" s="77"/>
      <c r="M45" s="81"/>
    </row>
    <row r="46" spans="1:13" ht="15.75" customHeight="1">
      <c r="A46" s="77"/>
      <c r="B46" s="77"/>
      <c r="C46" s="77"/>
      <c r="D46" s="77"/>
      <c r="E46" s="77"/>
      <c r="F46" s="77"/>
      <c r="G46" s="77"/>
      <c r="M46" s="81"/>
    </row>
    <row r="47" spans="1:13" ht="15.75" customHeight="1">
      <c r="A47" s="77"/>
      <c r="B47" s="77"/>
      <c r="C47" s="77"/>
      <c r="D47" s="77"/>
      <c r="E47" s="77"/>
      <c r="F47" s="77"/>
      <c r="G47" s="77"/>
      <c r="M47" s="81"/>
    </row>
    <row r="48" spans="1:13" ht="15.75" customHeight="1">
      <c r="A48" s="77"/>
      <c r="B48" s="77"/>
      <c r="C48" s="77"/>
      <c r="D48" s="77"/>
      <c r="E48" s="77"/>
      <c r="F48" s="77"/>
      <c r="G48" s="77"/>
      <c r="M48" s="81"/>
    </row>
    <row r="49" spans="1:14" ht="15.75" customHeight="1">
      <c r="A49" s="77"/>
      <c r="B49" s="77"/>
      <c r="C49" s="77"/>
      <c r="D49" s="77"/>
      <c r="E49" s="116"/>
      <c r="F49" s="77"/>
      <c r="G49" s="77"/>
      <c r="M49" s="81"/>
    </row>
    <row r="50" spans="1:14" ht="15.75" customHeight="1">
      <c r="A50" s="77"/>
      <c r="B50" s="77"/>
      <c r="C50" s="77"/>
      <c r="D50" s="77"/>
      <c r="E50" s="77"/>
      <c r="F50" s="77"/>
      <c r="G50" s="77"/>
      <c r="M50" s="81"/>
    </row>
    <row r="51" spans="1:14" ht="12.75" customHeight="1">
      <c r="A51" s="56"/>
      <c r="B51" s="56"/>
      <c r="C51" s="56"/>
      <c r="D51" s="56"/>
      <c r="E51" s="56"/>
      <c r="F51" s="56"/>
      <c r="G51" s="56"/>
      <c r="H51" s="56"/>
      <c r="I51" s="56"/>
      <c r="J51" s="56"/>
      <c r="K51" s="56"/>
      <c r="L51" s="56"/>
      <c r="M51" s="56"/>
      <c r="N51" s="56"/>
    </row>
    <row r="52" spans="1:14" ht="12.75" customHeight="1">
      <c r="A52" s="58" t="str">
        <f>+Innhold!H107</f>
        <v>Finans Norge / Skadestatistikk - 4/13</v>
      </c>
      <c r="G52" s="148">
        <v>25</v>
      </c>
      <c r="H52" s="150">
        <v>26</v>
      </c>
      <c r="N52" s="57" t="str">
        <f>+Innhold!H107</f>
        <v>Finans Norge / Skadestatistikk - 4/13</v>
      </c>
    </row>
    <row r="53" spans="1:14" ht="12.75" customHeight="1">
      <c r="A53" s="58" t="str">
        <f>+Innhold!H108</f>
        <v>Skadestatistikk for landbasert forsikring 1. kvartal 2013</v>
      </c>
      <c r="G53" s="149"/>
      <c r="H53" s="151"/>
      <c r="N53" s="57" t="str">
        <f>+Innhold!H108</f>
        <v>Skadestatistikk for landbasert forsikring 1. kvartal 2013</v>
      </c>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5"/>
      <c r="K61" s="76"/>
      <c r="L61" s="76"/>
    </row>
    <row r="62" spans="1:14" ht="15.75" customHeight="1">
      <c r="J62" s="74"/>
      <c r="K62"/>
      <c r="L62"/>
    </row>
    <row r="63" spans="1:14" ht="15.75" customHeight="1">
      <c r="J63" s="73"/>
      <c r="K63" s="73"/>
      <c r="L63" s="73"/>
    </row>
    <row r="64" spans="1:14" ht="15.75" customHeight="1">
      <c r="J64" s="73"/>
      <c r="K64" s="73"/>
      <c r="L64" s="73"/>
    </row>
    <row r="65" spans="1:12" ht="15.75" customHeight="1">
      <c r="J65" s="73"/>
      <c r="K65" s="73"/>
      <c r="L65" s="73"/>
    </row>
    <row r="66" spans="1:12" ht="15.75" customHeight="1">
      <c r="J66" s="73"/>
      <c r="K66" s="73"/>
      <c r="L66" s="73"/>
    </row>
    <row r="67" spans="1:12" ht="15.75" customHeight="1">
      <c r="J67" s="73"/>
      <c r="K67" s="73"/>
      <c r="L67" s="73"/>
    </row>
    <row r="68" spans="1:12" ht="15.75" customHeight="1">
      <c r="J68" s="73"/>
      <c r="K68" s="73"/>
      <c r="L68" s="73"/>
    </row>
    <row r="69" spans="1:12" ht="15.75" customHeight="1">
      <c r="J69" s="73"/>
      <c r="K69" s="73"/>
      <c r="L69" s="73"/>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72"/>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73"/>
      <c r="J105" s="73"/>
      <c r="K105" s="73"/>
    </row>
    <row r="106" spans="1:12">
      <c r="A106"/>
      <c r="B106"/>
      <c r="C106"/>
      <c r="D106"/>
      <c r="E106"/>
      <c r="F106"/>
      <c r="H106"/>
      <c r="I106" s="73"/>
      <c r="J106" s="73"/>
      <c r="K106" s="73"/>
    </row>
    <row r="107" spans="1:12">
      <c r="D107"/>
      <c r="E107"/>
      <c r="F107"/>
      <c r="H107"/>
      <c r="I107" s="73"/>
      <c r="J107" s="73"/>
      <c r="K107" s="73"/>
    </row>
    <row r="108" spans="1:12">
      <c r="D108"/>
      <c r="E108"/>
      <c r="F108"/>
      <c r="H108"/>
      <c r="I108"/>
      <c r="J108"/>
      <c r="K108"/>
    </row>
    <row r="109" spans="1:12">
      <c r="A109" s="82"/>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72"/>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73"/>
      <c r="K118" s="73"/>
    </row>
    <row r="119" spans="1:11">
      <c r="A119"/>
      <c r="B119"/>
      <c r="C119"/>
      <c r="D119"/>
      <c r="E119"/>
      <c r="F119"/>
      <c r="H119"/>
      <c r="I119"/>
      <c r="J119" s="73"/>
      <c r="K119" s="73"/>
    </row>
    <row r="120" spans="1:11">
      <c r="A120"/>
      <c r="B120"/>
      <c r="C120"/>
      <c r="D120"/>
      <c r="E120"/>
      <c r="F120"/>
      <c r="H120"/>
      <c r="I120"/>
      <c r="J120" s="73"/>
      <c r="K120" s="73"/>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73"/>
      <c r="J124" s="73"/>
    </row>
    <row r="125" spans="1:11">
      <c r="A125"/>
      <c r="B125" s="73"/>
      <c r="C125" s="73"/>
      <c r="D125"/>
      <c r="E125"/>
      <c r="F125"/>
      <c r="G125"/>
      <c r="H125"/>
      <c r="I125" s="73"/>
      <c r="J125" s="73"/>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73"/>
      <c r="C129" s="73"/>
      <c r="D129"/>
      <c r="F129"/>
      <c r="G129"/>
      <c r="H129"/>
      <c r="I129"/>
      <c r="J129"/>
    </row>
    <row r="130" spans="1:10">
      <c r="A130"/>
      <c r="B130" s="73"/>
      <c r="C130" s="73"/>
      <c r="D130"/>
      <c r="F130"/>
      <c r="G130"/>
      <c r="H130"/>
      <c r="I130"/>
      <c r="J130"/>
    </row>
    <row r="131" spans="1:10">
      <c r="A131"/>
      <c r="B131" s="73"/>
      <c r="C131" s="73"/>
      <c r="D131"/>
      <c r="F131"/>
    </row>
    <row r="132" spans="1:10">
      <c r="A132"/>
      <c r="B132"/>
      <c r="C132"/>
      <c r="D132"/>
      <c r="F132"/>
    </row>
    <row r="133" spans="1:10">
      <c r="A133"/>
      <c r="B133" s="73"/>
      <c r="C133" s="73"/>
      <c r="D133"/>
      <c r="F133"/>
    </row>
    <row r="134" spans="1:10">
      <c r="A134"/>
      <c r="B134" s="73"/>
      <c r="C134" s="73"/>
      <c r="D134"/>
      <c r="F134"/>
    </row>
    <row r="135" spans="1:10">
      <c r="A135"/>
      <c r="B135" s="73"/>
      <c r="C135" s="73"/>
      <c r="D135"/>
      <c r="F135"/>
    </row>
    <row r="136" spans="1:10">
      <c r="A136"/>
      <c r="B136"/>
      <c r="C136"/>
      <c r="D136"/>
      <c r="F136"/>
    </row>
    <row r="137" spans="1:10">
      <c r="A137"/>
      <c r="B137" s="73"/>
      <c r="C137" s="73"/>
      <c r="D137"/>
      <c r="F137"/>
    </row>
    <row r="138" spans="1:10">
      <c r="A138"/>
      <c r="B138" s="73"/>
      <c r="C138" s="73"/>
      <c r="D138"/>
      <c r="F138"/>
    </row>
  </sheetData>
  <mergeCells count="2">
    <mergeCell ref="H52:H53"/>
    <mergeCell ref="G52:G53"/>
  </mergeCells>
  <phoneticPr fontId="0" type="noConversion"/>
  <hyperlinks>
    <hyperlink ref="A2" location="Innhold!A68" display="Tilbake til innholdsfortegnelsen"/>
  </hyperlinks>
  <pageMargins left="0.78740157480314965" right="0.70866141732283472" top="0.78740157480314965" bottom="0.31496062992125984" header="0.31496062992125984"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baseColWidth="10" defaultColWidth="11.42578125" defaultRowHeight="12.75"/>
  <cols>
    <col min="1" max="1" width="27.140625" style="1" customWidth="1"/>
    <col min="2" max="4" width="10.7109375" style="1" customWidth="1"/>
    <col min="5" max="7" width="7.7109375" style="1" customWidth="1"/>
    <col min="8" max="16384" width="11.42578125" style="1"/>
  </cols>
  <sheetData>
    <row r="1" spans="1:7" ht="5.25" customHeight="1"/>
    <row r="2" spans="1:7">
      <c r="A2" s="96" t="s">
        <v>0</v>
      </c>
      <c r="B2" s="2"/>
      <c r="C2" s="2"/>
      <c r="D2" s="2"/>
      <c r="E2" s="2"/>
      <c r="F2" s="2"/>
    </row>
    <row r="3" spans="1:7" ht="6" customHeight="1">
      <c r="A3" s="2"/>
      <c r="B3" s="2"/>
      <c r="C3" s="2"/>
      <c r="D3" s="2"/>
      <c r="E3" s="2"/>
      <c r="F3" s="2"/>
    </row>
    <row r="4" spans="1:7" ht="15.75" customHeight="1">
      <c r="A4" s="92"/>
      <c r="B4" s="78"/>
      <c r="C4" s="78"/>
      <c r="D4" s="78"/>
      <c r="E4" s="78"/>
      <c r="F4" s="78"/>
      <c r="G4" s="78"/>
    </row>
    <row r="5" spans="1:7" ht="15.75" customHeight="1">
      <c r="A5" s="92"/>
      <c r="B5" s="78"/>
      <c r="C5" s="78"/>
      <c r="D5" s="78"/>
      <c r="E5" s="78"/>
      <c r="F5" s="78"/>
      <c r="G5" s="78"/>
    </row>
    <row r="6" spans="1:7" ht="15.75" customHeight="1">
      <c r="A6" s="77"/>
      <c r="B6" s="77"/>
      <c r="C6" s="77"/>
      <c r="D6" s="77"/>
      <c r="E6" s="77"/>
      <c r="F6" s="77"/>
      <c r="G6" s="77"/>
    </row>
    <row r="7" spans="1:7" ht="15.75" customHeight="1">
      <c r="A7" s="77"/>
      <c r="B7" s="77"/>
      <c r="C7" s="77"/>
      <c r="D7" s="77"/>
      <c r="E7" s="77"/>
      <c r="F7" s="77"/>
      <c r="G7" s="77"/>
    </row>
    <row r="8" spans="1:7" ht="15.75" customHeight="1">
      <c r="A8" s="77"/>
      <c r="B8" s="77"/>
      <c r="C8" s="77"/>
      <c r="D8" s="77"/>
      <c r="E8" s="77"/>
      <c r="F8" s="77"/>
      <c r="G8" s="77"/>
    </row>
    <row r="9" spans="1:7" ht="15.75" customHeight="1">
      <c r="A9" s="77"/>
      <c r="B9" s="77"/>
      <c r="C9" s="77"/>
      <c r="D9" s="77"/>
      <c r="E9" s="77"/>
      <c r="F9" s="77"/>
      <c r="G9" s="77"/>
    </row>
    <row r="10" spans="1:7" ht="15.75" customHeight="1">
      <c r="A10" s="77"/>
      <c r="B10" s="77"/>
      <c r="C10" s="77"/>
      <c r="D10" s="77"/>
      <c r="E10" s="77"/>
      <c r="F10" s="77"/>
      <c r="G10" s="77"/>
    </row>
    <row r="11" spans="1:7" ht="15.75" customHeight="1">
      <c r="A11" s="77"/>
      <c r="B11" s="77"/>
      <c r="C11" s="77"/>
      <c r="D11" s="77"/>
      <c r="E11" s="77"/>
      <c r="F11" s="77"/>
      <c r="G11" s="77"/>
    </row>
    <row r="12" spans="1:7" ht="15.75" customHeight="1">
      <c r="A12" s="77"/>
      <c r="B12" s="77"/>
      <c r="C12" s="77"/>
      <c r="D12" s="77"/>
      <c r="E12" s="77"/>
      <c r="F12" s="77"/>
      <c r="G12" s="77"/>
    </row>
    <row r="13" spans="1:7" ht="15.75" customHeight="1">
      <c r="A13" s="77"/>
      <c r="B13" s="77"/>
      <c r="C13" s="77"/>
      <c r="D13" s="77"/>
      <c r="E13" s="77"/>
      <c r="F13" s="77"/>
      <c r="G13" s="77"/>
    </row>
    <row r="14" spans="1:7" ht="15.75" customHeight="1">
      <c r="A14" s="77"/>
      <c r="B14" s="77"/>
      <c r="C14" s="77"/>
      <c r="D14" s="77"/>
      <c r="E14" s="77"/>
      <c r="F14" s="77"/>
      <c r="G14" s="77"/>
    </row>
    <row r="15" spans="1:7" ht="15.75" customHeight="1">
      <c r="A15" s="77"/>
      <c r="B15" s="77"/>
      <c r="C15" s="77"/>
      <c r="D15" s="77"/>
      <c r="E15" s="77"/>
      <c r="F15" s="77"/>
      <c r="G15" s="77"/>
    </row>
    <row r="16" spans="1:7" ht="15.75" customHeight="1">
      <c r="A16" s="77"/>
      <c r="B16" s="77"/>
      <c r="C16" s="77"/>
      <c r="D16" s="77"/>
      <c r="E16" s="77"/>
      <c r="F16" s="77"/>
      <c r="G16" s="77"/>
    </row>
    <row r="17" spans="1:13" ht="15.75" customHeight="1">
      <c r="A17" s="77"/>
      <c r="B17" s="77"/>
      <c r="C17" s="77"/>
      <c r="D17" s="77"/>
      <c r="E17" s="77"/>
      <c r="F17" s="77"/>
      <c r="G17" s="77"/>
    </row>
    <row r="18" spans="1:13" ht="15.75" customHeight="1">
      <c r="A18" s="77"/>
      <c r="B18" s="77"/>
      <c r="C18" s="77"/>
      <c r="D18" s="77"/>
      <c r="E18" s="77"/>
      <c r="F18" s="77"/>
      <c r="G18" s="77"/>
    </row>
    <row r="19" spans="1:13" ht="15.75" customHeight="1">
      <c r="A19" s="77"/>
      <c r="B19" s="77"/>
      <c r="C19" s="77"/>
      <c r="D19" s="77"/>
      <c r="E19" s="77"/>
      <c r="F19" s="77"/>
      <c r="G19" s="77"/>
    </row>
    <row r="20" spans="1:13" ht="15.75" customHeight="1">
      <c r="A20" s="77"/>
      <c r="B20" s="77"/>
      <c r="C20" s="77"/>
      <c r="D20" s="77"/>
      <c r="E20" s="77"/>
      <c r="F20" s="77"/>
      <c r="G20" s="77"/>
    </row>
    <row r="21" spans="1:13" ht="15.75" customHeight="1">
      <c r="A21" s="77"/>
      <c r="B21" s="77"/>
      <c r="C21" s="77"/>
      <c r="D21" s="77"/>
      <c r="E21" s="77"/>
      <c r="F21" s="77"/>
      <c r="G21" s="77"/>
    </row>
    <row r="22" spans="1:13" ht="15.75" customHeight="1">
      <c r="A22" s="77"/>
      <c r="B22" s="77"/>
      <c r="C22" s="77"/>
      <c r="D22" s="77"/>
      <c r="E22" s="77"/>
      <c r="F22" s="77"/>
      <c r="G22" s="77"/>
    </row>
    <row r="23" spans="1:13" ht="15.75" customHeight="1">
      <c r="A23" s="77"/>
      <c r="B23" s="77"/>
      <c r="C23" s="77"/>
      <c r="D23" s="77"/>
      <c r="E23" s="77"/>
      <c r="F23" s="77"/>
      <c r="G23" s="77"/>
    </row>
    <row r="24" spans="1:13" ht="15.75" customHeight="1">
      <c r="A24" s="77"/>
      <c r="B24" s="77"/>
      <c r="C24" s="77"/>
      <c r="D24" s="77"/>
      <c r="E24" s="77"/>
      <c r="F24" s="77"/>
      <c r="G24" s="77"/>
    </row>
    <row r="25" spans="1:13" ht="15.75" customHeight="1">
      <c r="A25" s="77"/>
      <c r="B25" s="77"/>
      <c r="C25" s="77"/>
      <c r="D25" s="77"/>
      <c r="E25" s="77"/>
      <c r="F25" s="77"/>
      <c r="G25" s="77"/>
    </row>
    <row r="26" spans="1:13" ht="15.75" customHeight="1">
      <c r="A26" s="77"/>
      <c r="B26" s="77"/>
      <c r="C26" s="77"/>
      <c r="D26" s="77"/>
      <c r="E26" s="77"/>
      <c r="F26" s="77"/>
      <c r="G26" s="77"/>
    </row>
    <row r="27" spans="1:13" ht="15.75" customHeight="1">
      <c r="A27" s="77"/>
      <c r="B27" s="77"/>
      <c r="C27" s="77"/>
      <c r="D27" s="77"/>
      <c r="E27" s="77"/>
      <c r="F27" s="77"/>
      <c r="G27" s="77"/>
      <c r="M27" s="81"/>
    </row>
    <row r="28" spans="1:13" ht="15.75" customHeight="1">
      <c r="A28" s="77"/>
      <c r="B28" s="77"/>
      <c r="C28" s="77"/>
      <c r="D28" s="77"/>
      <c r="E28" s="77"/>
      <c r="F28" s="77"/>
      <c r="G28" s="77"/>
      <c r="M28" s="81"/>
    </row>
    <row r="29" spans="1:13" ht="15.75" customHeight="1">
      <c r="A29" s="77"/>
      <c r="B29" s="77"/>
      <c r="C29" s="77"/>
      <c r="D29" s="77"/>
      <c r="E29" s="77"/>
      <c r="F29" s="77"/>
      <c r="G29" s="77"/>
      <c r="M29" s="81"/>
    </row>
    <row r="30" spans="1:13" ht="15.75" customHeight="1">
      <c r="A30" s="77"/>
      <c r="B30" s="77"/>
      <c r="C30" s="77"/>
      <c r="D30" s="77"/>
      <c r="E30" s="77"/>
      <c r="F30" s="77"/>
      <c r="G30" s="77"/>
      <c r="M30" s="81"/>
    </row>
    <row r="31" spans="1:13" ht="15.75" customHeight="1">
      <c r="A31" s="77"/>
      <c r="B31" s="77"/>
      <c r="C31" s="77"/>
      <c r="D31" s="77"/>
      <c r="E31" s="77"/>
      <c r="F31" s="77"/>
      <c r="G31" s="77"/>
      <c r="M31" s="81"/>
    </row>
    <row r="32" spans="1:13" ht="15.75" customHeight="1">
      <c r="A32" s="77"/>
      <c r="B32" s="77"/>
      <c r="C32" s="77"/>
      <c r="D32" s="77"/>
      <c r="E32" s="77"/>
      <c r="F32" s="77"/>
      <c r="G32" s="77"/>
      <c r="M32" s="81"/>
    </row>
    <row r="33" spans="1:13" ht="15.75" customHeight="1">
      <c r="A33" s="77"/>
      <c r="B33" s="77"/>
      <c r="C33" s="77"/>
      <c r="D33" s="77"/>
      <c r="E33" s="77"/>
      <c r="F33" s="77"/>
      <c r="G33" s="77"/>
      <c r="M33" s="81"/>
    </row>
    <row r="34" spans="1:13" ht="15.75" customHeight="1">
      <c r="A34" s="77"/>
      <c r="B34" s="77"/>
      <c r="C34" s="77"/>
      <c r="D34" s="77"/>
      <c r="E34" s="77"/>
      <c r="F34" s="77"/>
      <c r="G34" s="77"/>
      <c r="M34" s="81"/>
    </row>
    <row r="35" spans="1:13" ht="15.75" customHeight="1">
      <c r="A35" s="77"/>
      <c r="B35" s="77"/>
      <c r="C35" s="77"/>
      <c r="D35" s="77"/>
      <c r="E35" s="77"/>
      <c r="F35" s="77"/>
      <c r="G35" s="77"/>
      <c r="M35" s="81"/>
    </row>
    <row r="36" spans="1:13" ht="15.75" customHeight="1">
      <c r="A36" s="77"/>
      <c r="B36" s="77"/>
      <c r="C36" s="77"/>
      <c r="D36" s="77"/>
      <c r="E36" s="77"/>
      <c r="F36" s="77"/>
      <c r="G36" s="77"/>
      <c r="M36" s="81"/>
    </row>
    <row r="37" spans="1:13" ht="15.75" customHeight="1">
      <c r="A37" s="77"/>
      <c r="B37" s="77"/>
      <c r="C37" s="77"/>
      <c r="D37" s="77"/>
      <c r="E37" s="77"/>
      <c r="F37" s="77"/>
      <c r="G37" s="77"/>
      <c r="M37" s="81"/>
    </row>
    <row r="38" spans="1:13" ht="15.75" customHeight="1">
      <c r="A38" s="77"/>
      <c r="B38" s="77"/>
      <c r="C38" s="77"/>
      <c r="D38" s="77"/>
      <c r="E38" s="77"/>
      <c r="F38" s="77"/>
      <c r="G38" s="77"/>
      <c r="M38" s="81"/>
    </row>
    <row r="39" spans="1:13" ht="15.75" customHeight="1">
      <c r="A39" s="77"/>
      <c r="B39" s="77"/>
      <c r="C39" s="77"/>
      <c r="D39" s="77"/>
      <c r="E39" s="77"/>
      <c r="F39" s="77"/>
      <c r="G39" s="77"/>
      <c r="M39" s="81"/>
    </row>
    <row r="40" spans="1:13" ht="15.75" customHeight="1">
      <c r="A40" s="77"/>
      <c r="B40" s="77"/>
      <c r="C40" s="77"/>
      <c r="D40" s="77"/>
      <c r="E40" s="77"/>
      <c r="F40" s="77"/>
      <c r="G40" s="77"/>
      <c r="M40" s="81"/>
    </row>
    <row r="41" spans="1:13" ht="15.75" customHeight="1">
      <c r="A41" s="77"/>
      <c r="B41" s="77"/>
      <c r="C41" s="77"/>
      <c r="D41" s="77"/>
      <c r="E41" s="77"/>
      <c r="F41" s="77"/>
      <c r="G41" s="77"/>
      <c r="M41" s="81"/>
    </row>
    <row r="42" spans="1:13" ht="15.75" customHeight="1">
      <c r="A42" s="77"/>
      <c r="B42" s="77"/>
      <c r="C42" s="77"/>
      <c r="D42" s="77"/>
      <c r="E42" s="77"/>
      <c r="F42" s="77"/>
      <c r="G42" s="77"/>
      <c r="M42" s="81"/>
    </row>
    <row r="43" spans="1:13" ht="15.75" customHeight="1">
      <c r="A43" s="77"/>
      <c r="B43" s="77"/>
      <c r="C43" s="77"/>
      <c r="D43" s="77"/>
      <c r="E43" s="77"/>
      <c r="F43" s="77"/>
      <c r="G43" s="77"/>
      <c r="M43" s="81"/>
    </row>
    <row r="44" spans="1:13" ht="15.75" customHeight="1">
      <c r="A44" s="77"/>
      <c r="B44" s="77"/>
      <c r="C44" s="77"/>
      <c r="D44" s="77"/>
      <c r="E44" s="77"/>
      <c r="F44" s="77"/>
      <c r="G44" s="77"/>
      <c r="M44" s="81"/>
    </row>
    <row r="45" spans="1:13" ht="15.75" customHeight="1">
      <c r="A45" s="97" t="s">
        <v>190</v>
      </c>
      <c r="B45" s="77"/>
      <c r="C45" s="77"/>
      <c r="D45" s="77"/>
      <c r="E45" s="77"/>
      <c r="F45" s="77"/>
      <c r="G45" s="77"/>
      <c r="M45" s="81"/>
    </row>
    <row r="46" spans="1:13" ht="15.75" customHeight="1">
      <c r="A46" s="97" t="s">
        <v>189</v>
      </c>
      <c r="B46" s="77"/>
      <c r="C46" s="77"/>
      <c r="D46" s="77"/>
      <c r="E46" s="77"/>
      <c r="F46" s="77"/>
      <c r="G46" s="77"/>
      <c r="M46" s="81"/>
    </row>
    <row r="47" spans="1:13" ht="15.75" customHeight="1">
      <c r="A47" s="97" t="s">
        <v>151</v>
      </c>
      <c r="B47" s="77"/>
      <c r="C47" s="77"/>
      <c r="D47" s="77"/>
      <c r="E47" s="77"/>
      <c r="F47" s="77"/>
      <c r="G47" s="77"/>
      <c r="M47" s="81"/>
    </row>
    <row r="48" spans="1:13" ht="15.75" customHeight="1">
      <c r="A48" s="97" t="s">
        <v>201</v>
      </c>
      <c r="B48" s="77"/>
      <c r="C48" s="77"/>
      <c r="D48" s="77"/>
      <c r="E48" s="77"/>
      <c r="F48" s="77"/>
      <c r="G48" s="77"/>
      <c r="M48" s="81"/>
    </row>
    <row r="49" spans="1:13" ht="3.75" customHeight="1">
      <c r="A49" s="77"/>
      <c r="B49" s="77"/>
      <c r="C49" s="77"/>
      <c r="D49" s="77"/>
      <c r="E49" s="116"/>
      <c r="F49" s="77"/>
      <c r="G49" s="77"/>
      <c r="M49" s="81"/>
    </row>
    <row r="50" spans="1:13" ht="12.75" customHeight="1">
      <c r="A50" s="56"/>
      <c r="B50" s="56"/>
      <c r="C50" s="56"/>
      <c r="D50" s="56"/>
      <c r="E50" s="56"/>
      <c r="F50" s="56"/>
      <c r="G50" s="56"/>
      <c r="H50" s="81"/>
    </row>
    <row r="51" spans="1:13" ht="12.75" customHeight="1">
      <c r="A51" s="58" t="str">
        <f>+Innhold!H107</f>
        <v>Finans Norge / Skadestatistikk - 4/13</v>
      </c>
      <c r="G51" s="148">
        <v>3</v>
      </c>
      <c r="H51" s="81"/>
    </row>
    <row r="52" spans="1:13" ht="12.75" customHeight="1">
      <c r="A52" s="58" t="str">
        <f>+Innhold!H108</f>
        <v>Skadestatistikk for landbasert forsikring 1. kvartal 2013</v>
      </c>
      <c r="G52" s="149"/>
      <c r="H52" s="81"/>
    </row>
    <row r="53" spans="1:13" ht="15.75" customHeight="1">
      <c r="H53" s="81"/>
    </row>
    <row r="54" spans="1:13" ht="15.75" customHeight="1"/>
    <row r="55" spans="1:13" ht="15.75" customHeight="1"/>
    <row r="56" spans="1:13" ht="15.75" customHeight="1"/>
    <row r="57" spans="1:13" ht="15.75" customHeight="1"/>
    <row r="58" spans="1:13" ht="15.75" customHeight="1"/>
    <row r="59" spans="1:13" ht="15.75" customHeight="1">
      <c r="J59"/>
      <c r="K59"/>
      <c r="L59"/>
    </row>
    <row r="60" spans="1:13" ht="15.75" customHeight="1">
      <c r="J60" s="75"/>
      <c r="K60" s="76"/>
      <c r="L60" s="76"/>
    </row>
    <row r="61" spans="1:13" ht="15.75" customHeight="1">
      <c r="J61" s="74"/>
      <c r="K61"/>
      <c r="L61"/>
    </row>
    <row r="62" spans="1:13" ht="15.75" customHeight="1">
      <c r="J62" s="73"/>
      <c r="K62" s="73"/>
      <c r="L62" s="73"/>
    </row>
    <row r="63" spans="1:13" ht="15.75" customHeight="1">
      <c r="J63" s="73"/>
      <c r="K63" s="73"/>
      <c r="L63" s="73"/>
    </row>
    <row r="64" spans="1:13" ht="15.75" customHeight="1">
      <c r="J64" s="73"/>
      <c r="K64" s="73"/>
      <c r="L64" s="73"/>
    </row>
    <row r="65" spans="1:12" ht="15.75" customHeight="1">
      <c r="J65" s="73"/>
      <c r="K65" s="73"/>
      <c r="L65" s="73"/>
    </row>
    <row r="66" spans="1:12" ht="15.75" customHeight="1">
      <c r="J66" s="73"/>
      <c r="K66" s="73"/>
      <c r="L66" s="73"/>
    </row>
    <row r="67" spans="1:12" ht="15.75" customHeight="1">
      <c r="J67" s="73"/>
      <c r="K67" s="73"/>
      <c r="L67" s="73"/>
    </row>
    <row r="68" spans="1:12" ht="15.75" customHeight="1">
      <c r="J68" s="73"/>
      <c r="K68" s="73"/>
      <c r="L68" s="73"/>
    </row>
    <row r="69" spans="1:12" ht="15.75" customHeight="1">
      <c r="J69"/>
      <c r="K69"/>
      <c r="L69"/>
    </row>
    <row r="70" spans="1:12">
      <c r="J70"/>
      <c r="K70"/>
      <c r="L70"/>
    </row>
    <row r="71" spans="1:12">
      <c r="J71"/>
      <c r="K71"/>
      <c r="L71"/>
    </row>
    <row r="72" spans="1:12">
      <c r="A72"/>
      <c r="B72"/>
      <c r="C72"/>
      <c r="D72"/>
      <c r="E72"/>
      <c r="F72"/>
      <c r="H72"/>
      <c r="I7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K98"/>
    </row>
    <row r="99" spans="1:12">
      <c r="A99"/>
      <c r="B99"/>
      <c r="C99"/>
      <c r="D99"/>
      <c r="E99"/>
      <c r="F99"/>
      <c r="K99"/>
    </row>
    <row r="100" spans="1:12">
      <c r="A100"/>
      <c r="B100"/>
      <c r="C100"/>
      <c r="D100"/>
      <c r="E100"/>
      <c r="F100"/>
      <c r="H100" s="72"/>
      <c r="I100"/>
      <c r="J100"/>
      <c r="K100"/>
    </row>
    <row r="101" spans="1:12">
      <c r="A101"/>
      <c r="B101"/>
      <c r="C101"/>
      <c r="D101"/>
      <c r="E101"/>
      <c r="F101"/>
      <c r="H101"/>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s="73"/>
      <c r="J104" s="73"/>
      <c r="K104" s="73"/>
    </row>
    <row r="105" spans="1:12">
      <c r="A105"/>
      <c r="B105"/>
      <c r="C105"/>
      <c r="D105"/>
      <c r="E105"/>
      <c r="F105"/>
      <c r="H105"/>
      <c r="I105" s="73"/>
      <c r="J105" s="73"/>
      <c r="K105" s="73"/>
    </row>
    <row r="106" spans="1:12">
      <c r="D106"/>
      <c r="E106"/>
      <c r="F106"/>
      <c r="H106"/>
      <c r="I106" s="73"/>
      <c r="J106" s="73"/>
      <c r="K106" s="73"/>
    </row>
    <row r="107" spans="1:12">
      <c r="D107"/>
      <c r="E107"/>
      <c r="F107"/>
      <c r="H107"/>
      <c r="I107"/>
      <c r="J107"/>
      <c r="K107"/>
    </row>
    <row r="108" spans="1:12">
      <c r="A108" s="82"/>
      <c r="B108"/>
      <c r="C108"/>
      <c r="D108"/>
      <c r="E108"/>
      <c r="F108"/>
      <c r="H108"/>
      <c r="I108"/>
      <c r="J108"/>
      <c r="K108"/>
    </row>
    <row r="109" spans="1:12">
      <c r="A109"/>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row>
    <row r="113" spans="1:11">
      <c r="A113"/>
      <c r="B113"/>
      <c r="C113"/>
      <c r="D113"/>
      <c r="E113"/>
      <c r="F113"/>
    </row>
    <row r="114" spans="1:11">
      <c r="A114"/>
      <c r="B114"/>
      <c r="C114"/>
      <c r="D114"/>
      <c r="E114"/>
      <c r="F114"/>
      <c r="H114" s="72"/>
      <c r="I114"/>
      <c r="J114"/>
      <c r="K114"/>
    </row>
    <row r="115" spans="1:11">
      <c r="A115"/>
      <c r="B115"/>
      <c r="C115"/>
      <c r="D115"/>
      <c r="E115"/>
      <c r="F115"/>
      <c r="H115"/>
      <c r="I115"/>
      <c r="J115"/>
      <c r="K115"/>
    </row>
    <row r="116" spans="1:11">
      <c r="A116"/>
      <c r="B116"/>
      <c r="C116"/>
      <c r="D116"/>
      <c r="E116"/>
      <c r="F116"/>
      <c r="H116"/>
      <c r="I116"/>
      <c r="J116"/>
      <c r="K116"/>
    </row>
    <row r="117" spans="1:11">
      <c r="A117"/>
      <c r="B117"/>
      <c r="C117"/>
      <c r="D117"/>
      <c r="E117"/>
      <c r="F117"/>
      <c r="H117"/>
      <c r="I117"/>
      <c r="J117" s="73"/>
      <c r="K117" s="73"/>
    </row>
    <row r="118" spans="1:11">
      <c r="A118"/>
      <c r="B118"/>
      <c r="C118"/>
      <c r="D118"/>
      <c r="E118"/>
      <c r="F118"/>
      <c r="H118"/>
      <c r="I118"/>
      <c r="J118" s="73"/>
      <c r="K118" s="73"/>
    </row>
    <row r="119" spans="1:11">
      <c r="A119"/>
      <c r="B119"/>
      <c r="C119"/>
      <c r="D119"/>
      <c r="E119"/>
      <c r="F119"/>
      <c r="H119"/>
      <c r="I119"/>
      <c r="J119" s="73"/>
      <c r="K119" s="73"/>
    </row>
    <row r="120" spans="1:11">
      <c r="A120"/>
      <c r="B120"/>
      <c r="C120"/>
      <c r="D120"/>
      <c r="E120"/>
      <c r="F120"/>
      <c r="H120"/>
      <c r="I120"/>
      <c r="J120"/>
      <c r="K120"/>
    </row>
    <row r="121" spans="1:11">
      <c r="A121"/>
      <c r="B121"/>
      <c r="C121"/>
      <c r="D121"/>
      <c r="E121"/>
      <c r="F121"/>
      <c r="G121"/>
      <c r="H121"/>
      <c r="I121"/>
      <c r="J121"/>
      <c r="K121"/>
    </row>
    <row r="122" spans="1:11">
      <c r="A122"/>
      <c r="B122"/>
      <c r="C122"/>
      <c r="D122"/>
      <c r="E122"/>
      <c r="F122"/>
      <c r="G122"/>
      <c r="H122"/>
      <c r="I122"/>
      <c r="J122"/>
      <c r="K122"/>
    </row>
    <row r="123" spans="1:11">
      <c r="A123"/>
      <c r="B123"/>
      <c r="C123"/>
      <c r="D123"/>
      <c r="E123"/>
      <c r="F123"/>
      <c r="G123"/>
      <c r="H123"/>
      <c r="I123" s="73"/>
      <c r="J123" s="73"/>
    </row>
    <row r="124" spans="1:11">
      <c r="A124"/>
      <c r="B124" s="73"/>
      <c r="C124" s="73"/>
      <c r="D124"/>
      <c r="E124"/>
      <c r="F124"/>
      <c r="G124"/>
      <c r="H124"/>
      <c r="I124" s="73"/>
      <c r="J124" s="73"/>
    </row>
    <row r="125" spans="1:11">
      <c r="A125"/>
      <c r="B125"/>
      <c r="C125"/>
      <c r="D125"/>
      <c r="F125"/>
      <c r="G125"/>
      <c r="H125"/>
      <c r="I125"/>
      <c r="J125"/>
    </row>
    <row r="126" spans="1:11">
      <c r="A126"/>
      <c r="B126"/>
      <c r="C126"/>
      <c r="D126"/>
      <c r="F126"/>
      <c r="G126"/>
      <c r="H126"/>
      <c r="I126"/>
      <c r="J126"/>
    </row>
    <row r="127" spans="1:11">
      <c r="A127"/>
      <c r="B127"/>
      <c r="C127"/>
      <c r="D127"/>
      <c r="F127"/>
      <c r="G127"/>
      <c r="H127"/>
      <c r="I127"/>
      <c r="J127"/>
    </row>
    <row r="128" spans="1:11">
      <c r="A128"/>
      <c r="B128" s="73"/>
      <c r="C128" s="73"/>
      <c r="D128"/>
      <c r="F128"/>
      <c r="G128"/>
      <c r="H128"/>
      <c r="I128"/>
      <c r="J128"/>
    </row>
    <row r="129" spans="1:10">
      <c r="A129"/>
      <c r="B129" s="73"/>
      <c r="C129" s="73"/>
      <c r="D129"/>
      <c r="F129"/>
      <c r="G129"/>
      <c r="H129"/>
      <c r="I129"/>
      <c r="J129"/>
    </row>
    <row r="130" spans="1:10">
      <c r="A130"/>
      <c r="B130" s="73"/>
      <c r="C130" s="73"/>
      <c r="D130"/>
      <c r="F130"/>
    </row>
    <row r="131" spans="1:10">
      <c r="A131"/>
      <c r="B131"/>
      <c r="C131"/>
      <c r="D131"/>
      <c r="F131"/>
    </row>
    <row r="132" spans="1:10">
      <c r="A132"/>
      <c r="B132" s="73"/>
      <c r="C132" s="73"/>
      <c r="D132"/>
      <c r="F132"/>
    </row>
    <row r="133" spans="1:10">
      <c r="A133"/>
      <c r="B133" s="73"/>
      <c r="C133" s="73"/>
      <c r="D133"/>
      <c r="F133"/>
    </row>
    <row r="134" spans="1:10">
      <c r="A134"/>
      <c r="B134" s="73"/>
      <c r="C134" s="73"/>
      <c r="D134"/>
      <c r="F134"/>
    </row>
    <row r="135" spans="1:10">
      <c r="A135"/>
      <c r="B135"/>
      <c r="C135"/>
      <c r="D135"/>
      <c r="F135"/>
    </row>
    <row r="136" spans="1:10">
      <c r="A136"/>
      <c r="B136" s="73"/>
      <c r="C136" s="73"/>
      <c r="D136"/>
      <c r="F136"/>
    </row>
    <row r="137" spans="1:10">
      <c r="A137"/>
      <c r="B137" s="73"/>
      <c r="C137" s="73"/>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31496062992125984" header="0.31496062992125984"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03"/>
  <sheetViews>
    <sheetView showGridLines="0" showRowColHeaders="0" topLeftCell="A2" zoomScale="70" zoomScaleNormal="7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6" t="s">
        <v>0</v>
      </c>
      <c r="B2" s="2"/>
      <c r="C2" s="2"/>
      <c r="D2" s="2"/>
      <c r="E2" s="2"/>
      <c r="F2" s="2"/>
      <c r="G2" s="2"/>
    </row>
    <row r="3" spans="1:36" ht="6" customHeight="1">
      <c r="A3" s="3"/>
      <c r="B3" s="2"/>
      <c r="C3" s="2"/>
      <c r="D3" s="2"/>
      <c r="E3" s="2"/>
      <c r="F3" s="2"/>
      <c r="G3" s="2"/>
    </row>
    <row r="4" spans="1:36" ht="12.75" customHeight="1">
      <c r="A4" s="152" t="s">
        <v>107</v>
      </c>
      <c r="B4" s="2"/>
      <c r="C4" s="2"/>
      <c r="D4" s="2"/>
      <c r="E4" s="2"/>
      <c r="F4" s="2"/>
      <c r="G4" s="2"/>
      <c r="H4" s="71"/>
    </row>
    <row r="5" spans="1:36" ht="12.75" customHeight="1">
      <c r="A5" s="152"/>
      <c r="B5" s="2"/>
      <c r="C5" s="2"/>
      <c r="D5" s="2"/>
      <c r="E5" s="2"/>
      <c r="F5" s="2"/>
      <c r="G5" s="2"/>
      <c r="H5" s="71"/>
    </row>
    <row r="6" spans="1:36" ht="15.75">
      <c r="A6" s="4" t="str">
        <f>"Figur 1. Antall meldte skader etter bransjer "&amp;'Tab3'!H63</f>
        <v>Figur 1. Antall meldte skader etter bransjer 1.kvartal</v>
      </c>
      <c r="B6" s="2"/>
      <c r="C6" s="2"/>
      <c r="D6" s="2"/>
      <c r="E6" s="2"/>
      <c r="F6" s="2"/>
      <c r="G6" s="2"/>
      <c r="H6" s="71"/>
      <c r="I6" s="4" t="str">
        <f>"Figur 3. Anslått erstatning etter bransje, pr. "&amp;'Tab3'!H63</f>
        <v>Figur 3. Anslått erstatning etter bransje, pr. 1.kvartal</v>
      </c>
      <c r="P6" s="4" t="s">
        <v>211</v>
      </c>
      <c r="W6" s="4" t="str">
        <f>"Figur 7. Antall meldte skader i de Brann-kombinerte bransjer etter skadetype "&amp;'Tab3'!H63</f>
        <v>Figur 7. Antall meldte skader i de Brann-kombinerte bransjer etter skadetype 1.kvartal</v>
      </c>
      <c r="X6" s="4"/>
      <c r="AD6" s="4" t="str">
        <f>"Figur 9. Brannskader pr. kvartal"</f>
        <v>Figur 9. Brannskader pr. kvartal</v>
      </c>
    </row>
    <row r="7" spans="1:36" ht="15.75">
      <c r="A7" s="3"/>
      <c r="B7" s="2"/>
      <c r="C7" s="2"/>
      <c r="D7" s="2"/>
      <c r="E7" s="2"/>
      <c r="F7" s="2"/>
      <c r="G7" s="2"/>
      <c r="H7" s="71"/>
      <c r="V7" s="92"/>
      <c r="AJ7" s="92"/>
    </row>
    <row r="8" spans="1:36">
      <c r="A8" s="3"/>
      <c r="B8" s="2"/>
      <c r="C8" s="2"/>
      <c r="D8" s="2"/>
      <c r="E8" s="2"/>
      <c r="F8" s="2"/>
      <c r="G8" s="2"/>
      <c r="H8" s="71"/>
    </row>
    <row r="9" spans="1:36">
      <c r="A9" s="3"/>
      <c r="B9" s="2"/>
      <c r="C9" s="2"/>
      <c r="D9" s="2"/>
      <c r="E9" s="2"/>
      <c r="F9" s="2"/>
      <c r="G9" s="2"/>
      <c r="H9" s="71"/>
    </row>
    <row r="10" spans="1:36">
      <c r="A10" s="3"/>
      <c r="B10" s="2"/>
      <c r="C10" s="2"/>
      <c r="D10" s="2"/>
      <c r="E10" s="2"/>
      <c r="F10" s="2"/>
      <c r="G10" s="2"/>
      <c r="H10" s="71"/>
    </row>
    <row r="11" spans="1:36">
      <c r="A11" s="3"/>
      <c r="B11" s="2"/>
      <c r="C11" s="2"/>
      <c r="D11" s="2"/>
      <c r="E11" s="2"/>
      <c r="F11" s="2"/>
      <c r="G11" s="2"/>
      <c r="H11" s="71"/>
    </row>
    <row r="12" spans="1:36">
      <c r="A12" s="3"/>
      <c r="B12" s="2"/>
      <c r="C12" s="2"/>
      <c r="D12" s="2"/>
      <c r="E12" s="2"/>
      <c r="F12" s="2"/>
      <c r="G12" s="2"/>
      <c r="H12" s="71"/>
    </row>
    <row r="13" spans="1:36">
      <c r="A13" s="3"/>
      <c r="B13" s="2"/>
      <c r="C13" s="2"/>
      <c r="D13" s="2"/>
      <c r="E13" s="2"/>
      <c r="F13" s="2"/>
      <c r="G13" s="2"/>
      <c r="H13" s="71"/>
    </row>
    <row r="14" spans="1:36">
      <c r="A14" s="3"/>
      <c r="B14" s="2"/>
      <c r="C14" s="2"/>
      <c r="D14" s="2"/>
      <c r="E14" s="2"/>
      <c r="F14" s="2"/>
      <c r="G14" s="2"/>
      <c r="H14" s="71"/>
    </row>
    <row r="15" spans="1:36">
      <c r="A15" s="3"/>
      <c r="B15" s="2"/>
      <c r="C15" s="2"/>
      <c r="D15" s="2"/>
      <c r="E15" s="2"/>
      <c r="F15" s="2"/>
      <c r="G15" s="2"/>
      <c r="H15" s="71"/>
    </row>
    <row r="16" spans="1:36">
      <c r="A16" s="3"/>
      <c r="B16" s="2"/>
      <c r="C16" s="2"/>
      <c r="D16" s="2"/>
      <c r="E16" s="2"/>
      <c r="F16" s="2"/>
      <c r="G16" s="2"/>
      <c r="H16" s="71"/>
    </row>
    <row r="17" spans="1:30">
      <c r="A17" s="3"/>
      <c r="B17" s="2"/>
      <c r="C17" s="2"/>
      <c r="D17" s="2"/>
      <c r="E17" s="2"/>
      <c r="F17" s="2"/>
      <c r="G17" s="2"/>
      <c r="H17" s="71"/>
    </row>
    <row r="18" spans="1:30">
      <c r="A18" s="3"/>
      <c r="B18" s="2"/>
      <c r="C18" s="2"/>
      <c r="D18" s="2"/>
      <c r="E18" s="2"/>
      <c r="F18" s="2"/>
      <c r="G18" s="2"/>
      <c r="H18" s="71"/>
    </row>
    <row r="19" spans="1:30">
      <c r="A19" s="3"/>
      <c r="B19" s="2"/>
      <c r="C19" s="2"/>
      <c r="D19" s="2"/>
      <c r="E19" s="2"/>
      <c r="F19" s="2"/>
      <c r="G19" s="2"/>
      <c r="H19" s="71"/>
    </row>
    <row r="20" spans="1:30">
      <c r="A20" s="3"/>
      <c r="B20" s="2"/>
      <c r="C20" s="2"/>
      <c r="D20" s="2"/>
      <c r="E20" s="2"/>
      <c r="F20" s="2"/>
      <c r="G20" s="2"/>
      <c r="H20" s="71"/>
    </row>
    <row r="21" spans="1:30">
      <c r="A21" s="3"/>
      <c r="B21" s="2"/>
      <c r="C21" s="2"/>
      <c r="D21" s="2"/>
      <c r="E21" s="2"/>
      <c r="F21" s="2"/>
      <c r="G21" s="2"/>
      <c r="H21" s="71"/>
    </row>
    <row r="22" spans="1:30">
      <c r="A22" s="3"/>
      <c r="B22" s="2"/>
      <c r="C22" s="2"/>
      <c r="D22" s="2"/>
      <c r="E22" s="2"/>
      <c r="F22" s="2"/>
      <c r="G22" s="2"/>
      <c r="H22" s="71"/>
    </row>
    <row r="23" spans="1:30">
      <c r="A23" s="3"/>
      <c r="B23" s="2"/>
      <c r="C23" s="2"/>
      <c r="D23" s="2"/>
      <c r="E23" s="2"/>
      <c r="F23" s="2"/>
      <c r="G23" s="2"/>
      <c r="H23" s="71"/>
    </row>
    <row r="24" spans="1:30">
      <c r="A24" s="3"/>
      <c r="B24" s="2"/>
      <c r="C24" s="2"/>
      <c r="D24" s="2"/>
      <c r="E24" s="2"/>
      <c r="F24" s="2"/>
      <c r="G24" s="2"/>
      <c r="H24" s="71"/>
    </row>
    <row r="25" spans="1:30">
      <c r="A25" s="3"/>
      <c r="B25" s="2"/>
      <c r="C25" s="2"/>
      <c r="D25" s="2"/>
      <c r="E25" s="2"/>
      <c r="F25" s="2"/>
      <c r="G25" s="2"/>
      <c r="H25" s="71"/>
    </row>
    <row r="26" spans="1:30">
      <c r="A26" s="3"/>
      <c r="B26" s="2"/>
      <c r="C26" s="2"/>
      <c r="D26" s="2"/>
      <c r="E26" s="2"/>
      <c r="F26" s="2"/>
      <c r="G26" s="2"/>
      <c r="H26" s="71"/>
    </row>
    <row r="27" spans="1:30">
      <c r="A27" s="3"/>
      <c r="B27" s="2"/>
      <c r="C27" s="2"/>
      <c r="D27" s="2"/>
      <c r="E27" s="2"/>
      <c r="F27" s="2"/>
      <c r="G27" s="2"/>
      <c r="H27" s="71"/>
    </row>
    <row r="28" spans="1:30">
      <c r="A28" s="3"/>
      <c r="B28" s="2"/>
      <c r="C28" s="2"/>
      <c r="D28" s="2"/>
      <c r="E28" s="2"/>
      <c r="F28" s="2"/>
      <c r="G28" s="2"/>
      <c r="H28" s="71"/>
    </row>
    <row r="29" spans="1:30">
      <c r="A29" s="3"/>
      <c r="B29" s="2"/>
      <c r="C29" s="2"/>
      <c r="D29" s="2"/>
      <c r="E29" s="2"/>
      <c r="F29" s="2"/>
      <c r="G29" s="2"/>
      <c r="H29" s="71"/>
    </row>
    <row r="30" spans="1:30">
      <c r="A30" s="3"/>
      <c r="B30" s="2"/>
      <c r="C30" s="2"/>
      <c r="D30" s="2"/>
      <c r="E30" s="2"/>
      <c r="F30" s="2"/>
      <c r="G30" s="2"/>
      <c r="H30" s="71"/>
    </row>
    <row r="31" spans="1:30">
      <c r="A31" s="3"/>
      <c r="B31" s="2"/>
      <c r="C31" s="2"/>
      <c r="D31" s="2"/>
      <c r="E31" s="2"/>
      <c r="F31" s="2"/>
      <c r="G31" s="2"/>
      <c r="H31" s="71"/>
    </row>
    <row r="32" spans="1:30" ht="15.75">
      <c r="A32" s="4" t="str">
        <f>"Figur 2. Antall meldte skader etter bransjer "&amp;'Tab3'!H63</f>
        <v>Figur 2. Antall meldte skader etter bransjer 1.kvartal</v>
      </c>
      <c r="B32" s="2"/>
      <c r="C32" s="2"/>
      <c r="D32" s="2"/>
      <c r="E32" s="2"/>
      <c r="F32" s="2"/>
      <c r="G32" s="2"/>
      <c r="H32" s="71"/>
      <c r="I32" s="4" t="str">
        <f>"Figur 4. Vannskader pr. kvartal"</f>
        <v>Figur 4. Vannskader pr. kvartal</v>
      </c>
      <c r="P32" s="4" t="str">
        <f>"Figur 6. Anslått erstatning etter skadetype, motorvogn "&amp;'Tab3'!H63&amp;" "&amp;'Tab3'!E6</f>
        <v>Figur 6. Anslått erstatning etter skadetype, motorvogn 1.kvartal 2013</v>
      </c>
      <c r="W32" s="4" t="str">
        <f>"Figur 8. Anslått erstatning i de Brann-kombinerte bransjer etter skadetype "&amp;'Tab3'!H63</f>
        <v>Figur 8. Anslått erstatning i de Brann-kombinerte bransjer etter skadetype 1.kvartal</v>
      </c>
      <c r="AD32" s="4" t="str">
        <f>"Figur 10. Innbrudd, tyverier og ran pr. kvartal"</f>
        <v>Figur 10. Innbrudd, tyverier og ran pr. kvartal</v>
      </c>
    </row>
    <row r="33" spans="1:8">
      <c r="A33" s="3"/>
      <c r="B33" s="2"/>
      <c r="C33" s="2"/>
      <c r="D33" s="2"/>
      <c r="E33" s="2"/>
      <c r="F33" s="2"/>
      <c r="G33" s="2"/>
      <c r="H33" s="71"/>
    </row>
    <row r="34" spans="1:8">
      <c r="A34" s="3"/>
      <c r="B34" s="2"/>
      <c r="C34" s="2"/>
      <c r="D34" s="2"/>
      <c r="E34" s="2"/>
      <c r="F34" s="2"/>
      <c r="G34" s="2"/>
      <c r="H34" s="71"/>
    </row>
    <row r="35" spans="1:8">
      <c r="A35" s="3"/>
      <c r="B35" s="2"/>
      <c r="C35" s="2"/>
      <c r="D35" s="2"/>
      <c r="E35" s="2"/>
      <c r="F35" s="2"/>
      <c r="G35" s="2"/>
      <c r="H35" s="71"/>
    </row>
    <row r="36" spans="1:8">
      <c r="A36" s="3"/>
      <c r="B36" s="2"/>
      <c r="C36" s="2"/>
      <c r="D36" s="2"/>
      <c r="E36" s="2"/>
      <c r="F36" s="2"/>
      <c r="G36" s="2"/>
      <c r="H36" s="71"/>
    </row>
    <row r="37" spans="1:8">
      <c r="A37" s="51"/>
      <c r="B37" s="52"/>
      <c r="C37" s="53"/>
      <c r="D37" s="53"/>
      <c r="E37" s="53"/>
      <c r="F37" s="53"/>
      <c r="G37" s="54"/>
      <c r="H37" s="55"/>
    </row>
    <row r="38" spans="1:8">
      <c r="A38" s="51"/>
      <c r="B38" s="52"/>
      <c r="C38" s="53"/>
      <c r="D38" s="53"/>
      <c r="E38" s="53"/>
      <c r="F38" s="53"/>
      <c r="G38" s="54"/>
      <c r="H38" s="55"/>
    </row>
    <row r="39" spans="1:8">
      <c r="A39" s="51"/>
      <c r="B39" s="52"/>
      <c r="C39" s="53"/>
      <c r="D39" s="53"/>
      <c r="E39" s="53"/>
      <c r="F39" s="53"/>
      <c r="G39" s="54"/>
      <c r="H39" s="55"/>
    </row>
    <row r="40" spans="1:8">
      <c r="A40" s="51"/>
      <c r="B40" s="52"/>
      <c r="C40" s="53"/>
      <c r="D40" s="53"/>
      <c r="E40" s="53"/>
      <c r="F40" s="53"/>
      <c r="G40" s="54"/>
      <c r="H40" s="55"/>
    </row>
    <row r="41" spans="1:8">
      <c r="A41" s="51"/>
      <c r="B41" s="52"/>
      <c r="C41" s="53"/>
      <c r="D41" s="53"/>
      <c r="E41" s="53"/>
      <c r="F41" s="53"/>
      <c r="G41" s="54"/>
      <c r="H41" s="55"/>
    </row>
    <row r="42" spans="1:8">
      <c r="A42" s="51"/>
      <c r="B42" s="52"/>
      <c r="C42" s="53"/>
      <c r="D42" s="53"/>
      <c r="E42" s="53"/>
      <c r="F42" s="53"/>
      <c r="G42" s="54"/>
      <c r="H42" s="55"/>
    </row>
    <row r="43" spans="1:8">
      <c r="A43" s="51"/>
      <c r="B43" s="52"/>
      <c r="C43" s="53"/>
      <c r="D43" s="53"/>
      <c r="E43" s="53"/>
      <c r="F43" s="53"/>
      <c r="G43" s="54"/>
      <c r="H43" s="55"/>
    </row>
    <row r="44" spans="1:8">
      <c r="A44" s="51"/>
      <c r="B44" s="52"/>
      <c r="C44" s="53"/>
      <c r="D44" s="53"/>
      <c r="E44" s="53"/>
      <c r="F44" s="53"/>
      <c r="G44" s="54"/>
      <c r="H44" s="55"/>
    </row>
    <row r="45" spans="1:8">
      <c r="A45" s="51"/>
      <c r="B45" s="52"/>
      <c r="C45" s="53"/>
      <c r="D45" s="53"/>
      <c r="E45" s="53"/>
      <c r="F45" s="53"/>
      <c r="G45" s="54"/>
      <c r="H45" s="55"/>
    </row>
    <row r="46" spans="1:8">
      <c r="A46" s="51"/>
      <c r="B46" s="52"/>
      <c r="C46" s="53"/>
      <c r="D46" s="53"/>
      <c r="E46" s="53"/>
      <c r="F46" s="53"/>
      <c r="G46" s="54"/>
      <c r="H46" s="55"/>
    </row>
    <row r="47" spans="1:8">
      <c r="A47" s="51"/>
      <c r="B47" s="52"/>
      <c r="C47" s="53"/>
      <c r="D47" s="53"/>
      <c r="E47" s="53"/>
      <c r="F47" s="53"/>
      <c r="G47" s="54"/>
      <c r="H47" s="55"/>
    </row>
    <row r="48" spans="1:8">
      <c r="A48" s="51"/>
      <c r="B48" s="52"/>
      <c r="C48" s="53"/>
      <c r="D48" s="53"/>
      <c r="E48" s="53"/>
      <c r="F48" s="53"/>
      <c r="G48" s="54"/>
      <c r="H48" s="55"/>
    </row>
    <row r="49" spans="1:36">
      <c r="A49" s="51"/>
      <c r="B49" s="52"/>
      <c r="C49" s="53"/>
      <c r="D49" s="53"/>
      <c r="E49" s="118"/>
      <c r="F49" s="53"/>
      <c r="G49" s="54"/>
      <c r="H49" s="55"/>
    </row>
    <row r="50" spans="1:36">
      <c r="A50" s="51"/>
      <c r="B50" s="52"/>
      <c r="C50" s="53"/>
      <c r="D50" s="53"/>
      <c r="E50" s="53"/>
      <c r="F50" s="53"/>
      <c r="G50" s="54"/>
      <c r="H50" s="55"/>
    </row>
    <row r="51" spans="1:36">
      <c r="A51" s="51"/>
      <c r="B51" s="52"/>
      <c r="C51" s="53"/>
      <c r="D51" s="53"/>
      <c r="E51" s="53"/>
      <c r="F51" s="53"/>
      <c r="G51" s="54"/>
      <c r="H51" s="55"/>
    </row>
    <row r="52" spans="1:36">
      <c r="A52" s="51"/>
      <c r="B52" s="52"/>
      <c r="C52" s="53"/>
      <c r="D52" s="53"/>
      <c r="E52" s="53"/>
      <c r="F52" s="53"/>
      <c r="G52" s="54"/>
      <c r="H52" s="55"/>
    </row>
    <row r="53" spans="1:36">
      <c r="A53" s="51"/>
      <c r="B53" s="52"/>
      <c r="C53" s="53"/>
      <c r="D53" s="53"/>
      <c r="E53" s="53"/>
      <c r="F53" s="53"/>
      <c r="G53" s="54"/>
      <c r="H53" s="55"/>
    </row>
    <row r="54" spans="1:36">
      <c r="A54" s="51"/>
      <c r="B54" s="52"/>
      <c r="C54" s="53"/>
      <c r="D54" s="53"/>
      <c r="E54" s="53"/>
      <c r="F54" s="53"/>
      <c r="G54" s="54"/>
      <c r="H54" s="55"/>
    </row>
    <row r="55" spans="1:36">
      <c r="A55" s="51"/>
      <c r="B55" s="52"/>
      <c r="C55" s="53"/>
      <c r="D55" s="53"/>
      <c r="E55" s="53"/>
      <c r="F55" s="53"/>
      <c r="G55" s="54"/>
      <c r="H55" s="55"/>
    </row>
    <row r="56" spans="1:36">
      <c r="A56" s="51"/>
      <c r="B56" s="52"/>
      <c r="C56" s="53"/>
      <c r="D56" s="53"/>
      <c r="E56" s="53"/>
      <c r="F56" s="53"/>
      <c r="G56" s="54"/>
      <c r="H56" s="55"/>
    </row>
    <row r="57" spans="1:36">
      <c r="A57" s="51"/>
      <c r="B57" s="52"/>
      <c r="C57" s="53"/>
      <c r="D57" s="53"/>
      <c r="E57" s="53"/>
      <c r="F57" s="53"/>
      <c r="G57" s="54"/>
      <c r="H57" s="55"/>
    </row>
    <row r="58" spans="1:36">
      <c r="A58" s="51"/>
      <c r="B58" s="52"/>
      <c r="C58" s="53"/>
      <c r="D58" s="53"/>
      <c r="E58" s="53"/>
      <c r="F58" s="53"/>
      <c r="G58" s="54"/>
      <c r="H58" s="55"/>
    </row>
    <row r="59" spans="1:36">
      <c r="A59" s="51"/>
      <c r="B59" s="52"/>
      <c r="C59" s="53"/>
      <c r="D59" s="53"/>
      <c r="E59" s="53"/>
      <c r="F59" s="53"/>
      <c r="G59" s="54"/>
      <c r="H59" s="55"/>
    </row>
    <row r="60" spans="1:36">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row>
    <row r="61" spans="1:36">
      <c r="A61" s="150">
        <v>4</v>
      </c>
      <c r="H61" s="57" t="str">
        <f>+Innhold!H107</f>
        <v>Finans Norge / Skadestatistikk - 4/13</v>
      </c>
      <c r="I61" s="58" t="str">
        <f>+Innhold!H107</f>
        <v>Finans Norge / Skadestatistikk - 4/13</v>
      </c>
      <c r="O61" s="148">
        <v>5</v>
      </c>
      <c r="P61" s="150">
        <v>6</v>
      </c>
      <c r="V61" s="57" t="str">
        <f>+Innhold!H107</f>
        <v>Finans Norge / Skadestatistikk - 4/13</v>
      </c>
      <c r="W61" s="58" t="str">
        <f>+Innhold!H107</f>
        <v>Finans Norge / Skadestatistikk - 4/13</v>
      </c>
      <c r="AC61" s="148">
        <v>7</v>
      </c>
      <c r="AD61" s="150">
        <v>8</v>
      </c>
      <c r="AJ61" s="57" t="str">
        <f>+Innhold!H107</f>
        <v>Finans Norge / Skadestatistikk - 4/13</v>
      </c>
    </row>
    <row r="62" spans="1:36">
      <c r="A62" s="151"/>
      <c r="H62" s="57" t="str">
        <f>+Innhold!H108</f>
        <v>Skadestatistikk for landbasert forsikring 1. kvartal 2013</v>
      </c>
      <c r="I62" s="58" t="str">
        <f>+Innhold!H108</f>
        <v>Skadestatistikk for landbasert forsikring 1. kvartal 2013</v>
      </c>
      <c r="O62" s="149"/>
      <c r="P62" s="151"/>
      <c r="V62" s="57" t="str">
        <f>+Innhold!H108</f>
        <v>Skadestatistikk for landbasert forsikring 1. kvartal 2013</v>
      </c>
      <c r="W62" s="58" t="str">
        <f>+Innhold!H108</f>
        <v>Skadestatistikk for landbasert forsikring 1. kvartal 2013</v>
      </c>
      <c r="AC62" s="149"/>
      <c r="AD62" s="151"/>
      <c r="AJ62" s="57" t="str">
        <f>+Innhold!H108</f>
        <v>Skadestatistikk for landbasert forsikring 1. kvartal 2013</v>
      </c>
    </row>
    <row r="66" spans="1:33">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row>
    <row r="67" spans="1:33" ht="12.75" customHeight="1">
      <c r="A67" s="119"/>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row>
    <row r="68" spans="1:33" ht="12.75" customHeight="1">
      <c r="A68" s="119"/>
      <c r="B68" s="119"/>
      <c r="C68" s="119"/>
      <c r="D68" s="119"/>
      <c r="E68" s="119"/>
      <c r="F68" s="119"/>
      <c r="G68" s="119"/>
      <c r="H68" s="119"/>
      <c r="I68" s="119"/>
      <c r="J68" s="119"/>
      <c r="K68" s="119"/>
      <c r="L68" s="119"/>
      <c r="M68" s="120" t="s">
        <v>206</v>
      </c>
      <c r="N68" s="119"/>
      <c r="O68" s="119"/>
      <c r="P68" s="120" t="s">
        <v>208</v>
      </c>
      <c r="Q68" s="119"/>
      <c r="R68" s="119"/>
      <c r="S68" s="120" t="s">
        <v>207</v>
      </c>
      <c r="T68" s="119"/>
      <c r="U68" s="119"/>
      <c r="V68" s="119"/>
      <c r="W68" s="119"/>
      <c r="X68" s="119"/>
      <c r="Y68" s="119"/>
      <c r="Z68" s="119"/>
      <c r="AA68" s="119"/>
      <c r="AB68" s="119"/>
      <c r="AC68" s="119"/>
      <c r="AD68" s="119"/>
      <c r="AE68" s="119"/>
      <c r="AF68" s="119"/>
      <c r="AG68" s="119"/>
    </row>
    <row r="69" spans="1:33">
      <c r="A69" s="121" t="s">
        <v>212</v>
      </c>
      <c r="B69" s="122"/>
      <c r="C69" s="122"/>
      <c r="D69" s="122" t="s">
        <v>90</v>
      </c>
      <c r="E69" s="122"/>
      <c r="F69" s="122"/>
      <c r="G69" s="122"/>
      <c r="H69" s="121"/>
      <c r="I69" s="123">
        <f>131.4</f>
        <v>131.4</v>
      </c>
      <c r="J69" s="124" t="s">
        <v>218</v>
      </c>
      <c r="K69" s="119"/>
      <c r="L69" s="119"/>
      <c r="M69" s="120" t="s">
        <v>187</v>
      </c>
      <c r="N69" s="119"/>
      <c r="O69" s="119"/>
      <c r="P69" s="120" t="s">
        <v>204</v>
      </c>
      <c r="Q69" s="119"/>
      <c r="R69" s="119"/>
      <c r="S69" s="120" t="s">
        <v>205</v>
      </c>
      <c r="T69" s="119"/>
      <c r="U69" s="119"/>
      <c r="V69" s="121" t="s">
        <v>213</v>
      </c>
      <c r="W69" s="122"/>
      <c r="X69" s="122"/>
      <c r="Y69" s="122"/>
      <c r="Z69" s="122"/>
      <c r="AA69" s="119"/>
      <c r="AB69" s="119"/>
      <c r="AC69" s="119"/>
      <c r="AD69" s="119"/>
      <c r="AE69" s="119"/>
      <c r="AF69" s="119"/>
      <c r="AG69" s="119"/>
    </row>
    <row r="70" spans="1:33">
      <c r="A70" s="122" t="s">
        <v>91</v>
      </c>
      <c r="B70" s="122" t="s">
        <v>92</v>
      </c>
      <c r="C70" s="122" t="s">
        <v>28</v>
      </c>
      <c r="D70" s="122" t="s">
        <v>93</v>
      </c>
      <c r="E70" s="122"/>
      <c r="F70" s="122"/>
      <c r="G70" s="122"/>
      <c r="H70" s="119"/>
      <c r="I70" s="125" t="s">
        <v>185</v>
      </c>
      <c r="J70" s="119"/>
      <c r="K70" s="125" t="s">
        <v>92</v>
      </c>
      <c r="L70" s="125" t="s">
        <v>126</v>
      </c>
      <c r="M70" s="125" t="s">
        <v>183</v>
      </c>
      <c r="N70" s="125" t="s">
        <v>184</v>
      </c>
      <c r="O70" s="125" t="s">
        <v>126</v>
      </c>
      <c r="P70" s="125" t="s">
        <v>183</v>
      </c>
      <c r="Q70" s="125" t="s">
        <v>184</v>
      </c>
      <c r="R70" s="125" t="s">
        <v>126</v>
      </c>
      <c r="S70" s="125" t="s">
        <v>183</v>
      </c>
      <c r="T70" s="125" t="s">
        <v>184</v>
      </c>
      <c r="U70" s="119"/>
      <c r="V70" s="122" t="s">
        <v>97</v>
      </c>
      <c r="W70" s="122"/>
      <c r="X70" s="126">
        <f>+'Tab3'!C6</f>
        <v>2011</v>
      </c>
      <c r="Y70" s="126">
        <f>+'Tab3'!D6</f>
        <v>2012</v>
      </c>
      <c r="Z70" s="126">
        <f>+'Tab3'!E6</f>
        <v>2013</v>
      </c>
      <c r="AA70" s="119"/>
      <c r="AB70" s="119"/>
      <c r="AC70" s="119"/>
      <c r="AD70" s="119"/>
      <c r="AE70" s="119"/>
      <c r="AF70" s="119"/>
      <c r="AG70" s="119"/>
    </row>
    <row r="71" spans="1:33">
      <c r="A71" s="122">
        <v>1</v>
      </c>
      <c r="B71" s="122">
        <v>1983</v>
      </c>
      <c r="C71" s="122">
        <v>97</v>
      </c>
      <c r="D71" s="122">
        <v>78.3</v>
      </c>
      <c r="E71" s="122"/>
      <c r="F71" s="122"/>
      <c r="G71" s="122"/>
      <c r="H71" s="119"/>
      <c r="I71" s="127">
        <v>53.8</v>
      </c>
      <c r="J71" s="119">
        <v>1</v>
      </c>
      <c r="K71" s="119">
        <v>1983</v>
      </c>
      <c r="L71" s="128">
        <v>11621</v>
      </c>
      <c r="M71" s="127">
        <v>80.900000000000006</v>
      </c>
      <c r="N71" s="127">
        <f t="shared" ref="N71:N102" si="0">M71/I71*$I$69</f>
        <v>197.58847583643126</v>
      </c>
      <c r="O71" s="119"/>
      <c r="P71" s="119"/>
      <c r="Q71" s="119"/>
      <c r="R71" s="119"/>
      <c r="S71" s="119"/>
      <c r="T71" s="119"/>
      <c r="U71" s="119"/>
      <c r="V71" s="122"/>
      <c r="W71" s="122"/>
      <c r="X71" s="122"/>
      <c r="Y71" s="122"/>
      <c r="Z71" s="122"/>
      <c r="AA71" s="119"/>
      <c r="AB71" s="119"/>
      <c r="AC71" s="119"/>
      <c r="AD71" s="119"/>
      <c r="AE71" s="119"/>
      <c r="AF71" s="119"/>
      <c r="AG71" s="119"/>
    </row>
    <row r="72" spans="1:33">
      <c r="A72" s="122">
        <v>2</v>
      </c>
      <c r="B72" s="122"/>
      <c r="C72" s="122">
        <v>78.8</v>
      </c>
      <c r="D72" s="122">
        <v>61.3</v>
      </c>
      <c r="E72" s="122"/>
      <c r="F72" s="122"/>
      <c r="G72" s="122"/>
      <c r="H72" s="119"/>
      <c r="I72" s="127">
        <v>54.7</v>
      </c>
      <c r="J72" s="119">
        <v>2</v>
      </c>
      <c r="K72" s="119"/>
      <c r="L72" s="128">
        <v>11120</v>
      </c>
      <c r="M72" s="127">
        <v>68.900000000000006</v>
      </c>
      <c r="N72" s="127">
        <f t="shared" si="0"/>
        <v>165.51115173674592</v>
      </c>
      <c r="O72" s="119"/>
      <c r="P72" s="119"/>
      <c r="Q72" s="119"/>
      <c r="R72" s="119"/>
      <c r="S72" s="119"/>
      <c r="T72" s="119"/>
      <c r="U72" s="119"/>
      <c r="V72" s="122" t="s">
        <v>28</v>
      </c>
      <c r="W72" s="122"/>
      <c r="X72" s="129">
        <f>IF('Tab6'!C36="",'Tab6'!C35,'Tab6'!C36)</f>
        <v>3370.745096984364</v>
      </c>
      <c r="Y72" s="129">
        <f>IF('Tab6'!D36="",'Tab6'!D35,'Tab6'!D36)</f>
        <v>3391.995119191316</v>
      </c>
      <c r="Z72" s="129">
        <f>IF('Tab6'!E36="",'Tab6'!E35,'Tab6'!E36)</f>
        <v>3418.6887577656139</v>
      </c>
      <c r="AA72" s="119"/>
      <c r="AB72" s="119"/>
      <c r="AC72" s="119"/>
      <c r="AD72" s="119"/>
      <c r="AE72" s="119"/>
      <c r="AF72" s="119"/>
      <c r="AG72" s="119"/>
    </row>
    <row r="73" spans="1:33">
      <c r="A73" s="122">
        <v>3</v>
      </c>
      <c r="B73" s="122"/>
      <c r="C73" s="122">
        <v>84.8</v>
      </c>
      <c r="D73" s="122">
        <v>63</v>
      </c>
      <c r="E73" s="122"/>
      <c r="F73" s="122"/>
      <c r="G73" s="122"/>
      <c r="H73" s="119"/>
      <c r="I73" s="127">
        <v>55.3</v>
      </c>
      <c r="J73" s="119">
        <v>3</v>
      </c>
      <c r="K73" s="119"/>
      <c r="L73" s="128">
        <v>11918</v>
      </c>
      <c r="M73" s="127">
        <v>63.7</v>
      </c>
      <c r="N73" s="127">
        <f t="shared" si="0"/>
        <v>151.35949367088611</v>
      </c>
      <c r="O73" s="119"/>
      <c r="P73" s="119"/>
      <c r="Q73" s="119"/>
      <c r="R73" s="119"/>
      <c r="S73" s="119"/>
      <c r="T73" s="119"/>
      <c r="U73" s="119"/>
      <c r="V73" s="122"/>
      <c r="W73" s="122"/>
      <c r="X73" s="129"/>
      <c r="Y73" s="129"/>
      <c r="Z73" s="129"/>
      <c r="AA73" s="119"/>
      <c r="AB73" s="119"/>
      <c r="AC73" s="119"/>
      <c r="AD73" s="119"/>
      <c r="AE73" s="119"/>
      <c r="AF73" s="119"/>
      <c r="AG73" s="119"/>
    </row>
    <row r="74" spans="1:33">
      <c r="A74" s="122">
        <v>4</v>
      </c>
      <c r="B74" s="122"/>
      <c r="C74" s="122">
        <v>91.2</v>
      </c>
      <c r="D74" s="122">
        <v>70.8</v>
      </c>
      <c r="E74" s="122"/>
      <c r="F74" s="122"/>
      <c r="G74" s="122"/>
      <c r="H74" s="119"/>
      <c r="I74" s="127">
        <v>56.2</v>
      </c>
      <c r="J74" s="119">
        <v>4</v>
      </c>
      <c r="K74" s="119"/>
      <c r="L74" s="128">
        <v>11905</v>
      </c>
      <c r="M74" s="127">
        <v>79.3</v>
      </c>
      <c r="N74" s="127">
        <f t="shared" si="0"/>
        <v>185.40960854092526</v>
      </c>
      <c r="O74" s="119"/>
      <c r="P74" s="119"/>
      <c r="Q74" s="119"/>
      <c r="R74" s="119"/>
      <c r="S74" s="119"/>
      <c r="T74" s="119"/>
      <c r="U74" s="119"/>
      <c r="V74" s="122" t="s">
        <v>72</v>
      </c>
      <c r="W74" s="122"/>
      <c r="X74" s="129">
        <f>IF('Tab6'!C36="",'Tab6'!C45+'Tab6'!C47,'Tab6'!C46+'Tab6'!C48)</f>
        <v>85.664892057532143</v>
      </c>
      <c r="Y74" s="129">
        <f>IF('Tab6'!D36="",'Tab6'!D45+'Tab6'!D47,'Tab6'!D46+'Tab6'!D48)</f>
        <v>74.218755359824158</v>
      </c>
      <c r="Z74" s="129">
        <f>IF('Tab6'!E36="",'Tab6'!E45+'Tab6'!E47,'Tab6'!E46+'Tab6'!E48)</f>
        <v>68.854927988206839</v>
      </c>
      <c r="AA74" s="119"/>
      <c r="AB74" s="119"/>
      <c r="AC74" s="119"/>
      <c r="AD74" s="119"/>
      <c r="AE74" s="119"/>
      <c r="AF74" s="119"/>
      <c r="AG74" s="119"/>
    </row>
    <row r="75" spans="1:33">
      <c r="A75" s="122">
        <v>1</v>
      </c>
      <c r="B75" s="122">
        <v>1984</v>
      </c>
      <c r="C75" s="122">
        <v>112.2</v>
      </c>
      <c r="D75" s="122">
        <v>90.4</v>
      </c>
      <c r="E75" s="122"/>
      <c r="F75" s="122"/>
      <c r="G75" s="122"/>
      <c r="H75" s="119"/>
      <c r="I75" s="127">
        <v>57.3</v>
      </c>
      <c r="J75" s="119">
        <v>1</v>
      </c>
      <c r="K75" s="119">
        <v>1984</v>
      </c>
      <c r="L75" s="128">
        <v>13205</v>
      </c>
      <c r="M75" s="127">
        <v>86.7</v>
      </c>
      <c r="N75" s="127">
        <f t="shared" si="0"/>
        <v>198.81989528795816</v>
      </c>
      <c r="O75" s="119"/>
      <c r="P75" s="119"/>
      <c r="Q75" s="119"/>
      <c r="R75" s="119"/>
      <c r="S75" s="119"/>
      <c r="T75" s="119"/>
      <c r="U75" s="119"/>
      <c r="V75" s="122" t="s">
        <v>41</v>
      </c>
      <c r="W75" s="122"/>
      <c r="X75" s="129">
        <f>IF('Tab6'!C36="",'Tab6'!C49,'Tab6'!C50)</f>
        <v>264.32654220265306</v>
      </c>
      <c r="Y75" s="129">
        <f>IF('Tab6'!D36="",'Tab6'!D49,'Tab6'!D50)</f>
        <v>306.52480016562163</v>
      </c>
      <c r="Z75" s="129">
        <f>IF('Tab6'!E36="",'Tab6'!E49,'Tab6'!E50)</f>
        <v>324.46505219135713</v>
      </c>
      <c r="AA75" s="119"/>
      <c r="AB75" s="119"/>
      <c r="AC75" s="119"/>
      <c r="AD75" s="119"/>
      <c r="AE75" s="119"/>
      <c r="AF75" s="119"/>
      <c r="AG75" s="119"/>
    </row>
    <row r="76" spans="1:33">
      <c r="A76" s="122">
        <v>2</v>
      </c>
      <c r="B76" s="122"/>
      <c r="C76" s="122">
        <v>81.8</v>
      </c>
      <c r="D76" s="122">
        <v>64.400000000000006</v>
      </c>
      <c r="E76" s="122"/>
      <c r="F76" s="122"/>
      <c r="G76" s="122"/>
      <c r="H76" s="119"/>
      <c r="I76" s="127">
        <v>58.2</v>
      </c>
      <c r="J76" s="119">
        <v>2</v>
      </c>
      <c r="K76" s="119"/>
      <c r="L76" s="128">
        <v>12453</v>
      </c>
      <c r="M76" s="127">
        <v>83.3</v>
      </c>
      <c r="N76" s="127">
        <f t="shared" si="0"/>
        <v>188.06907216494844</v>
      </c>
      <c r="O76" s="119"/>
      <c r="P76" s="119"/>
      <c r="Q76" s="119"/>
      <c r="R76" s="119"/>
      <c r="S76" s="119"/>
      <c r="T76" s="119"/>
      <c r="U76" s="119"/>
      <c r="V76" s="122" t="s">
        <v>18</v>
      </c>
      <c r="W76" s="122"/>
      <c r="X76" s="129">
        <f>IF('Tab6'!C36="",'Tab6'!C43,'Tab6'!C44)</f>
        <v>56.095324454495291</v>
      </c>
      <c r="Y76" s="129">
        <f>IF('Tab6'!D36="",'Tab6'!D43,'Tab6'!D44)</f>
        <v>48.199532509120779</v>
      </c>
      <c r="Z76" s="129">
        <f>IF('Tab6'!E36="",'Tab6'!E43,'Tab6'!E44)</f>
        <v>58.150059359065288</v>
      </c>
      <c r="AA76" s="119"/>
      <c r="AB76" s="119"/>
      <c r="AC76" s="119"/>
      <c r="AD76" s="119"/>
      <c r="AE76" s="119"/>
      <c r="AF76" s="119"/>
      <c r="AG76" s="119"/>
    </row>
    <row r="77" spans="1:33">
      <c r="A77" s="122">
        <v>3</v>
      </c>
      <c r="B77" s="122"/>
      <c r="C77" s="122">
        <v>90.4</v>
      </c>
      <c r="D77" s="122">
        <v>71.099999999999994</v>
      </c>
      <c r="E77" s="122"/>
      <c r="F77" s="122"/>
      <c r="G77" s="122"/>
      <c r="H77" s="119"/>
      <c r="I77" s="127">
        <v>58.7</v>
      </c>
      <c r="J77" s="119">
        <v>3</v>
      </c>
      <c r="K77" s="119"/>
      <c r="L77" s="128">
        <v>12278</v>
      </c>
      <c r="M77" s="127">
        <v>83.3</v>
      </c>
      <c r="N77" s="127">
        <f t="shared" si="0"/>
        <v>186.46712095400341</v>
      </c>
      <c r="O77" s="119"/>
      <c r="P77" s="119"/>
      <c r="Q77" s="119"/>
      <c r="R77" s="119"/>
      <c r="S77" s="119"/>
      <c r="T77" s="119"/>
      <c r="U77" s="119"/>
      <c r="V77" s="122" t="s">
        <v>98</v>
      </c>
      <c r="W77" s="122"/>
      <c r="X77" s="129">
        <f>IF('Tab6'!C36="",'Tab6'!C37+'Tab6'!C39,'Tab6'!C38+'Tab6'!C40)</f>
        <v>521.35455080887152</v>
      </c>
      <c r="Y77" s="129">
        <f>IF('Tab6'!D36="",'Tab6'!D37+'Tab6'!D39,'Tab6'!D38+'Tab6'!D40)</f>
        <v>556.06835245007812</v>
      </c>
      <c r="Z77" s="129">
        <f>IF('Tab6'!E36="",'Tab6'!E37+'Tab6'!E39,'Tab6'!E38+'Tab6'!E40)</f>
        <v>540.4696469051255</v>
      </c>
      <c r="AA77" s="119"/>
      <c r="AB77" s="119"/>
      <c r="AC77" s="119"/>
      <c r="AD77" s="119"/>
      <c r="AE77" s="119"/>
      <c r="AF77" s="119"/>
      <c r="AG77" s="119"/>
    </row>
    <row r="78" spans="1:33">
      <c r="A78" s="122">
        <v>4</v>
      </c>
      <c r="B78" s="122"/>
      <c r="C78" s="122">
        <v>92.9</v>
      </c>
      <c r="D78" s="122">
        <v>73.900000000000006</v>
      </c>
      <c r="E78" s="122"/>
      <c r="F78" s="122"/>
      <c r="G78" s="122"/>
      <c r="H78" s="119"/>
      <c r="I78" s="127">
        <v>59.6</v>
      </c>
      <c r="J78" s="119">
        <v>4</v>
      </c>
      <c r="K78" s="119"/>
      <c r="L78" s="128">
        <v>11449</v>
      </c>
      <c r="M78" s="127">
        <v>94.6</v>
      </c>
      <c r="N78" s="127">
        <f t="shared" si="0"/>
        <v>208.56442953020132</v>
      </c>
      <c r="O78" s="119"/>
      <c r="P78" s="119"/>
      <c r="Q78" s="119"/>
      <c r="R78" s="119"/>
      <c r="S78" s="119"/>
      <c r="T78" s="119"/>
      <c r="U78" s="119"/>
      <c r="V78" s="122" t="s">
        <v>99</v>
      </c>
      <c r="W78" s="122"/>
      <c r="X78" s="130">
        <f>X72-X77-X76-X75-X74</f>
        <v>2443.3037874608121</v>
      </c>
      <c r="Y78" s="130">
        <f>Y72-Y77-Y76-Y75-Y74</f>
        <v>2406.9836787066715</v>
      </c>
      <c r="Z78" s="130">
        <f>Z72-Z77-Z76-Z75-Z74</f>
        <v>2426.749071321859</v>
      </c>
      <c r="AA78" s="119"/>
      <c r="AB78" s="119"/>
      <c r="AC78" s="119"/>
      <c r="AD78" s="119"/>
      <c r="AE78" s="119"/>
      <c r="AF78" s="119"/>
      <c r="AG78" s="119"/>
    </row>
    <row r="79" spans="1:33">
      <c r="A79" s="122">
        <v>1</v>
      </c>
      <c r="B79" s="122">
        <v>1985</v>
      </c>
      <c r="C79" s="122">
        <v>123.4</v>
      </c>
      <c r="D79" s="122">
        <v>100.8</v>
      </c>
      <c r="E79" s="122"/>
      <c r="F79" s="122"/>
      <c r="G79" s="122"/>
      <c r="H79" s="119"/>
      <c r="I79" s="127">
        <v>60.4</v>
      </c>
      <c r="J79" s="119">
        <v>1</v>
      </c>
      <c r="K79" s="119">
        <v>1985</v>
      </c>
      <c r="L79" s="128">
        <v>16918</v>
      </c>
      <c r="M79" s="127">
        <v>103.6</v>
      </c>
      <c r="N79" s="127">
        <f t="shared" si="0"/>
        <v>225.38145695364238</v>
      </c>
      <c r="O79" s="119"/>
      <c r="P79" s="119"/>
      <c r="Q79" s="119"/>
      <c r="R79" s="119"/>
      <c r="S79" s="119"/>
      <c r="T79" s="119"/>
      <c r="U79" s="119"/>
      <c r="V79" s="122"/>
      <c r="W79" s="122"/>
      <c r="X79" s="122"/>
      <c r="Y79" s="122"/>
      <c r="Z79" s="122"/>
      <c r="AA79" s="119"/>
      <c r="AB79" s="119"/>
      <c r="AC79" s="119"/>
      <c r="AD79" s="119"/>
      <c r="AE79" s="119"/>
      <c r="AF79" s="119"/>
      <c r="AG79" s="119"/>
    </row>
    <row r="80" spans="1:33">
      <c r="A80" s="122">
        <v>2</v>
      </c>
      <c r="B80" s="122"/>
      <c r="C80" s="122">
        <v>102</v>
      </c>
      <c r="D80" s="122">
        <v>81.099999999999994</v>
      </c>
      <c r="E80" s="122"/>
      <c r="F80" s="122"/>
      <c r="G80" s="122"/>
      <c r="H80" s="119"/>
      <c r="I80" s="127">
        <v>61.5</v>
      </c>
      <c r="J80" s="119">
        <v>2</v>
      </c>
      <c r="K80" s="119"/>
      <c r="L80" s="128">
        <v>14237</v>
      </c>
      <c r="M80" s="127">
        <v>115.3</v>
      </c>
      <c r="N80" s="127">
        <f t="shared" si="0"/>
        <v>246.34829268292683</v>
      </c>
      <c r="O80" s="119"/>
      <c r="P80" s="119"/>
      <c r="Q80" s="119"/>
      <c r="R80" s="119"/>
      <c r="S80" s="119"/>
      <c r="T80" s="119"/>
      <c r="U80" s="119"/>
      <c r="V80" s="121" t="s">
        <v>188</v>
      </c>
      <c r="W80" s="122"/>
      <c r="X80" s="122"/>
      <c r="Y80" s="122"/>
      <c r="Z80" s="119"/>
      <c r="AA80" s="119"/>
      <c r="AB80" s="119"/>
      <c r="AC80" s="119"/>
      <c r="AD80" s="119"/>
      <c r="AE80" s="119"/>
      <c r="AF80" s="119"/>
      <c r="AG80" s="119"/>
    </row>
    <row r="81" spans="1:33">
      <c r="A81" s="122">
        <v>3</v>
      </c>
      <c r="B81" s="122"/>
      <c r="C81" s="122">
        <v>108.4</v>
      </c>
      <c r="D81" s="122">
        <v>86</v>
      </c>
      <c r="E81" s="122"/>
      <c r="F81" s="122"/>
      <c r="G81" s="122"/>
      <c r="H81" s="119"/>
      <c r="I81" s="127">
        <v>62</v>
      </c>
      <c r="J81" s="119">
        <v>3</v>
      </c>
      <c r="K81" s="119"/>
      <c r="L81" s="128">
        <v>14329</v>
      </c>
      <c r="M81" s="127">
        <v>103</v>
      </c>
      <c r="N81" s="127">
        <f t="shared" si="0"/>
        <v>218.29354838709679</v>
      </c>
      <c r="O81" s="119"/>
      <c r="P81" s="119"/>
      <c r="Q81" s="119"/>
      <c r="R81" s="119"/>
      <c r="S81" s="119"/>
      <c r="T81" s="119"/>
      <c r="U81" s="119"/>
      <c r="V81" s="122"/>
      <c r="W81" s="122"/>
      <c r="X81" s="122"/>
      <c r="Y81" s="122"/>
      <c r="Z81" s="119"/>
      <c r="AA81" s="119"/>
      <c r="AB81" s="119"/>
      <c r="AC81" s="119"/>
      <c r="AD81" s="119"/>
      <c r="AE81" s="119"/>
      <c r="AF81" s="119"/>
      <c r="AG81" s="119"/>
    </row>
    <row r="82" spans="1:33">
      <c r="A82" s="122">
        <v>4</v>
      </c>
      <c r="B82" s="122"/>
      <c r="C82" s="122">
        <v>109.6</v>
      </c>
      <c r="D82" s="122">
        <v>87.1</v>
      </c>
      <c r="E82" s="122"/>
      <c r="F82" s="122"/>
      <c r="G82" s="122"/>
      <c r="H82" s="119"/>
      <c r="I82" s="127">
        <v>63</v>
      </c>
      <c r="J82" s="119">
        <v>4</v>
      </c>
      <c r="K82" s="119"/>
      <c r="L82" s="128">
        <v>13060</v>
      </c>
      <c r="M82" s="127">
        <v>118.7</v>
      </c>
      <c r="N82" s="127">
        <f t="shared" si="0"/>
        <v>247.57428571428571</v>
      </c>
      <c r="O82" s="119"/>
      <c r="P82" s="119"/>
      <c r="Q82" s="119"/>
      <c r="R82" s="119"/>
      <c r="S82" s="119"/>
      <c r="T82" s="119"/>
      <c r="U82" s="119"/>
      <c r="V82" s="122"/>
      <c r="W82" s="126">
        <f>+'Tab4'!C6</f>
        <v>2011</v>
      </c>
      <c r="X82" s="126">
        <f>+'Tab4'!D6</f>
        <v>2012</v>
      </c>
      <c r="Y82" s="126">
        <f>+'Tab4'!E6</f>
        <v>2013</v>
      </c>
      <c r="Z82" s="119"/>
      <c r="AA82" s="119"/>
      <c r="AB82" s="119"/>
      <c r="AC82" s="119"/>
      <c r="AD82" s="119"/>
      <c r="AE82" s="119"/>
      <c r="AF82" s="119"/>
      <c r="AG82" s="119"/>
    </row>
    <row r="83" spans="1:33">
      <c r="A83" s="122">
        <v>1</v>
      </c>
      <c r="B83" s="122">
        <v>1986</v>
      </c>
      <c r="C83" s="122">
        <v>141</v>
      </c>
      <c r="D83" s="122">
        <v>115.2</v>
      </c>
      <c r="E83" s="122"/>
      <c r="F83" s="122"/>
      <c r="G83" s="122"/>
      <c r="H83" s="119"/>
      <c r="I83" s="127">
        <v>64</v>
      </c>
      <c r="J83" s="119">
        <v>1</v>
      </c>
      <c r="K83" s="119">
        <v>1986</v>
      </c>
      <c r="L83" s="128">
        <v>14314</v>
      </c>
      <c r="M83" s="127">
        <v>111.8</v>
      </c>
      <c r="N83" s="127">
        <f t="shared" si="0"/>
        <v>229.53937500000001</v>
      </c>
      <c r="O83" s="119"/>
      <c r="P83" s="119"/>
      <c r="Q83" s="119"/>
      <c r="R83" s="119"/>
      <c r="S83" s="119"/>
      <c r="T83" s="119"/>
      <c r="U83" s="119"/>
      <c r="V83" s="122" t="s">
        <v>100</v>
      </c>
      <c r="W83" s="129">
        <f>IF('Tab4'!C14="",'Tab4'!C13,'Tab4'!C14)</f>
        <v>1837.795880035093</v>
      </c>
      <c r="X83" s="129">
        <f>IF('Tab4'!D14="",'Tab4'!D13,'Tab4'!D14)</f>
        <v>1641.1329101833539</v>
      </c>
      <c r="Y83" s="129">
        <f>IF('Tab4'!E14="",'Tab4'!E13,'Tab4'!E14)</f>
        <v>1787.5488480332388</v>
      </c>
      <c r="Z83" s="119"/>
      <c r="AA83" s="119"/>
      <c r="AB83" s="119"/>
      <c r="AC83" s="119"/>
      <c r="AD83" s="119"/>
      <c r="AE83" s="119"/>
      <c r="AF83" s="119"/>
      <c r="AG83" s="119"/>
    </row>
    <row r="84" spans="1:33">
      <c r="A84" s="122">
        <v>2</v>
      </c>
      <c r="B84" s="122"/>
      <c r="C84" s="122">
        <v>120.5</v>
      </c>
      <c r="D84" s="122">
        <v>93.2</v>
      </c>
      <c r="E84" s="122"/>
      <c r="F84" s="122"/>
      <c r="G84" s="122"/>
      <c r="H84" s="119"/>
      <c r="I84" s="127">
        <v>65</v>
      </c>
      <c r="J84" s="119">
        <v>2</v>
      </c>
      <c r="K84" s="119"/>
      <c r="L84" s="128">
        <v>13505</v>
      </c>
      <c r="M84" s="127">
        <v>121.5</v>
      </c>
      <c r="N84" s="127">
        <f t="shared" si="0"/>
        <v>245.61692307692309</v>
      </c>
      <c r="O84" s="119"/>
      <c r="P84" s="119"/>
      <c r="Q84" s="119"/>
      <c r="R84" s="119"/>
      <c r="S84" s="119"/>
      <c r="T84" s="119"/>
      <c r="U84" s="119"/>
      <c r="V84" s="122" t="s">
        <v>197</v>
      </c>
      <c r="W84" s="129">
        <f>IF('Tab4'!C16="",'Tab4'!C15,'Tab4'!C16)</f>
        <v>1679.793808602383</v>
      </c>
      <c r="X84" s="129">
        <f>IF('Tab4'!D16="",'Tab4'!D15,'Tab4'!D16)</f>
        <v>1141.2049003762484</v>
      </c>
      <c r="Y84" s="129">
        <f>IF('Tab4'!E16="",'Tab4'!E15,'Tab4'!E16)</f>
        <v>1178.7579968222551</v>
      </c>
      <c r="Z84" s="119"/>
      <c r="AA84" s="119"/>
      <c r="AB84" s="119"/>
      <c r="AC84" s="119"/>
      <c r="AD84" s="119"/>
      <c r="AE84" s="119"/>
      <c r="AF84" s="119"/>
      <c r="AG84" s="119"/>
    </row>
    <row r="85" spans="1:33">
      <c r="A85" s="122">
        <v>3</v>
      </c>
      <c r="B85" s="122"/>
      <c r="C85" s="122">
        <v>115.7</v>
      </c>
      <c r="D85" s="122">
        <v>91.1</v>
      </c>
      <c r="E85" s="122"/>
      <c r="F85" s="122"/>
      <c r="G85" s="122"/>
      <c r="H85" s="119"/>
      <c r="I85" s="127">
        <v>67</v>
      </c>
      <c r="J85" s="119">
        <v>3</v>
      </c>
      <c r="K85" s="119"/>
      <c r="L85" s="128">
        <v>12132</v>
      </c>
      <c r="M85" s="127">
        <v>100.8</v>
      </c>
      <c r="N85" s="127">
        <f t="shared" si="0"/>
        <v>197.68835820895524</v>
      </c>
      <c r="O85" s="119"/>
      <c r="P85" s="119"/>
      <c r="Q85" s="119"/>
      <c r="R85" s="119"/>
      <c r="S85" s="119"/>
      <c r="T85" s="119"/>
      <c r="U85" s="119"/>
      <c r="V85" s="122" t="s">
        <v>7</v>
      </c>
      <c r="W85" s="129">
        <f>IF('Tab4'!C18="",'Tab4'!C17,'Tab4'!C18)</f>
        <v>617.82424198479623</v>
      </c>
      <c r="X85" s="129">
        <f>IF('Tab4'!D18="",'Tab4'!D17,'Tab4'!D18)</f>
        <v>619.62139610450618</v>
      </c>
      <c r="Y85" s="129">
        <f>IF('Tab4'!E18="",'Tab4'!E17,'Tab4'!E18)</f>
        <v>697.50382103852712</v>
      </c>
      <c r="Z85" s="119"/>
      <c r="AA85" s="119"/>
      <c r="AB85" s="119"/>
      <c r="AC85" s="119"/>
      <c r="AD85" s="119"/>
      <c r="AE85" s="119"/>
      <c r="AF85" s="119"/>
      <c r="AG85" s="119"/>
    </row>
    <row r="86" spans="1:33">
      <c r="A86" s="122">
        <v>4</v>
      </c>
      <c r="B86" s="122"/>
      <c r="C86" s="122">
        <v>114.4</v>
      </c>
      <c r="D86" s="122">
        <v>90.8</v>
      </c>
      <c r="E86" s="122"/>
      <c r="F86" s="122"/>
      <c r="G86" s="122"/>
      <c r="H86" s="119"/>
      <c r="I86" s="127">
        <v>68.5</v>
      </c>
      <c r="J86" s="119">
        <v>4</v>
      </c>
      <c r="K86" s="119"/>
      <c r="L86" s="128">
        <v>11763</v>
      </c>
      <c r="M86" s="127">
        <v>120.6</v>
      </c>
      <c r="N86" s="127">
        <f t="shared" si="0"/>
        <v>231.34072992700729</v>
      </c>
      <c r="O86" s="119"/>
      <c r="P86" s="119"/>
      <c r="Q86" s="119"/>
      <c r="R86" s="119"/>
      <c r="S86" s="119"/>
      <c r="T86" s="119"/>
      <c r="U86" s="119"/>
      <c r="V86" s="119" t="s">
        <v>8</v>
      </c>
      <c r="W86" s="129">
        <f>IF('Tab4'!C20="",'Tab4'!C19,'Tab4'!C20)</f>
        <v>356.23623342938049</v>
      </c>
      <c r="X86" s="129">
        <f>IF('Tab4'!D20="",'Tab4'!D19,'Tab4'!D20)</f>
        <v>416.98003576595471</v>
      </c>
      <c r="Y86" s="129">
        <f>IF('Tab4'!E20="",'Tab4'!E19,'Tab4'!E20)</f>
        <v>428.3086866135688</v>
      </c>
      <c r="Z86" s="119"/>
      <c r="AA86" s="119"/>
      <c r="AB86" s="119"/>
      <c r="AC86" s="119"/>
      <c r="AD86" s="119"/>
      <c r="AE86" s="119"/>
      <c r="AF86" s="119"/>
      <c r="AG86" s="119"/>
    </row>
    <row r="87" spans="1:33">
      <c r="A87" s="122">
        <v>1</v>
      </c>
      <c r="B87" s="122">
        <v>1987</v>
      </c>
      <c r="C87" s="122">
        <v>152.19999999999999</v>
      </c>
      <c r="D87" s="122">
        <v>121.3</v>
      </c>
      <c r="E87" s="122"/>
      <c r="F87" s="122"/>
      <c r="G87" s="122"/>
      <c r="H87" s="119"/>
      <c r="I87" s="127">
        <v>70.5</v>
      </c>
      <c r="J87" s="119">
        <v>1</v>
      </c>
      <c r="K87" s="119">
        <v>1987</v>
      </c>
      <c r="L87" s="128">
        <v>17280</v>
      </c>
      <c r="M87" s="127">
        <v>135.6</v>
      </c>
      <c r="N87" s="127">
        <f t="shared" si="0"/>
        <v>252.73531914893616</v>
      </c>
      <c r="O87" s="119"/>
      <c r="P87" s="119"/>
      <c r="Q87" s="119"/>
      <c r="R87" s="119"/>
      <c r="S87" s="119"/>
      <c r="T87" s="119"/>
      <c r="U87" s="119"/>
      <c r="V87" s="122" t="s">
        <v>9</v>
      </c>
      <c r="W87" s="129">
        <f>IF('Tab4'!C20="",'Tab4'!C21,'Tab4'!C22)</f>
        <v>162.14213150549935</v>
      </c>
      <c r="X87" s="129">
        <f>IF('Tab4'!D20="",'Tab4'!D21,'Tab4'!D22)</f>
        <v>160.19006953521418</v>
      </c>
      <c r="Y87" s="129">
        <f>IF('Tab4'!E20="",'Tab4'!E21,'Tab4'!E22)</f>
        <v>161.66765046716696</v>
      </c>
      <c r="Z87" s="119"/>
      <c r="AA87" s="119"/>
      <c r="AB87" s="119"/>
      <c r="AC87" s="119"/>
      <c r="AD87" s="119"/>
      <c r="AE87" s="119"/>
      <c r="AF87" s="119"/>
      <c r="AG87" s="119"/>
    </row>
    <row r="88" spans="1:33">
      <c r="A88" s="122">
        <v>2</v>
      </c>
      <c r="B88" s="122"/>
      <c r="C88" s="122">
        <v>109.2</v>
      </c>
      <c r="D88" s="122">
        <v>86.1</v>
      </c>
      <c r="E88" s="122"/>
      <c r="F88" s="122"/>
      <c r="G88" s="122"/>
      <c r="H88" s="119"/>
      <c r="I88" s="127">
        <v>71.599999999999994</v>
      </c>
      <c r="J88" s="119">
        <v>2</v>
      </c>
      <c r="K88" s="119"/>
      <c r="L88" s="128">
        <v>12241</v>
      </c>
      <c r="M88" s="127">
        <v>135.9</v>
      </c>
      <c r="N88" s="127">
        <f t="shared" si="0"/>
        <v>249.40307262569837</v>
      </c>
      <c r="O88" s="119"/>
      <c r="P88" s="119"/>
      <c r="Q88" s="119"/>
      <c r="R88" s="119"/>
      <c r="S88" s="119"/>
      <c r="T88" s="119"/>
      <c r="U88" s="119"/>
      <c r="V88" s="122" t="s">
        <v>10</v>
      </c>
      <c r="W88" s="129">
        <f>IF('Tab4'!C22="",'Tab4'!C23,'Tab4'!C24)</f>
        <v>347.53323942363625</v>
      </c>
      <c r="X88" s="129">
        <f>IF('Tab4'!D22="",'Tab4'!D23,'Tab4'!D24)</f>
        <v>433.66874899144364</v>
      </c>
      <c r="Y88" s="129">
        <f>IF('Tab4'!E22="",'Tab4'!E23,'Tab4'!E24)</f>
        <v>417.48621703025185</v>
      </c>
      <c r="Z88" s="119"/>
      <c r="AA88" s="119"/>
      <c r="AB88" s="119"/>
      <c r="AC88" s="119"/>
      <c r="AD88" s="119"/>
      <c r="AE88" s="119"/>
      <c r="AF88" s="119"/>
      <c r="AG88" s="119"/>
    </row>
    <row r="89" spans="1:33">
      <c r="A89" s="122">
        <v>3</v>
      </c>
      <c r="B89" s="122"/>
      <c r="C89" s="122">
        <v>110.1</v>
      </c>
      <c r="D89" s="122">
        <v>87.3</v>
      </c>
      <c r="E89" s="122"/>
      <c r="F89" s="122"/>
      <c r="G89" s="122"/>
      <c r="H89" s="119"/>
      <c r="I89" s="127">
        <v>72.3</v>
      </c>
      <c r="J89" s="119">
        <v>3</v>
      </c>
      <c r="K89" s="119"/>
      <c r="L89" s="128">
        <v>11506</v>
      </c>
      <c r="M89" s="127">
        <v>112.3</v>
      </c>
      <c r="N89" s="127">
        <f t="shared" si="0"/>
        <v>204.09709543568465</v>
      </c>
      <c r="O89" s="119"/>
      <c r="P89" s="119"/>
      <c r="Q89" s="119"/>
      <c r="R89" s="119"/>
      <c r="S89" s="119"/>
      <c r="T89" s="119"/>
      <c r="U89" s="119"/>
      <c r="V89" s="122" t="s">
        <v>11</v>
      </c>
      <c r="W89" s="129">
        <f>IF('Tab4'!C24="",'Tab4'!C25,'Tab4'!C26)</f>
        <v>42.528881402172203</v>
      </c>
      <c r="X89" s="129">
        <f>IF('Tab4'!D24="",'Tab4'!D25,'Tab4'!D26)</f>
        <v>43.997332892470908</v>
      </c>
      <c r="Y89" s="129">
        <f>IF('Tab4'!E24="",'Tab4'!E25,'Tab4'!E26)</f>
        <v>31.948394489102466</v>
      </c>
      <c r="Z89" s="119"/>
      <c r="AA89" s="119"/>
      <c r="AB89" s="119"/>
      <c r="AC89" s="119"/>
      <c r="AD89" s="119"/>
      <c r="AE89" s="119"/>
      <c r="AF89" s="119"/>
      <c r="AG89" s="119"/>
    </row>
    <row r="90" spans="1:33">
      <c r="A90" s="122">
        <v>4</v>
      </c>
      <c r="B90" s="122"/>
      <c r="C90" s="122">
        <v>112</v>
      </c>
      <c r="D90" s="122">
        <v>89.8</v>
      </c>
      <c r="E90" s="122"/>
      <c r="F90" s="122"/>
      <c r="G90" s="122"/>
      <c r="H90" s="119"/>
      <c r="I90" s="127">
        <v>73.599999999999994</v>
      </c>
      <c r="J90" s="119">
        <v>4</v>
      </c>
      <c r="K90" s="119"/>
      <c r="L90" s="128">
        <v>12860</v>
      </c>
      <c r="M90" s="127">
        <v>134.5</v>
      </c>
      <c r="N90" s="127">
        <f t="shared" si="0"/>
        <v>240.12635869565219</v>
      </c>
      <c r="O90" s="119"/>
      <c r="P90" s="119"/>
      <c r="Q90" s="119"/>
      <c r="R90" s="119"/>
      <c r="S90" s="119"/>
      <c r="T90" s="119"/>
      <c r="U90" s="119"/>
      <c r="V90" s="122" t="s">
        <v>12</v>
      </c>
      <c r="W90" s="129">
        <f>IF('Tab4'!C26="",'Tab4'!C27,'Tab4'!C28)</f>
        <v>177.62726986279887</v>
      </c>
      <c r="X90" s="129">
        <f>IF('Tab4'!D26="",'Tab4'!D27,'Tab4'!D28)</f>
        <v>207.81839803160426</v>
      </c>
      <c r="Y90" s="129">
        <f>IF('Tab4'!E26="",'Tab4'!E27,'Tab4'!E28)</f>
        <v>207.84476701898808</v>
      </c>
      <c r="Z90" s="119"/>
      <c r="AA90" s="119"/>
      <c r="AB90" s="119"/>
      <c r="AC90" s="119"/>
      <c r="AD90" s="119"/>
      <c r="AE90" s="119"/>
      <c r="AF90" s="119"/>
      <c r="AG90" s="119"/>
    </row>
    <row r="91" spans="1:33">
      <c r="A91" s="122">
        <v>1</v>
      </c>
      <c r="B91" s="122">
        <v>1988</v>
      </c>
      <c r="C91" s="122">
        <v>134.1</v>
      </c>
      <c r="D91" s="122">
        <v>107.5</v>
      </c>
      <c r="E91" s="122"/>
      <c r="F91" s="122"/>
      <c r="G91" s="122"/>
      <c r="H91" s="119"/>
      <c r="I91" s="127">
        <v>75.2</v>
      </c>
      <c r="J91" s="119">
        <v>1</v>
      </c>
      <c r="K91" s="119">
        <v>1988</v>
      </c>
      <c r="L91" s="128">
        <v>10180</v>
      </c>
      <c r="M91" s="127">
        <v>130.80000000000001</v>
      </c>
      <c r="N91" s="127">
        <f t="shared" si="0"/>
        <v>228.5521276595745</v>
      </c>
      <c r="O91" s="119"/>
      <c r="P91" s="119"/>
      <c r="Q91" s="119"/>
      <c r="R91" s="119"/>
      <c r="S91" s="119"/>
      <c r="T91" s="119"/>
      <c r="U91" s="119"/>
      <c r="V91" s="122" t="s">
        <v>13</v>
      </c>
      <c r="W91" s="129">
        <f>IF('Tab4'!C28="",'Tab4'!C29,'Tab4'!C30)</f>
        <v>24.37490860947257</v>
      </c>
      <c r="X91" s="129">
        <f>IF('Tab4'!D28="",'Tab4'!D29,'Tab4'!D30)</f>
        <v>24.66118280746571</v>
      </c>
      <c r="Y91" s="129">
        <f>IF('Tab4'!E28="",'Tab4'!E29,'Tab4'!E30)</f>
        <v>25.357250488457183</v>
      </c>
      <c r="Z91" s="119"/>
      <c r="AA91" s="119"/>
      <c r="AB91" s="119"/>
      <c r="AC91" s="119"/>
      <c r="AD91" s="119"/>
      <c r="AE91" s="119"/>
      <c r="AF91" s="119"/>
      <c r="AG91" s="119"/>
    </row>
    <row r="92" spans="1:33">
      <c r="A92" s="122">
        <v>2</v>
      </c>
      <c r="B92" s="122"/>
      <c r="C92" s="122">
        <v>113.7</v>
      </c>
      <c r="D92" s="122">
        <v>90</v>
      </c>
      <c r="E92" s="122"/>
      <c r="F92" s="122"/>
      <c r="G92" s="122"/>
      <c r="H92" s="119"/>
      <c r="I92" s="127">
        <v>76.7</v>
      </c>
      <c r="J92" s="119">
        <v>2</v>
      </c>
      <c r="K92" s="119"/>
      <c r="L92" s="128">
        <v>11081</v>
      </c>
      <c r="M92" s="127">
        <v>95.1</v>
      </c>
      <c r="N92" s="127">
        <f t="shared" si="0"/>
        <v>162.92229465449805</v>
      </c>
      <c r="O92" s="119"/>
      <c r="P92" s="119"/>
      <c r="Q92" s="119"/>
      <c r="R92" s="119"/>
      <c r="S92" s="119"/>
      <c r="T92" s="119"/>
      <c r="U92" s="119"/>
      <c r="V92" s="122" t="s">
        <v>14</v>
      </c>
      <c r="W92" s="129">
        <f>IF('Tab4'!C32="",'Tab4'!C31,'Tab4'!C32)</f>
        <v>158.55459892509373</v>
      </c>
      <c r="X92" s="129">
        <f>IF('Tab4'!D32="",'Tab4'!D31,'Tab4'!D32)</f>
        <v>283.52182940384847</v>
      </c>
      <c r="Y92" s="129">
        <f>IF('Tab4'!E32="",'Tab4'!E31,'Tab4'!E32)</f>
        <v>209.44572730197467</v>
      </c>
      <c r="Z92" s="119"/>
      <c r="AA92" s="119"/>
      <c r="AB92" s="119"/>
      <c r="AC92" s="119"/>
      <c r="AD92" s="119"/>
      <c r="AE92" s="119"/>
      <c r="AF92" s="119"/>
      <c r="AG92" s="119"/>
    </row>
    <row r="93" spans="1:33">
      <c r="A93" s="122">
        <v>3</v>
      </c>
      <c r="B93" s="122"/>
      <c r="C93" s="122">
        <v>116.3</v>
      </c>
      <c r="D93" s="122">
        <v>93.1</v>
      </c>
      <c r="E93" s="122"/>
      <c r="F93" s="122"/>
      <c r="G93" s="122"/>
      <c r="H93" s="119"/>
      <c r="I93" s="127">
        <v>77</v>
      </c>
      <c r="J93" s="119">
        <v>3</v>
      </c>
      <c r="K93" s="119"/>
      <c r="L93" s="128">
        <v>15987</v>
      </c>
      <c r="M93" s="127">
        <v>148.69999999999999</v>
      </c>
      <c r="N93" s="127">
        <f t="shared" si="0"/>
        <v>253.75558441558442</v>
      </c>
      <c r="O93" s="119"/>
      <c r="P93" s="119"/>
      <c r="Q93" s="119"/>
      <c r="R93" s="119"/>
      <c r="S93" s="119"/>
      <c r="T93" s="119"/>
      <c r="U93" s="119"/>
      <c r="V93" s="122" t="s">
        <v>101</v>
      </c>
      <c r="W93" s="130">
        <f>SUM(W83:W92)</f>
        <v>5404.4111937803264</v>
      </c>
      <c r="X93" s="130">
        <f>SUM(X83:X92)</f>
        <v>4972.7968040921096</v>
      </c>
      <c r="Y93" s="130">
        <f>SUM(Y83:Y92)</f>
        <v>5145.8693593035314</v>
      </c>
      <c r="Z93" s="119"/>
      <c r="AA93" s="119"/>
      <c r="AB93" s="119"/>
      <c r="AC93" s="119"/>
      <c r="AD93" s="119"/>
      <c r="AE93" s="119"/>
      <c r="AF93" s="119"/>
      <c r="AG93" s="119"/>
    </row>
    <row r="94" spans="1:33">
      <c r="A94" s="122">
        <v>4</v>
      </c>
      <c r="B94" s="122"/>
      <c r="C94" s="122">
        <v>115.2</v>
      </c>
      <c r="D94" s="122">
        <v>93.4</v>
      </c>
      <c r="E94" s="122"/>
      <c r="F94" s="122"/>
      <c r="G94" s="122"/>
      <c r="H94" s="119"/>
      <c r="I94" s="127">
        <v>78.099999999999994</v>
      </c>
      <c r="J94" s="119">
        <v>4</v>
      </c>
      <c r="K94" s="119"/>
      <c r="L94" s="128">
        <v>12493</v>
      </c>
      <c r="M94" s="127">
        <v>199.8</v>
      </c>
      <c r="N94" s="127">
        <f t="shared" si="0"/>
        <v>336.15518565941107</v>
      </c>
      <c r="O94" s="119"/>
      <c r="P94" s="119"/>
      <c r="Q94" s="119"/>
      <c r="R94" s="119"/>
      <c r="S94" s="119"/>
      <c r="T94" s="119"/>
      <c r="U94" s="119"/>
      <c r="V94" s="122"/>
      <c r="W94" s="122"/>
      <c r="X94" s="122"/>
      <c r="Y94" s="122"/>
      <c r="Z94" s="119"/>
      <c r="AA94" s="119"/>
      <c r="AB94" s="119"/>
      <c r="AC94" s="119"/>
      <c r="AD94" s="119"/>
      <c r="AE94" s="119"/>
      <c r="AF94" s="119"/>
      <c r="AG94" s="119"/>
    </row>
    <row r="95" spans="1:33">
      <c r="A95" s="122">
        <v>1</v>
      </c>
      <c r="B95" s="122">
        <v>1989</v>
      </c>
      <c r="C95" s="122">
        <v>106.6</v>
      </c>
      <c r="D95" s="122">
        <v>86.4</v>
      </c>
      <c r="E95" s="122"/>
      <c r="F95" s="122"/>
      <c r="G95" s="122"/>
      <c r="H95" s="119"/>
      <c r="I95" s="127">
        <v>78.900000000000006</v>
      </c>
      <c r="J95" s="119">
        <v>1</v>
      </c>
      <c r="K95" s="119">
        <v>1989</v>
      </c>
      <c r="L95" s="128">
        <v>10988</v>
      </c>
      <c r="M95" s="127">
        <v>142.6</v>
      </c>
      <c r="N95" s="127">
        <f t="shared" si="0"/>
        <v>237.48593155893536</v>
      </c>
      <c r="O95" s="119"/>
      <c r="P95" s="119"/>
      <c r="Q95" s="119"/>
      <c r="R95" s="119"/>
      <c r="S95" s="119"/>
      <c r="T95" s="119"/>
      <c r="U95" s="119"/>
      <c r="V95" s="122" t="s">
        <v>198</v>
      </c>
      <c r="W95" s="131">
        <f>+W93+X72</f>
        <v>8775.1562907646912</v>
      </c>
      <c r="X95" s="131">
        <f>+X93+Y72</f>
        <v>8364.7919232834247</v>
      </c>
      <c r="Y95" s="131">
        <f>+Y93+Z72</f>
        <v>8564.5581170691457</v>
      </c>
      <c r="Z95" s="119"/>
      <c r="AA95" s="119"/>
      <c r="AB95" s="119"/>
      <c r="AC95" s="119"/>
      <c r="AD95" s="119"/>
      <c r="AE95" s="119"/>
      <c r="AF95" s="119"/>
      <c r="AG95" s="119"/>
    </row>
    <row r="96" spans="1:33">
      <c r="A96" s="122">
        <v>2</v>
      </c>
      <c r="B96" s="122"/>
      <c r="C96" s="122">
        <v>98</v>
      </c>
      <c r="D96" s="122">
        <v>79.599999999999994</v>
      </c>
      <c r="E96" s="122"/>
      <c r="F96" s="122"/>
      <c r="G96" s="122"/>
      <c r="H96" s="119"/>
      <c r="I96" s="127">
        <v>80.3</v>
      </c>
      <c r="J96" s="119">
        <v>2</v>
      </c>
      <c r="K96" s="119"/>
      <c r="L96" s="128">
        <v>10292</v>
      </c>
      <c r="M96" s="127">
        <v>117.3</v>
      </c>
      <c r="N96" s="127">
        <f t="shared" si="0"/>
        <v>191.94545454545457</v>
      </c>
      <c r="O96" s="119"/>
      <c r="P96" s="119"/>
      <c r="Q96" s="119"/>
      <c r="R96" s="119"/>
      <c r="S96" s="119"/>
      <c r="T96" s="119"/>
      <c r="U96" s="119"/>
      <c r="V96" s="119"/>
      <c r="W96" s="119"/>
      <c r="X96" s="119"/>
      <c r="Y96" s="119"/>
      <c r="Z96" s="119"/>
      <c r="AA96" s="119"/>
      <c r="AB96" s="119"/>
      <c r="AC96" s="119"/>
      <c r="AD96" s="119"/>
      <c r="AE96" s="119"/>
      <c r="AF96" s="119"/>
      <c r="AG96" s="119"/>
    </row>
    <row r="97" spans="1:33">
      <c r="A97" s="122">
        <v>3</v>
      </c>
      <c r="B97" s="122"/>
      <c r="C97" s="122">
        <v>96.9</v>
      </c>
      <c r="D97" s="122">
        <v>79</v>
      </c>
      <c r="E97" s="122"/>
      <c r="F97" s="122"/>
      <c r="G97" s="122"/>
      <c r="H97" s="119"/>
      <c r="I97" s="127">
        <v>80.599999999999994</v>
      </c>
      <c r="J97" s="119">
        <v>3</v>
      </c>
      <c r="K97" s="119"/>
      <c r="L97" s="128">
        <v>11352</v>
      </c>
      <c r="M97" s="127">
        <v>103.6</v>
      </c>
      <c r="N97" s="127">
        <f t="shared" si="0"/>
        <v>168.89627791563274</v>
      </c>
      <c r="O97" s="119"/>
      <c r="P97" s="119"/>
      <c r="Q97" s="119"/>
      <c r="R97" s="119"/>
      <c r="S97" s="119"/>
      <c r="T97" s="119"/>
      <c r="U97" s="119"/>
      <c r="V97" s="119"/>
      <c r="W97" s="119"/>
      <c r="X97" s="119"/>
      <c r="Y97" s="122"/>
      <c r="Z97" s="119"/>
      <c r="AA97" s="119"/>
      <c r="AB97" s="119"/>
      <c r="AC97" s="119"/>
      <c r="AD97" s="119"/>
      <c r="AE97" s="119"/>
      <c r="AF97" s="119"/>
      <c r="AG97" s="119"/>
    </row>
    <row r="98" spans="1:33">
      <c r="A98" s="122">
        <v>4</v>
      </c>
      <c r="B98" s="122"/>
      <c r="C98" s="122">
        <v>93.4</v>
      </c>
      <c r="D98" s="122">
        <v>76.8</v>
      </c>
      <c r="E98" s="122"/>
      <c r="F98" s="122"/>
      <c r="G98" s="122"/>
      <c r="H98" s="119"/>
      <c r="I98" s="127">
        <v>81.400000000000006</v>
      </c>
      <c r="J98" s="119">
        <v>4</v>
      </c>
      <c r="K98" s="119"/>
      <c r="L98" s="128">
        <v>11958</v>
      </c>
      <c r="M98" s="127">
        <v>132</v>
      </c>
      <c r="N98" s="127">
        <f t="shared" si="0"/>
        <v>213.08108108108107</v>
      </c>
      <c r="O98" s="119"/>
      <c r="P98" s="119"/>
      <c r="Q98" s="119"/>
      <c r="R98" s="119"/>
      <c r="S98" s="119"/>
      <c r="T98" s="119"/>
      <c r="U98" s="119"/>
      <c r="V98" s="121" t="s">
        <v>214</v>
      </c>
      <c r="W98" s="122"/>
      <c r="X98" s="122"/>
      <c r="Y98" s="122"/>
      <c r="Z98" s="119"/>
      <c r="AA98" s="119"/>
      <c r="AB98" s="119"/>
      <c r="AC98" s="119"/>
      <c r="AD98" s="119"/>
      <c r="AE98" s="119"/>
      <c r="AF98" s="119"/>
      <c r="AG98" s="119"/>
    </row>
    <row r="99" spans="1:33">
      <c r="A99" s="122">
        <v>1</v>
      </c>
      <c r="B99" s="122">
        <v>1990</v>
      </c>
      <c r="C99" s="122">
        <v>99.4</v>
      </c>
      <c r="D99" s="122">
        <v>81.3</v>
      </c>
      <c r="E99" s="122"/>
      <c r="F99" s="122"/>
      <c r="G99" s="122"/>
      <c r="H99" s="119"/>
      <c r="I99" s="127">
        <v>82.3</v>
      </c>
      <c r="J99" s="119">
        <v>1</v>
      </c>
      <c r="K99" s="119">
        <v>1990</v>
      </c>
      <c r="L99" s="128">
        <v>13741</v>
      </c>
      <c r="M99" s="127">
        <v>142.9</v>
      </c>
      <c r="N99" s="127">
        <f t="shared" si="0"/>
        <v>228.15382746051037</v>
      </c>
      <c r="O99" s="119"/>
      <c r="P99" s="119"/>
      <c r="Q99" s="119"/>
      <c r="R99" s="119"/>
      <c r="S99" s="119"/>
      <c r="T99" s="119"/>
      <c r="U99" s="119"/>
      <c r="V99" s="122"/>
      <c r="W99" s="119"/>
      <c r="X99" s="122"/>
      <c r="Y99" s="122"/>
      <c r="Z99" s="119"/>
      <c r="AA99" s="119"/>
      <c r="AB99" s="119"/>
      <c r="AC99" s="119"/>
      <c r="AD99" s="119"/>
      <c r="AE99" s="119"/>
      <c r="AF99" s="119"/>
      <c r="AG99" s="119"/>
    </row>
    <row r="100" spans="1:33">
      <c r="A100" s="122">
        <v>2</v>
      </c>
      <c r="B100" s="122"/>
      <c r="C100" s="122">
        <v>88.6</v>
      </c>
      <c r="D100" s="122">
        <v>73.099999999999994</v>
      </c>
      <c r="E100" s="122"/>
      <c r="F100" s="122"/>
      <c r="G100" s="122"/>
      <c r="H100" s="119"/>
      <c r="I100" s="127">
        <v>83.4</v>
      </c>
      <c r="J100" s="119">
        <v>2</v>
      </c>
      <c r="K100" s="119"/>
      <c r="L100" s="128">
        <v>10045</v>
      </c>
      <c r="M100" s="127">
        <v>116.5</v>
      </c>
      <c r="N100" s="127">
        <f t="shared" si="0"/>
        <v>183.55035971223023</v>
      </c>
      <c r="O100" s="119"/>
      <c r="P100" s="119"/>
      <c r="Q100" s="119"/>
      <c r="R100" s="119"/>
      <c r="S100" s="119"/>
      <c r="T100" s="119"/>
      <c r="U100" s="119"/>
      <c r="V100" s="122"/>
      <c r="W100" s="126">
        <f>+W82</f>
        <v>2011</v>
      </c>
      <c r="X100" s="126">
        <f>+X82</f>
        <v>2012</v>
      </c>
      <c r="Y100" s="126">
        <f>+Y82</f>
        <v>2013</v>
      </c>
      <c r="Z100" s="119"/>
      <c r="AA100" s="119"/>
      <c r="AB100" s="119"/>
      <c r="AC100" s="119"/>
      <c r="AD100" s="119"/>
      <c r="AE100" s="119"/>
      <c r="AF100" s="119"/>
      <c r="AG100" s="119"/>
    </row>
    <row r="101" spans="1:33">
      <c r="A101" s="122">
        <v>3</v>
      </c>
      <c r="B101" s="122"/>
      <c r="C101" s="122">
        <v>88.2</v>
      </c>
      <c r="D101" s="122">
        <v>72.5</v>
      </c>
      <c r="E101" s="122"/>
      <c r="F101" s="122"/>
      <c r="G101" s="122"/>
      <c r="H101" s="119"/>
      <c r="I101" s="127">
        <v>83.7</v>
      </c>
      <c r="J101" s="119">
        <v>3</v>
      </c>
      <c r="K101" s="119"/>
      <c r="L101" s="128">
        <v>10870</v>
      </c>
      <c r="M101" s="127">
        <v>101.4</v>
      </c>
      <c r="N101" s="127">
        <f t="shared" si="0"/>
        <v>159.18709677419358</v>
      </c>
      <c r="O101" s="119"/>
      <c r="P101" s="119"/>
      <c r="Q101" s="119"/>
      <c r="R101" s="119"/>
      <c r="S101" s="119"/>
      <c r="T101" s="119"/>
      <c r="U101" s="119"/>
      <c r="V101" s="122" t="s">
        <v>18</v>
      </c>
      <c r="W101" s="132">
        <f>IF('Tab7'!C10="",+'Tab7'!C9+'Tab11'!C9,+'Tab7'!C10+'Tab11'!C10)</f>
        <v>5959.2581261013765</v>
      </c>
      <c r="X101" s="132">
        <f>IF('Tab7'!D10="",+'Tab7'!D9+'Tab11'!D9,+'Tab7'!D10+'Tab11'!D10)</f>
        <v>6822.44890070785</v>
      </c>
      <c r="Y101" s="132">
        <f>IF('Tab7'!E10="",+'Tab7'!E9+'Tab11'!E9,+'Tab7'!E10+'Tab11'!E10)</f>
        <v>5520.4451678348678</v>
      </c>
      <c r="Z101" s="119"/>
      <c r="AA101" s="119"/>
      <c r="AB101" s="119"/>
      <c r="AC101" s="119"/>
      <c r="AD101" s="119"/>
      <c r="AE101" s="119"/>
      <c r="AF101" s="119"/>
      <c r="AG101" s="119"/>
    </row>
    <row r="102" spans="1:33">
      <c r="A102" s="122">
        <v>4</v>
      </c>
      <c r="B102" s="122"/>
      <c r="C102" s="122">
        <v>84.8</v>
      </c>
      <c r="D102" s="122">
        <v>70.2</v>
      </c>
      <c r="E102" s="122"/>
      <c r="F102" s="122"/>
      <c r="G102" s="122"/>
      <c r="H102" s="119"/>
      <c r="I102" s="127">
        <v>85.1</v>
      </c>
      <c r="J102" s="119">
        <v>4</v>
      </c>
      <c r="K102" s="119"/>
      <c r="L102" s="128">
        <v>11076</v>
      </c>
      <c r="M102" s="127">
        <v>120</v>
      </c>
      <c r="N102" s="127">
        <f t="shared" si="0"/>
        <v>185.28789659224444</v>
      </c>
      <c r="O102" s="119"/>
      <c r="P102" s="119"/>
      <c r="Q102" s="119"/>
      <c r="R102" s="119"/>
      <c r="S102" s="119"/>
      <c r="T102" s="119"/>
      <c r="U102" s="119"/>
      <c r="V102" s="122" t="s">
        <v>102</v>
      </c>
      <c r="W102" s="132">
        <f>IF('Tab7'!C12="",+'Tab7'!C11+'Tab11'!C11,+'Tab7'!C12+'Tab11'!C12)</f>
        <v>26141.662648809524</v>
      </c>
      <c r="X102" s="132">
        <f>IF('Tab7'!D12="",+'Tab7'!D11+'Tab11'!D11,+'Tab7'!D12+'Tab11'!D12)</f>
        <v>18517.39324404762</v>
      </c>
      <c r="Y102" s="132">
        <f>IF('Tab7'!E12="",+'Tab7'!E11+'Tab11'!E11,+'Tab7'!E12+'Tab11'!E12)</f>
        <v>21974.571815476189</v>
      </c>
      <c r="Z102" s="119"/>
      <c r="AA102" s="119"/>
      <c r="AB102" s="119"/>
      <c r="AC102" s="119"/>
      <c r="AD102" s="119"/>
      <c r="AE102" s="119"/>
      <c r="AF102" s="119"/>
      <c r="AG102" s="119"/>
    </row>
    <row r="103" spans="1:33">
      <c r="A103" s="122">
        <v>1</v>
      </c>
      <c r="B103" s="122">
        <v>1991</v>
      </c>
      <c r="C103" s="122">
        <v>97.5</v>
      </c>
      <c r="D103" s="122">
        <v>82.4</v>
      </c>
      <c r="E103" s="122"/>
      <c r="F103" s="122"/>
      <c r="G103" s="122"/>
      <c r="H103" s="119"/>
      <c r="I103" s="127">
        <v>85.5</v>
      </c>
      <c r="J103" s="119">
        <v>1</v>
      </c>
      <c r="K103" s="119">
        <v>1991</v>
      </c>
      <c r="L103" s="128">
        <v>10172</v>
      </c>
      <c r="M103" s="127">
        <v>130.10000000000002</v>
      </c>
      <c r="N103" s="127">
        <f t="shared" ref="N103:N106" si="1">M103/I103*$I$69</f>
        <v>199.94315789473688</v>
      </c>
      <c r="O103" s="128">
        <v>6727</v>
      </c>
      <c r="P103" s="127">
        <v>376.9</v>
      </c>
      <c r="Q103" s="127">
        <f>P103/I103*$I$69</f>
        <v>579.23578947368412</v>
      </c>
      <c r="R103" s="128">
        <v>9077</v>
      </c>
      <c r="S103" s="127">
        <v>139.9</v>
      </c>
      <c r="T103" s="127">
        <f>S103/I103*$I$69</f>
        <v>215.0042105263158</v>
      </c>
      <c r="U103" s="119"/>
      <c r="V103" s="122" t="s">
        <v>72</v>
      </c>
      <c r="W103" s="132">
        <f>IF('Tab7'!C14="",+'Tab7'!C13+'Tab11'!C13,+'Tab7'!C14+'Tab11'!C14)</f>
        <v>6732.4599932123638</v>
      </c>
      <c r="X103" s="132">
        <f>IF('Tab7'!D14="",+'Tab7'!D13+'Tab11'!D13,+'Tab7'!D14+'Tab11'!D14)</f>
        <v>7564.3716625186662</v>
      </c>
      <c r="Y103" s="132">
        <f>IF('Tab7'!E14="",+'Tab7'!E13+'Tab11'!E13,+'Tab7'!E14+'Tab11'!E14)</f>
        <v>5958.3970505452735</v>
      </c>
      <c r="Z103" s="119"/>
      <c r="AA103" s="119"/>
      <c r="AB103" s="119"/>
      <c r="AC103" s="119"/>
      <c r="AD103" s="119"/>
      <c r="AE103" s="119"/>
      <c r="AF103" s="119"/>
      <c r="AG103" s="119"/>
    </row>
    <row r="104" spans="1:33">
      <c r="A104" s="122">
        <v>2</v>
      </c>
      <c r="B104" s="122"/>
      <c r="C104" s="122">
        <v>93.9</v>
      </c>
      <c r="D104" s="122">
        <v>78</v>
      </c>
      <c r="E104" s="122"/>
      <c r="F104" s="122"/>
      <c r="G104" s="122"/>
      <c r="H104" s="119"/>
      <c r="I104" s="127">
        <v>86.6</v>
      </c>
      <c r="J104" s="119">
        <v>2</v>
      </c>
      <c r="K104" s="119"/>
      <c r="L104" s="128">
        <v>10188</v>
      </c>
      <c r="M104" s="127">
        <v>126.69999999999993</v>
      </c>
      <c r="N104" s="127">
        <f t="shared" si="1"/>
        <v>192.24457274826784</v>
      </c>
      <c r="O104" s="128">
        <v>5864</v>
      </c>
      <c r="P104" s="127">
        <v>369.29999999999995</v>
      </c>
      <c r="Q104" s="127">
        <f t="shared" ref="Q104:Q167" si="2">P104/I104*$I$69</f>
        <v>560.34665127020787</v>
      </c>
      <c r="R104" s="128">
        <v>12525</v>
      </c>
      <c r="S104" s="127">
        <v>176.29999999999998</v>
      </c>
      <c r="T104" s="127">
        <f t="shared" ref="T104:T167" si="3">S104/I104*$I$69</f>
        <v>267.5036951501155</v>
      </c>
      <c r="U104" s="119"/>
      <c r="V104" s="122" t="s">
        <v>14</v>
      </c>
      <c r="W104" s="133">
        <f>+W106-SUM(W101:W103)</f>
        <v>30050.962461556534</v>
      </c>
      <c r="X104" s="133">
        <f>+X106-SUM(X101:X103)</f>
        <v>38225.990610829307</v>
      </c>
      <c r="Y104" s="133">
        <f>+Y106-SUM(Y101:Y103)</f>
        <v>34036.539075749577</v>
      </c>
      <c r="Z104" s="119"/>
      <c r="AA104" s="119"/>
      <c r="AB104" s="119"/>
      <c r="AC104" s="119"/>
      <c r="AD104" s="119"/>
      <c r="AE104" s="119"/>
      <c r="AF104" s="119"/>
      <c r="AG104" s="119"/>
    </row>
    <row r="105" spans="1:33">
      <c r="A105" s="122">
        <v>3</v>
      </c>
      <c r="B105" s="122"/>
      <c r="C105" s="122">
        <v>90.2</v>
      </c>
      <c r="D105" s="122">
        <v>76.099999999999994</v>
      </c>
      <c r="E105" s="122"/>
      <c r="F105" s="122"/>
      <c r="G105" s="122"/>
      <c r="H105" s="119"/>
      <c r="I105" s="127">
        <v>86.6</v>
      </c>
      <c r="J105" s="119">
        <v>3</v>
      </c>
      <c r="K105" s="119"/>
      <c r="L105" s="128">
        <v>10621</v>
      </c>
      <c r="M105" s="127">
        <v>132.60000000000002</v>
      </c>
      <c r="N105" s="127">
        <f t="shared" si="1"/>
        <v>201.19676674364899</v>
      </c>
      <c r="O105" s="128">
        <v>7951</v>
      </c>
      <c r="P105" s="127">
        <v>430.9</v>
      </c>
      <c r="Q105" s="127">
        <f t="shared" si="2"/>
        <v>653.81362586605076</v>
      </c>
      <c r="R105" s="128">
        <v>14126</v>
      </c>
      <c r="S105" s="127">
        <v>204.90000000000003</v>
      </c>
      <c r="T105" s="127">
        <f t="shared" si="3"/>
        <v>310.89907621247119</v>
      </c>
      <c r="U105" s="119"/>
      <c r="V105" s="122"/>
      <c r="W105" s="122"/>
      <c r="X105" s="122"/>
      <c r="Y105" s="122"/>
      <c r="Z105" s="119"/>
      <c r="AA105" s="119"/>
      <c r="AB105" s="119"/>
      <c r="AC105" s="119"/>
      <c r="AD105" s="119"/>
      <c r="AE105" s="119"/>
      <c r="AF105" s="119"/>
      <c r="AG105" s="119"/>
    </row>
    <row r="106" spans="1:33">
      <c r="A106" s="122">
        <v>4</v>
      </c>
      <c r="B106" s="122"/>
      <c r="C106" s="122">
        <v>92.6</v>
      </c>
      <c r="D106" s="122">
        <v>78.099999999999994</v>
      </c>
      <c r="E106" s="122"/>
      <c r="F106" s="122"/>
      <c r="G106" s="122"/>
      <c r="H106" s="119"/>
      <c r="I106" s="127">
        <v>87.3</v>
      </c>
      <c r="J106" s="119">
        <v>4</v>
      </c>
      <c r="K106" s="119"/>
      <c r="L106" s="128">
        <v>11640</v>
      </c>
      <c r="M106" s="127">
        <v>138.20000000000005</v>
      </c>
      <c r="N106" s="127">
        <f t="shared" si="1"/>
        <v>208.0123711340207</v>
      </c>
      <c r="O106" s="128">
        <v>13048</v>
      </c>
      <c r="P106" s="127">
        <v>427.00000000000023</v>
      </c>
      <c r="Q106" s="127">
        <f t="shared" si="2"/>
        <v>642.70103092783552</v>
      </c>
      <c r="R106" s="128">
        <v>13048</v>
      </c>
      <c r="S106" s="127">
        <v>185</v>
      </c>
      <c r="T106" s="127">
        <f t="shared" si="3"/>
        <v>278.45360824742272</v>
      </c>
      <c r="U106" s="119"/>
      <c r="V106" s="122" t="s">
        <v>103</v>
      </c>
      <c r="W106" s="132">
        <f>IF('Tab7'!C8="",+'Tab7'!C7+'Tab11'!C7,+'Tab7'!C8+'Tab11'!C8)</f>
        <v>68884.343229679798</v>
      </c>
      <c r="X106" s="132">
        <f>IF('Tab7'!D8="",+'Tab7'!D7+'Tab11'!D7,+'Tab7'!D8+'Tab11'!D8)</f>
        <v>71130.204418103443</v>
      </c>
      <c r="Y106" s="132">
        <f>IF('Tab7'!E8="",+'Tab7'!E7+'Tab11'!E7,+'Tab7'!E8+'Tab11'!E8)</f>
        <v>67489.953109605907</v>
      </c>
      <c r="Z106" s="119"/>
      <c r="AA106" s="119"/>
      <c r="AB106" s="119"/>
      <c r="AC106" s="119"/>
      <c r="AD106" s="119"/>
      <c r="AE106" s="119"/>
      <c r="AF106" s="119"/>
      <c r="AG106" s="119"/>
    </row>
    <row r="107" spans="1:33">
      <c r="A107" s="122">
        <v>1</v>
      </c>
      <c r="B107" s="122">
        <v>1992</v>
      </c>
      <c r="C107" s="122">
        <v>102</v>
      </c>
      <c r="D107" s="122">
        <v>87.1</v>
      </c>
      <c r="E107" s="122"/>
      <c r="F107" s="122"/>
      <c r="G107" s="122"/>
      <c r="H107" s="119"/>
      <c r="I107" s="127">
        <v>87.5</v>
      </c>
      <c r="J107" s="119">
        <v>1</v>
      </c>
      <c r="K107" s="119">
        <v>1992</v>
      </c>
      <c r="L107" s="128">
        <v>10520</v>
      </c>
      <c r="M107" s="127">
        <v>129.4</v>
      </c>
      <c r="N107" s="127">
        <f>M107/I107*$I$69</f>
        <v>194.32182857142857</v>
      </c>
      <c r="O107" s="128">
        <v>6509</v>
      </c>
      <c r="P107" s="127">
        <v>409.5</v>
      </c>
      <c r="Q107" s="127">
        <f t="shared" si="2"/>
        <v>614.952</v>
      </c>
      <c r="R107" s="128">
        <v>11030</v>
      </c>
      <c r="S107" s="127">
        <v>180.5</v>
      </c>
      <c r="T107" s="127">
        <f t="shared" si="3"/>
        <v>271.05942857142855</v>
      </c>
      <c r="U107" s="119"/>
      <c r="V107" s="119"/>
      <c r="W107" s="119"/>
      <c r="X107" s="119"/>
      <c r="Y107" s="119"/>
      <c r="Z107" s="119"/>
      <c r="AA107" s="119"/>
      <c r="AB107" s="119"/>
      <c r="AC107" s="119"/>
      <c r="AD107" s="119"/>
      <c r="AE107" s="119"/>
      <c r="AF107" s="119"/>
      <c r="AG107" s="119"/>
    </row>
    <row r="108" spans="1:33">
      <c r="A108" s="122">
        <v>2</v>
      </c>
      <c r="B108" s="122"/>
      <c r="C108" s="122">
        <v>92.2</v>
      </c>
      <c r="D108" s="122">
        <v>78.900000000000006</v>
      </c>
      <c r="E108" s="122"/>
      <c r="F108" s="122"/>
      <c r="G108" s="122"/>
      <c r="H108" s="119"/>
      <c r="I108" s="127">
        <v>88.6</v>
      </c>
      <c r="J108" s="119">
        <v>2</v>
      </c>
      <c r="K108" s="119"/>
      <c r="L108" s="128">
        <v>10661</v>
      </c>
      <c r="M108" s="127">
        <v>112.9</v>
      </c>
      <c r="N108" s="127">
        <f t="shared" ref="N108:N171" si="4">M108/I108*$I$69</f>
        <v>167.43860045146729</v>
      </c>
      <c r="O108" s="128">
        <v>5632</v>
      </c>
      <c r="P108" s="127">
        <v>412</v>
      </c>
      <c r="Q108" s="127">
        <f t="shared" si="2"/>
        <v>611.02483069977427</v>
      </c>
      <c r="R108" s="128">
        <v>13252</v>
      </c>
      <c r="S108" s="127">
        <v>167</v>
      </c>
      <c r="T108" s="127">
        <f t="shared" si="3"/>
        <v>247.67268623024833</v>
      </c>
      <c r="U108" s="119"/>
      <c r="V108" s="119"/>
      <c r="W108" s="119"/>
      <c r="X108" s="119"/>
      <c r="Y108" s="119"/>
      <c r="Z108" s="119"/>
      <c r="AA108" s="119"/>
      <c r="AB108" s="119"/>
      <c r="AC108" s="119"/>
      <c r="AD108" s="119"/>
      <c r="AE108" s="119"/>
      <c r="AF108" s="119"/>
      <c r="AG108" s="119"/>
    </row>
    <row r="109" spans="1:33">
      <c r="A109" s="122">
        <v>3</v>
      </c>
      <c r="B109" s="122"/>
      <c r="C109" s="122">
        <v>93.3</v>
      </c>
      <c r="D109" s="122">
        <v>79.900000000000006</v>
      </c>
      <c r="E109" s="122"/>
      <c r="F109" s="122"/>
      <c r="G109" s="122"/>
      <c r="H109" s="119"/>
      <c r="I109" s="127">
        <v>88.7</v>
      </c>
      <c r="J109" s="119">
        <v>3</v>
      </c>
      <c r="K109" s="119"/>
      <c r="L109" s="128">
        <v>11590</v>
      </c>
      <c r="M109" s="127">
        <v>130.59999999999997</v>
      </c>
      <c r="N109" s="127">
        <f t="shared" si="4"/>
        <v>193.47057497181504</v>
      </c>
      <c r="O109" s="128">
        <v>8642</v>
      </c>
      <c r="P109" s="127">
        <v>440.40000000000009</v>
      </c>
      <c r="Q109" s="127">
        <f t="shared" si="2"/>
        <v>652.40766629086829</v>
      </c>
      <c r="R109" s="128">
        <v>15450</v>
      </c>
      <c r="S109" s="127">
        <v>219.10000000000002</v>
      </c>
      <c r="T109" s="127">
        <f t="shared" si="3"/>
        <v>324.57429537767757</v>
      </c>
      <c r="U109" s="119"/>
      <c r="V109" s="121" t="s">
        <v>215</v>
      </c>
      <c r="W109" s="122"/>
      <c r="X109" s="122"/>
      <c r="Y109" s="122"/>
      <c r="Z109" s="119"/>
      <c r="AA109" s="119"/>
      <c r="AB109" s="119"/>
      <c r="AC109" s="119"/>
      <c r="AD109" s="119"/>
      <c r="AE109" s="119"/>
      <c r="AF109" s="119"/>
      <c r="AG109" s="119"/>
    </row>
    <row r="110" spans="1:33">
      <c r="A110" s="122">
        <v>4</v>
      </c>
      <c r="B110" s="122"/>
      <c r="C110" s="122">
        <v>90.8</v>
      </c>
      <c r="D110" s="122">
        <v>77.599999999999994</v>
      </c>
      <c r="E110" s="122"/>
      <c r="F110" s="122"/>
      <c r="G110" s="122"/>
      <c r="H110" s="119"/>
      <c r="I110" s="127">
        <v>89.3</v>
      </c>
      <c r="J110" s="119">
        <v>4</v>
      </c>
      <c r="K110" s="119"/>
      <c r="L110" s="128">
        <v>11917</v>
      </c>
      <c r="M110" s="127">
        <v>108.50000000000006</v>
      </c>
      <c r="N110" s="127">
        <f t="shared" si="4"/>
        <v>159.65173572228451</v>
      </c>
      <c r="O110" s="128">
        <v>7139</v>
      </c>
      <c r="P110" s="127">
        <v>425.59999999999991</v>
      </c>
      <c r="Q110" s="127">
        <f t="shared" si="2"/>
        <v>626.24680851063817</v>
      </c>
      <c r="R110" s="128">
        <v>12309</v>
      </c>
      <c r="S110" s="127">
        <v>109.39999999999998</v>
      </c>
      <c r="T110" s="127">
        <f t="shared" si="3"/>
        <v>160.9760358342665</v>
      </c>
      <c r="U110" s="119"/>
      <c r="V110" s="122"/>
      <c r="W110" s="122"/>
      <c r="X110" s="122"/>
      <c r="Y110" s="122"/>
      <c r="Z110" s="119"/>
      <c r="AA110" s="119"/>
      <c r="AB110" s="119"/>
      <c r="AC110" s="119"/>
      <c r="AD110" s="119"/>
      <c r="AE110" s="119"/>
      <c r="AF110" s="119"/>
      <c r="AG110" s="119"/>
    </row>
    <row r="111" spans="1:33">
      <c r="A111" s="122">
        <v>1</v>
      </c>
      <c r="B111" s="122">
        <v>1993</v>
      </c>
      <c r="C111" s="122">
        <v>112.6</v>
      </c>
      <c r="D111" s="122">
        <v>96.5</v>
      </c>
      <c r="E111" s="122"/>
      <c r="F111" s="122"/>
      <c r="G111" s="122"/>
      <c r="H111" s="119"/>
      <c r="I111" s="127">
        <v>89.8</v>
      </c>
      <c r="J111" s="119">
        <v>1</v>
      </c>
      <c r="K111" s="119">
        <v>1993</v>
      </c>
      <c r="L111" s="128">
        <v>11275</v>
      </c>
      <c r="M111" s="127">
        <v>136.89999999999998</v>
      </c>
      <c r="N111" s="127">
        <f t="shared" si="4"/>
        <v>200.31915367483293</v>
      </c>
      <c r="O111" s="128">
        <v>6982</v>
      </c>
      <c r="P111" s="127">
        <v>449.4</v>
      </c>
      <c r="Q111" s="127">
        <f t="shared" si="2"/>
        <v>657.58530066815149</v>
      </c>
      <c r="R111" s="128">
        <v>10571</v>
      </c>
      <c r="S111" s="127">
        <v>175.5</v>
      </c>
      <c r="T111" s="127">
        <f t="shared" si="3"/>
        <v>256.80066815144767</v>
      </c>
      <c r="U111" s="119"/>
      <c r="V111" s="122"/>
      <c r="W111" s="126">
        <f>+W100</f>
        <v>2011</v>
      </c>
      <c r="X111" s="126">
        <f>+X100</f>
        <v>2012</v>
      </c>
      <c r="Y111" s="126">
        <f>+Y100</f>
        <v>2013</v>
      </c>
      <c r="Z111" s="119"/>
      <c r="AA111" s="119"/>
      <c r="AB111" s="119"/>
      <c r="AC111" s="119"/>
      <c r="AD111" s="119"/>
      <c r="AE111" s="119"/>
      <c r="AF111" s="119"/>
      <c r="AG111" s="119"/>
    </row>
    <row r="112" spans="1:33">
      <c r="A112" s="122">
        <v>2</v>
      </c>
      <c r="B112" s="122"/>
      <c r="C112" s="122">
        <f>205.6-C111</f>
        <v>93</v>
      </c>
      <c r="D112" s="122">
        <f>176.6-D111</f>
        <v>80.099999999999994</v>
      </c>
      <c r="E112" s="122"/>
      <c r="F112" s="122"/>
      <c r="G112" s="122"/>
      <c r="H112" s="119"/>
      <c r="I112" s="127">
        <v>90.8</v>
      </c>
      <c r="J112" s="119">
        <v>2</v>
      </c>
      <c r="K112" s="119"/>
      <c r="L112" s="128">
        <v>10076</v>
      </c>
      <c r="M112" s="127">
        <v>115.20000000000002</v>
      </c>
      <c r="N112" s="127">
        <f t="shared" si="4"/>
        <v>166.71013215859037</v>
      </c>
      <c r="O112" s="128">
        <v>6332</v>
      </c>
      <c r="P112" s="127">
        <v>352.9</v>
      </c>
      <c r="Q112" s="127">
        <f t="shared" si="2"/>
        <v>510.69449339207051</v>
      </c>
      <c r="R112" s="128">
        <v>12919</v>
      </c>
      <c r="S112" s="127">
        <v>191.20000000000005</v>
      </c>
      <c r="T112" s="127">
        <f t="shared" si="3"/>
        <v>276.69251101321595</v>
      </c>
      <c r="U112" s="119"/>
      <c r="V112" s="122" t="s">
        <v>199</v>
      </c>
      <c r="W112" s="131">
        <f>IF('Tab7'!C38="",+'Tab7'!C37+'Tab11'!C37+'Tab11'!C47,+'Tab7'!C38+'Tab11'!C38+'Tab11'!C48)</f>
        <v>1745.6995274172209</v>
      </c>
      <c r="X112" s="131">
        <f>IF('Tab7'!D38="",+'Tab7'!D37+'Tab11'!D37+'Tab11'!D47,+'Tab7'!D38+'Tab11'!D38+'Tab11'!D48)</f>
        <v>1165.2695598150794</v>
      </c>
      <c r="Y112" s="131">
        <f>IF('Tab7'!E38="",+'Tab7'!E37+'Tab11'!E37+'Tab11'!E47,+'Tab7'!E38+'Tab11'!E38+'Tab11'!E48)</f>
        <v>1176.1797003846598</v>
      </c>
      <c r="Z112" s="119"/>
      <c r="AA112" s="119"/>
      <c r="AB112" s="119"/>
      <c r="AC112" s="119"/>
      <c r="AD112" s="119"/>
      <c r="AE112" s="119"/>
      <c r="AF112" s="119"/>
      <c r="AG112" s="119"/>
    </row>
    <row r="113" spans="1:33">
      <c r="A113" s="122">
        <v>3</v>
      </c>
      <c r="B113" s="122"/>
      <c r="C113" s="122">
        <f>293.1-C112-C111</f>
        <v>87.500000000000028</v>
      </c>
      <c r="D113" s="122">
        <f>250.2-D112-D111</f>
        <v>73.599999999999994</v>
      </c>
      <c r="E113" s="122"/>
      <c r="F113" s="122"/>
      <c r="G113" s="122"/>
      <c r="H113" s="119"/>
      <c r="I113" s="127">
        <v>90.6</v>
      </c>
      <c r="J113" s="119">
        <v>3</v>
      </c>
      <c r="K113" s="119"/>
      <c r="L113" s="128">
        <v>11766</v>
      </c>
      <c r="M113" s="127">
        <v>132.79999999999998</v>
      </c>
      <c r="N113" s="127">
        <f t="shared" si="4"/>
        <v>192.60397350993378</v>
      </c>
      <c r="O113" s="128">
        <v>6675</v>
      </c>
      <c r="P113" s="127">
        <v>388.50000000000023</v>
      </c>
      <c r="Q113" s="127">
        <f t="shared" si="2"/>
        <v>563.45364238410627</v>
      </c>
      <c r="R113" s="128">
        <v>14800</v>
      </c>
      <c r="S113" s="127">
        <v>216.89999999999998</v>
      </c>
      <c r="T113" s="127">
        <f t="shared" si="3"/>
        <v>314.57682119205299</v>
      </c>
      <c r="U113" s="119"/>
      <c r="V113" s="122" t="s">
        <v>102</v>
      </c>
      <c r="W113" s="131">
        <f>IF('Tab7'!C40="",+'Tab7'!C39+'Tab11'!C39,+'Tab7'!C40+'Tab11'!C40)</f>
        <v>1061.4209517567813</v>
      </c>
      <c r="X113" s="131">
        <f>IF('Tab7'!D40="",+'Tab7'!D39+'Tab11'!D39,+'Tab7'!D40+'Tab11'!D40)</f>
        <v>869.15461769403078</v>
      </c>
      <c r="Y113" s="131">
        <f>IF('Tab7'!E40="",+'Tab7'!E39+'Tab11'!E39,+'Tab7'!E40+'Tab11'!E40)</f>
        <v>1023.0812127444322</v>
      </c>
      <c r="Z113" s="119"/>
      <c r="AA113" s="119"/>
      <c r="AB113" s="119"/>
      <c r="AC113" s="119"/>
      <c r="AD113" s="119"/>
      <c r="AE113" s="119"/>
      <c r="AF113" s="119"/>
      <c r="AG113" s="119"/>
    </row>
    <row r="114" spans="1:33">
      <c r="A114" s="122">
        <v>4</v>
      </c>
      <c r="B114" s="122"/>
      <c r="C114" s="122">
        <f>413.2-C113-C112-C111</f>
        <v>120.09999999999994</v>
      </c>
      <c r="D114" s="122">
        <f>356.8-D113-D112-D111</f>
        <v>106.60000000000005</v>
      </c>
      <c r="E114" s="122"/>
      <c r="F114" s="122"/>
      <c r="G114" s="122"/>
      <c r="H114" s="119"/>
      <c r="I114" s="127">
        <v>91</v>
      </c>
      <c r="J114" s="119">
        <v>4</v>
      </c>
      <c r="K114" s="119"/>
      <c r="L114" s="128">
        <v>12707</v>
      </c>
      <c r="M114" s="127">
        <v>157.79999999999995</v>
      </c>
      <c r="N114" s="127">
        <f t="shared" si="4"/>
        <v>227.85626373626366</v>
      </c>
      <c r="O114" s="128">
        <v>6319</v>
      </c>
      <c r="P114" s="127">
        <v>466.99999999999977</v>
      </c>
      <c r="Q114" s="127">
        <f t="shared" si="2"/>
        <v>674.32747252747231</v>
      </c>
      <c r="R114" s="128">
        <v>11391</v>
      </c>
      <c r="S114" s="127">
        <v>164.5</v>
      </c>
      <c r="T114" s="127">
        <f t="shared" si="3"/>
        <v>237.53076923076924</v>
      </c>
      <c r="U114" s="119"/>
      <c r="V114" s="122" t="s">
        <v>72</v>
      </c>
      <c r="W114" s="131">
        <f>IF('Tab7'!C42="",+'Tab7'!C41+'Tab11'!C41,+'Tab7'!C42+'Tab11'!C42)</f>
        <v>156.46911510151821</v>
      </c>
      <c r="X114" s="131">
        <f>IF('Tab7'!D42="",+'Tab7'!D41+'Tab11'!D41,+'Tab7'!D42+'Tab11'!D42)</f>
        <v>175.73767321176348</v>
      </c>
      <c r="Y114" s="131">
        <f>IF('Tab7'!E42="",+'Tab7'!E41+'Tab11'!E41,+'Tab7'!E42+'Tab11'!E42)</f>
        <v>167.84779905693762</v>
      </c>
      <c r="Z114" s="119"/>
      <c r="AA114" s="119"/>
      <c r="AB114" s="119"/>
      <c r="AC114" s="119"/>
      <c r="AD114" s="119"/>
      <c r="AE114" s="119"/>
      <c r="AF114" s="119"/>
      <c r="AG114" s="119"/>
    </row>
    <row r="115" spans="1:33">
      <c r="A115" s="122">
        <v>1</v>
      </c>
      <c r="B115" s="122">
        <v>1994</v>
      </c>
      <c r="C115" s="122">
        <v>138.4</v>
      </c>
      <c r="D115" s="122">
        <v>120</v>
      </c>
      <c r="E115" s="122"/>
      <c r="F115" s="122"/>
      <c r="G115" s="122"/>
      <c r="H115" s="119"/>
      <c r="I115" s="127">
        <v>91</v>
      </c>
      <c r="J115" s="119">
        <v>1</v>
      </c>
      <c r="K115" s="119">
        <v>1994</v>
      </c>
      <c r="L115" s="128">
        <v>15224</v>
      </c>
      <c r="M115" s="127">
        <v>189</v>
      </c>
      <c r="N115" s="127">
        <f t="shared" si="4"/>
        <v>272.90769230769234</v>
      </c>
      <c r="O115" s="128">
        <v>6291</v>
      </c>
      <c r="P115" s="127">
        <v>427.6</v>
      </c>
      <c r="Q115" s="127">
        <f t="shared" si="2"/>
        <v>617.4356043956044</v>
      </c>
      <c r="R115" s="128">
        <v>8795</v>
      </c>
      <c r="S115" s="127">
        <v>161.69999999999999</v>
      </c>
      <c r="T115" s="127">
        <f t="shared" si="3"/>
        <v>233.4876923076923</v>
      </c>
      <c r="U115" s="119"/>
      <c r="V115" s="122" t="s">
        <v>14</v>
      </c>
      <c r="W115" s="134">
        <f>+W117-SUM(W112:W114)</f>
        <v>554.00009436195569</v>
      </c>
      <c r="X115" s="134">
        <f>+X117-SUM(X112:X114)</f>
        <v>572.17595983872843</v>
      </c>
      <c r="Y115" s="134">
        <f>+Y117-SUM(Y112:Y114)</f>
        <v>599.19813266946448</v>
      </c>
      <c r="Z115" s="119"/>
      <c r="AA115" s="119"/>
      <c r="AB115" s="119"/>
      <c r="AC115" s="119"/>
      <c r="AD115" s="119"/>
      <c r="AE115" s="119"/>
      <c r="AF115" s="119"/>
      <c r="AG115" s="119"/>
    </row>
    <row r="116" spans="1:33">
      <c r="A116" s="122">
        <v>2</v>
      </c>
      <c r="B116" s="122"/>
      <c r="C116" s="122">
        <f>252.9-C115</f>
        <v>114.5</v>
      </c>
      <c r="D116" s="122">
        <f>218.1-D115</f>
        <v>98.1</v>
      </c>
      <c r="E116" s="122"/>
      <c r="F116" s="122"/>
      <c r="G116" s="122"/>
      <c r="H116" s="119"/>
      <c r="I116" s="127">
        <v>91.7</v>
      </c>
      <c r="J116" s="119">
        <v>2</v>
      </c>
      <c r="K116" s="119"/>
      <c r="L116" s="128">
        <v>13585</v>
      </c>
      <c r="M116" s="127">
        <v>166.5</v>
      </c>
      <c r="N116" s="127">
        <f t="shared" si="4"/>
        <v>238.58342420937842</v>
      </c>
      <c r="O116" s="128">
        <v>5517</v>
      </c>
      <c r="P116" s="127">
        <v>494.30000000000007</v>
      </c>
      <c r="Q116" s="127">
        <f t="shared" si="2"/>
        <v>708.29901853871331</v>
      </c>
      <c r="R116" s="128">
        <v>13449</v>
      </c>
      <c r="S116" s="127">
        <v>196.2</v>
      </c>
      <c r="T116" s="127">
        <f t="shared" si="3"/>
        <v>281.14154852780808</v>
      </c>
      <c r="U116" s="119"/>
      <c r="V116" s="122"/>
      <c r="W116" s="131"/>
      <c r="X116" s="131"/>
      <c r="Y116" s="131"/>
      <c r="Z116" s="119"/>
      <c r="AA116" s="119"/>
      <c r="AB116" s="119"/>
      <c r="AC116" s="119"/>
      <c r="AD116" s="119"/>
      <c r="AE116" s="119"/>
      <c r="AF116" s="119"/>
      <c r="AG116" s="119"/>
    </row>
    <row r="117" spans="1:33">
      <c r="A117" s="122">
        <v>3</v>
      </c>
      <c r="B117" s="122"/>
      <c r="C117" s="122">
        <f>365.7-C115-C116</f>
        <v>112.79999999999998</v>
      </c>
      <c r="D117" s="122">
        <f>316.9-D115-D116</f>
        <v>98.799999999999983</v>
      </c>
      <c r="E117" s="122"/>
      <c r="F117" s="122"/>
      <c r="G117" s="122"/>
      <c r="H117" s="119"/>
      <c r="I117" s="127">
        <v>92.1</v>
      </c>
      <c r="J117" s="119">
        <v>3</v>
      </c>
      <c r="K117" s="119"/>
      <c r="L117" s="128">
        <v>13956</v>
      </c>
      <c r="M117" s="127">
        <v>169.89999999999998</v>
      </c>
      <c r="N117" s="127">
        <f t="shared" si="4"/>
        <v>242.39804560260586</v>
      </c>
      <c r="O117" s="128">
        <v>8952</v>
      </c>
      <c r="P117" s="127">
        <v>425.5</v>
      </c>
      <c r="Q117" s="127">
        <f t="shared" si="2"/>
        <v>607.06514657980472</v>
      </c>
      <c r="R117" s="128">
        <v>15669</v>
      </c>
      <c r="S117" s="127">
        <v>219.80000000000007</v>
      </c>
      <c r="T117" s="127">
        <f t="shared" si="3"/>
        <v>313.5908794788275</v>
      </c>
      <c r="U117" s="119"/>
      <c r="V117" s="122" t="s">
        <v>103</v>
      </c>
      <c r="W117" s="131">
        <f>IF('Tab7'!C36="",+'Tab7'!C35+'Tab11'!C35,+'Tab7'!C36+'Tab11'!C36)</f>
        <v>3517.5896886374758</v>
      </c>
      <c r="X117" s="131">
        <f>IF('Tab7'!D36="",+'Tab7'!D35+'Tab11'!D35,+'Tab7'!D36+'Tab11'!D36)</f>
        <v>2782.3378105596021</v>
      </c>
      <c r="Y117" s="131">
        <f>IF('Tab7'!E36="",+'Tab7'!E35+'Tab11'!E35,+'Tab7'!E36+'Tab11'!E36)</f>
        <v>2966.3068448554941</v>
      </c>
      <c r="Z117" s="119"/>
      <c r="AA117" s="119"/>
      <c r="AB117" s="119"/>
      <c r="AC117" s="119"/>
      <c r="AD117" s="119"/>
      <c r="AE117" s="119"/>
      <c r="AF117" s="119"/>
      <c r="AG117" s="119"/>
    </row>
    <row r="118" spans="1:33">
      <c r="A118" s="122">
        <v>4</v>
      </c>
      <c r="B118" s="122"/>
      <c r="C118" s="122">
        <f>480.2-C115-C116-C117</f>
        <v>114.49999999999997</v>
      </c>
      <c r="D118" s="122">
        <f>417.1-D115-D116-D117</f>
        <v>100.20000000000005</v>
      </c>
      <c r="E118" s="122"/>
      <c r="F118" s="122"/>
      <c r="G118" s="122"/>
      <c r="H118" s="119"/>
      <c r="I118" s="127">
        <v>92.6</v>
      </c>
      <c r="J118" s="119">
        <v>4</v>
      </c>
      <c r="K118" s="119"/>
      <c r="L118" s="128">
        <v>14006</v>
      </c>
      <c r="M118" s="127">
        <v>140.80000000000007</v>
      </c>
      <c r="N118" s="127">
        <f t="shared" si="4"/>
        <v>199.79611231101524</v>
      </c>
      <c r="O118" s="128">
        <v>8189</v>
      </c>
      <c r="P118" s="127">
        <v>390.59999999999991</v>
      </c>
      <c r="Q118" s="127">
        <f t="shared" si="2"/>
        <v>554.26393088552913</v>
      </c>
      <c r="R118" s="128">
        <v>14139</v>
      </c>
      <c r="S118" s="127">
        <v>214.39999999999998</v>
      </c>
      <c r="T118" s="127">
        <f t="shared" si="3"/>
        <v>304.23498920086394</v>
      </c>
      <c r="U118" s="119"/>
      <c r="V118" s="122"/>
      <c r="W118" s="119"/>
      <c r="X118" s="122"/>
      <c r="Y118" s="119"/>
      <c r="Z118" s="119"/>
      <c r="AA118" s="119"/>
      <c r="AB118" s="119"/>
      <c r="AC118" s="119"/>
      <c r="AD118" s="119"/>
      <c r="AE118" s="119"/>
      <c r="AF118" s="119"/>
      <c r="AG118" s="119"/>
    </row>
    <row r="119" spans="1:33">
      <c r="A119" s="122">
        <v>1</v>
      </c>
      <c r="B119" s="122">
        <v>1995</v>
      </c>
      <c r="C119" s="122">
        <v>137.19999999999999</v>
      </c>
      <c r="D119" s="122">
        <v>119.3</v>
      </c>
      <c r="E119" s="122"/>
      <c r="F119" s="122"/>
      <c r="G119" s="122"/>
      <c r="H119" s="119"/>
      <c r="I119" s="127">
        <v>93.4</v>
      </c>
      <c r="J119" s="119">
        <v>1</v>
      </c>
      <c r="K119" s="119">
        <v>1995</v>
      </c>
      <c r="L119" s="128">
        <v>13188</v>
      </c>
      <c r="M119" s="127">
        <v>171.1</v>
      </c>
      <c r="N119" s="127">
        <f t="shared" si="4"/>
        <v>240.71241970021413</v>
      </c>
      <c r="O119" s="128">
        <v>7699</v>
      </c>
      <c r="P119" s="127">
        <v>543</v>
      </c>
      <c r="Q119" s="127">
        <f t="shared" si="2"/>
        <v>763.92077087794439</v>
      </c>
      <c r="R119" s="128">
        <v>11007</v>
      </c>
      <c r="S119" s="127">
        <v>183.1</v>
      </c>
      <c r="T119" s="127">
        <f t="shared" si="3"/>
        <v>257.59464668094216</v>
      </c>
      <c r="U119" s="119"/>
      <c r="V119" s="121" t="s">
        <v>209</v>
      </c>
      <c r="W119" s="119"/>
      <c r="X119" s="119"/>
      <c r="Y119" s="119"/>
      <c r="Z119" s="119"/>
      <c r="AA119" s="119"/>
      <c r="AB119" s="119"/>
      <c r="AC119" s="119"/>
      <c r="AD119" s="119"/>
      <c r="AE119" s="119"/>
      <c r="AF119" s="119"/>
      <c r="AG119" s="119"/>
    </row>
    <row r="120" spans="1:33">
      <c r="A120" s="122">
        <v>2</v>
      </c>
      <c r="B120" s="122"/>
      <c r="C120" s="122">
        <f>248.2-C119</f>
        <v>111</v>
      </c>
      <c r="D120" s="122">
        <f>214.7-D119</f>
        <v>95.399999999999991</v>
      </c>
      <c r="E120" s="122"/>
      <c r="F120" s="122"/>
      <c r="G120" s="122"/>
      <c r="H120" s="119"/>
      <c r="I120" s="127">
        <v>94.1</v>
      </c>
      <c r="J120" s="119">
        <v>2</v>
      </c>
      <c r="K120" s="119"/>
      <c r="L120" s="128">
        <v>11077</v>
      </c>
      <c r="M120" s="127">
        <v>148.30000000000004</v>
      </c>
      <c r="N120" s="127">
        <f t="shared" si="4"/>
        <v>207.08416578108404</v>
      </c>
      <c r="O120" s="128">
        <v>5465</v>
      </c>
      <c r="P120" s="127">
        <v>462.40000000000009</v>
      </c>
      <c r="Q120" s="127">
        <f t="shared" si="2"/>
        <v>645.68926673751344</v>
      </c>
      <c r="R120" s="128">
        <v>13915</v>
      </c>
      <c r="S120" s="127">
        <v>213.4</v>
      </c>
      <c r="T120" s="127">
        <f t="shared" si="3"/>
        <v>297.98894792773649</v>
      </c>
      <c r="U120" s="119"/>
      <c r="V120" s="119"/>
      <c r="W120" s="119"/>
      <c r="X120" s="119"/>
      <c r="Y120" s="119"/>
      <c r="Z120" s="119"/>
      <c r="AA120" s="119"/>
      <c r="AB120" s="119"/>
      <c r="AC120" s="119"/>
      <c r="AD120" s="119"/>
      <c r="AE120" s="119"/>
      <c r="AF120" s="119"/>
      <c r="AG120" s="119"/>
    </row>
    <row r="121" spans="1:33">
      <c r="A121" s="122">
        <v>3</v>
      </c>
      <c r="B121" s="122"/>
      <c r="C121" s="122">
        <f>364.1-C119-C120</f>
        <v>115.90000000000003</v>
      </c>
      <c r="D121" s="122">
        <f>315.7-D119-D120</f>
        <v>100.99999999999999</v>
      </c>
      <c r="E121" s="122"/>
      <c r="F121" s="122"/>
      <c r="G121" s="122"/>
      <c r="H121" s="119"/>
      <c r="I121" s="127">
        <v>94.1</v>
      </c>
      <c r="J121" s="119">
        <v>3</v>
      </c>
      <c r="K121" s="119"/>
      <c r="L121" s="128">
        <v>13937</v>
      </c>
      <c r="M121" s="127">
        <v>180.19999999999993</v>
      </c>
      <c r="N121" s="127">
        <f t="shared" si="4"/>
        <v>251.62890541976614</v>
      </c>
      <c r="O121" s="128">
        <v>9139</v>
      </c>
      <c r="P121" s="127">
        <v>487.89999999999986</v>
      </c>
      <c r="Q121" s="127">
        <f t="shared" si="2"/>
        <v>681.29713071200831</v>
      </c>
      <c r="R121" s="128">
        <v>17436</v>
      </c>
      <c r="S121" s="127">
        <v>224.09999999999991</v>
      </c>
      <c r="T121" s="127">
        <f t="shared" si="3"/>
        <v>312.93028692879903</v>
      </c>
      <c r="U121" s="119"/>
      <c r="V121" s="122"/>
      <c r="W121" s="126">
        <f>+'Tab3'!C6</f>
        <v>2011</v>
      </c>
      <c r="X121" s="126">
        <f>+'Tab3'!D6</f>
        <v>2012</v>
      </c>
      <c r="Y121" s="126">
        <f>+'Tab3'!E6</f>
        <v>2013</v>
      </c>
      <c r="Z121" s="119"/>
      <c r="AA121" s="119"/>
      <c r="AB121" s="119"/>
      <c r="AC121" s="119"/>
      <c r="AD121" s="119"/>
      <c r="AE121" s="119"/>
      <c r="AF121" s="119"/>
      <c r="AG121" s="119"/>
    </row>
    <row r="122" spans="1:33">
      <c r="A122" s="122">
        <v>4</v>
      </c>
      <c r="B122" s="122"/>
      <c r="C122" s="122">
        <f>482.9-C119-C120-C121</f>
        <v>118.79999999999995</v>
      </c>
      <c r="D122" s="122">
        <f>420.1-D119-D120-D121</f>
        <v>104.40000000000005</v>
      </c>
      <c r="E122" s="122"/>
      <c r="F122" s="122"/>
      <c r="G122" s="122"/>
      <c r="H122" s="119"/>
      <c r="I122" s="127">
        <v>94.6</v>
      </c>
      <c r="J122" s="119">
        <v>4</v>
      </c>
      <c r="K122" s="119"/>
      <c r="L122" s="128">
        <v>13920</v>
      </c>
      <c r="M122" s="127">
        <v>172.00000000000006</v>
      </c>
      <c r="N122" s="127">
        <f t="shared" si="4"/>
        <v>238.90909090909099</v>
      </c>
      <c r="O122" s="128">
        <v>7500</v>
      </c>
      <c r="P122" s="127">
        <v>369.89999999999986</v>
      </c>
      <c r="Q122" s="127">
        <f t="shared" si="2"/>
        <v>513.79344608879478</v>
      </c>
      <c r="R122" s="128">
        <v>15130</v>
      </c>
      <c r="S122" s="127">
        <v>206.30000000000018</v>
      </c>
      <c r="T122" s="127">
        <f t="shared" si="3"/>
        <v>286.55200845665991</v>
      </c>
      <c r="U122" s="119"/>
      <c r="V122" s="122" t="s">
        <v>10</v>
      </c>
      <c r="W122" s="126">
        <f>IF('Tab3'!C22="",'Tab3'!C23,'Tab3'!C24)</f>
        <v>61217.965909090904</v>
      </c>
      <c r="X122" s="126">
        <f>IF('Tab3'!D22="",'Tab3'!D23,'Tab3'!D24)</f>
        <v>64072.416666666664</v>
      </c>
      <c r="Y122" s="126">
        <f>IF('Tab3'!E22="",'Tab3'!E23,'Tab3'!E24)</f>
        <v>65994.352272727265</v>
      </c>
      <c r="Z122" s="119"/>
      <c r="AA122" s="119"/>
      <c r="AB122" s="119"/>
      <c r="AC122" s="119"/>
      <c r="AD122" s="119"/>
      <c r="AE122" s="119"/>
      <c r="AF122" s="119"/>
      <c r="AG122" s="119"/>
    </row>
    <row r="123" spans="1:33">
      <c r="A123" s="122">
        <v>1</v>
      </c>
      <c r="B123" s="122">
        <v>1996</v>
      </c>
      <c r="C123" s="122">
        <v>143.9</v>
      </c>
      <c r="D123" s="122">
        <v>126.9</v>
      </c>
      <c r="E123" s="122"/>
      <c r="F123" s="122"/>
      <c r="G123" s="122"/>
      <c r="H123" s="119"/>
      <c r="I123" s="127">
        <v>94.2</v>
      </c>
      <c r="J123" s="119">
        <v>1</v>
      </c>
      <c r="K123" s="119">
        <v>1996</v>
      </c>
      <c r="L123" s="128">
        <v>29850</v>
      </c>
      <c r="M123" s="127">
        <v>375.59999999999997</v>
      </c>
      <c r="N123" s="127">
        <f t="shared" si="4"/>
        <v>523.92611464968149</v>
      </c>
      <c r="O123" s="128">
        <v>7239</v>
      </c>
      <c r="P123" s="127">
        <v>479.9</v>
      </c>
      <c r="Q123" s="127">
        <f t="shared" si="2"/>
        <v>669.41464968152866</v>
      </c>
      <c r="R123" s="128">
        <v>11785</v>
      </c>
      <c r="S123" s="127">
        <v>198.60000000000002</v>
      </c>
      <c r="T123" s="127">
        <f t="shared" si="3"/>
        <v>277.02802547770705</v>
      </c>
      <c r="U123" s="119"/>
      <c r="V123" s="119" t="s">
        <v>131</v>
      </c>
      <c r="W123" s="126">
        <f>IF('Tab9'!C8="",'Tab9'!C7,'Tab9'!C8)</f>
        <v>29339.685714285715</v>
      </c>
      <c r="X123" s="126">
        <f>IF('Tab9'!D8="",'Tab9'!D7,'Tab9'!D8)</f>
        <v>26771.16</v>
      </c>
      <c r="Y123" s="126">
        <f>IF('Tab9'!E8="",'Tab9'!E7,'Tab9'!E8)</f>
        <v>26063.868571428571</v>
      </c>
      <c r="Z123" s="119"/>
      <c r="AA123" s="119"/>
      <c r="AB123" s="119"/>
      <c r="AC123" s="119"/>
      <c r="AD123" s="119"/>
      <c r="AE123" s="119"/>
      <c r="AF123" s="119"/>
      <c r="AG123" s="119"/>
    </row>
    <row r="124" spans="1:33">
      <c r="A124" s="122">
        <v>2</v>
      </c>
      <c r="B124" s="122"/>
      <c r="C124" s="122">
        <f>275.5-C123</f>
        <v>131.6</v>
      </c>
      <c r="D124" s="122">
        <f>242.6-D123</f>
        <v>115.69999999999999</v>
      </c>
      <c r="E124" s="122"/>
      <c r="F124" s="122"/>
      <c r="G124" s="122"/>
      <c r="H124" s="119"/>
      <c r="I124" s="127">
        <v>95.1</v>
      </c>
      <c r="J124" s="119">
        <v>2</v>
      </c>
      <c r="K124" s="119"/>
      <c r="L124" s="128">
        <v>17799</v>
      </c>
      <c r="M124" s="127">
        <v>234.8</v>
      </c>
      <c r="N124" s="127">
        <f t="shared" si="4"/>
        <v>324.42397476340699</v>
      </c>
      <c r="O124" s="128">
        <v>6503</v>
      </c>
      <c r="P124" s="127">
        <v>585.30000000000007</v>
      </c>
      <c r="Q124" s="127">
        <f t="shared" si="2"/>
        <v>808.71104100946388</v>
      </c>
      <c r="R124" s="128">
        <v>14642</v>
      </c>
      <c r="S124" s="127">
        <v>220.09999999999997</v>
      </c>
      <c r="T124" s="127">
        <f t="shared" si="3"/>
        <v>304.1129337539432</v>
      </c>
      <c r="U124" s="119"/>
      <c r="V124" s="119" t="s">
        <v>130</v>
      </c>
      <c r="W124" s="126">
        <f>IF('Tab8'!C8="",'Tab8'!C7,'Tab8'!C8)</f>
        <v>19430.908571428572</v>
      </c>
      <c r="X124" s="126">
        <f>IF('Tab8'!D8="",'Tab8'!D7,'Tab8'!D8)</f>
        <v>24800.057142857142</v>
      </c>
      <c r="Y124" s="126">
        <f>IF('Tab8'!E8="",'Tab8'!E7,'Tab8'!E8)</f>
        <v>23110.982857142859</v>
      </c>
      <c r="Z124" s="119"/>
      <c r="AA124" s="119"/>
      <c r="AB124" s="119"/>
      <c r="AC124" s="119"/>
      <c r="AD124" s="119"/>
      <c r="AE124" s="119"/>
      <c r="AF124" s="119"/>
      <c r="AG124" s="119"/>
    </row>
    <row r="125" spans="1:33">
      <c r="A125" s="122">
        <v>3</v>
      </c>
      <c r="B125" s="122"/>
      <c r="C125" s="122">
        <f>387.5-C123-C124</f>
        <v>112</v>
      </c>
      <c r="D125" s="122">
        <f>339.3-D123-D124</f>
        <v>96.700000000000017</v>
      </c>
      <c r="E125" s="122"/>
      <c r="F125" s="122"/>
      <c r="G125" s="122"/>
      <c r="H125" s="119"/>
      <c r="I125" s="127">
        <v>95.5</v>
      </c>
      <c r="J125" s="119">
        <v>3</v>
      </c>
      <c r="K125" s="119"/>
      <c r="L125" s="128">
        <v>16263</v>
      </c>
      <c r="M125" s="127">
        <v>240.00000000000011</v>
      </c>
      <c r="N125" s="127">
        <f t="shared" si="4"/>
        <v>330.21989528795831</v>
      </c>
      <c r="O125" s="128">
        <v>8934</v>
      </c>
      <c r="P125" s="127">
        <v>581.89999999999986</v>
      </c>
      <c r="Q125" s="127">
        <f t="shared" si="2"/>
        <v>800.64565445026165</v>
      </c>
      <c r="R125" s="128">
        <v>17198</v>
      </c>
      <c r="S125" s="127">
        <v>233.2</v>
      </c>
      <c r="T125" s="127">
        <f t="shared" si="3"/>
        <v>320.86366492146595</v>
      </c>
      <c r="U125" s="119"/>
      <c r="V125" s="122" t="s">
        <v>197</v>
      </c>
      <c r="W125" s="126">
        <f>IF('Tab3'!C16="",'Tab3'!C15,'Tab3'!C16)</f>
        <v>12853.480372536946</v>
      </c>
      <c r="X125" s="126">
        <f>IF('Tab3'!D16="",'Tab3'!D15,'Tab3'!D16)</f>
        <v>11277.261560960591</v>
      </c>
      <c r="Y125" s="126">
        <f>IF('Tab3'!E16="",'Tab3'!E15,'Tab3'!E16)</f>
        <v>10340.010252463055</v>
      </c>
      <c r="Z125" s="119"/>
      <c r="AA125" s="119"/>
      <c r="AB125" s="119"/>
      <c r="AC125" s="119"/>
      <c r="AD125" s="119"/>
      <c r="AE125" s="119"/>
      <c r="AF125" s="119"/>
      <c r="AG125" s="119"/>
    </row>
    <row r="126" spans="1:33">
      <c r="A126" s="122">
        <v>4</v>
      </c>
      <c r="B126" s="122"/>
      <c r="C126" s="122">
        <f>520-C123-C124-C125</f>
        <v>132.50000000000003</v>
      </c>
      <c r="D126" s="122">
        <f>452.4-D123-D124-D125</f>
        <v>113.1</v>
      </c>
      <c r="E126" s="122"/>
      <c r="F126" s="122"/>
      <c r="G126" s="122"/>
      <c r="H126" s="119"/>
      <c r="I126" s="127">
        <v>96.3</v>
      </c>
      <c r="J126" s="119">
        <v>4</v>
      </c>
      <c r="K126" s="119"/>
      <c r="L126" s="128">
        <v>16638</v>
      </c>
      <c r="M126" s="127">
        <v>233.40000000000009</v>
      </c>
      <c r="N126" s="127">
        <f t="shared" si="4"/>
        <v>318.47102803738329</v>
      </c>
      <c r="O126" s="128">
        <v>7966</v>
      </c>
      <c r="P126" s="127">
        <v>665.80000000000018</v>
      </c>
      <c r="Q126" s="127">
        <f t="shared" si="2"/>
        <v>908.47476635514056</v>
      </c>
      <c r="R126" s="128">
        <v>13841</v>
      </c>
      <c r="S126" s="127">
        <v>188.00000000000011</v>
      </c>
      <c r="T126" s="127">
        <f t="shared" si="3"/>
        <v>256.52336448598146</v>
      </c>
      <c r="U126" s="119"/>
      <c r="V126" s="119"/>
      <c r="W126" s="119"/>
      <c r="X126" s="119"/>
      <c r="Y126" s="119"/>
      <c r="Z126" s="119"/>
      <c r="AA126" s="119"/>
      <c r="AB126" s="119"/>
      <c r="AC126" s="119"/>
      <c r="AD126" s="119"/>
      <c r="AE126" s="119"/>
      <c r="AF126" s="119"/>
      <c r="AG126" s="119"/>
    </row>
    <row r="127" spans="1:33">
      <c r="A127" s="122">
        <v>1</v>
      </c>
      <c r="B127" s="122">
        <v>1997</v>
      </c>
      <c r="C127" s="122">
        <v>142.6</v>
      </c>
      <c r="D127" s="122">
        <v>124.8</v>
      </c>
      <c r="E127" s="122"/>
      <c r="F127" s="122"/>
      <c r="G127" s="122"/>
      <c r="H127" s="119"/>
      <c r="I127" s="127">
        <v>97.3</v>
      </c>
      <c r="J127" s="119">
        <v>1</v>
      </c>
      <c r="K127" s="119">
        <v>1997</v>
      </c>
      <c r="L127" s="128">
        <v>17837</v>
      </c>
      <c r="M127" s="127">
        <v>255.29999999999998</v>
      </c>
      <c r="N127" s="127">
        <f t="shared" si="4"/>
        <v>344.7730729701953</v>
      </c>
      <c r="O127" s="128">
        <v>7574</v>
      </c>
      <c r="P127" s="127">
        <v>625.70000000000005</v>
      </c>
      <c r="Q127" s="127">
        <f t="shared" si="2"/>
        <v>844.98437821171638</v>
      </c>
      <c r="R127" s="128">
        <v>10571</v>
      </c>
      <c r="S127" s="127">
        <v>187.8</v>
      </c>
      <c r="T127" s="127">
        <f t="shared" si="3"/>
        <v>253.61685508735872</v>
      </c>
      <c r="U127" s="119"/>
      <c r="V127" s="121" t="s">
        <v>210</v>
      </c>
      <c r="W127" s="119"/>
      <c r="X127" s="119"/>
      <c r="Y127" s="119"/>
      <c r="Z127" s="119"/>
      <c r="AA127" s="119"/>
      <c r="AB127" s="119"/>
      <c r="AC127" s="119"/>
      <c r="AD127" s="119"/>
      <c r="AE127" s="119"/>
      <c r="AF127" s="119"/>
      <c r="AG127" s="119"/>
    </row>
    <row r="128" spans="1:33">
      <c r="A128" s="122">
        <v>2</v>
      </c>
      <c r="B128" s="122"/>
      <c r="C128" s="122">
        <f>284.4-C127</f>
        <v>141.79999999999998</v>
      </c>
      <c r="D128" s="122">
        <f>247.3-D127</f>
        <v>122.50000000000001</v>
      </c>
      <c r="E128" s="122"/>
      <c r="F128" s="122"/>
      <c r="G128" s="122"/>
      <c r="H128" s="119"/>
      <c r="I128" s="127">
        <v>97.7</v>
      </c>
      <c r="J128" s="119">
        <v>2</v>
      </c>
      <c r="K128" s="119"/>
      <c r="L128" s="128">
        <v>16872</v>
      </c>
      <c r="M128" s="127">
        <v>281.30000000000007</v>
      </c>
      <c r="N128" s="127">
        <f t="shared" si="4"/>
        <v>378.3297850562949</v>
      </c>
      <c r="O128" s="128">
        <v>7284</v>
      </c>
      <c r="P128" s="127">
        <v>664.39999999999986</v>
      </c>
      <c r="Q128" s="127">
        <f t="shared" si="2"/>
        <v>893.57379733879202</v>
      </c>
      <c r="R128" s="128">
        <v>14837</v>
      </c>
      <c r="S128" s="127">
        <v>224.59999999999997</v>
      </c>
      <c r="T128" s="127">
        <f t="shared" si="3"/>
        <v>302.07205731832136</v>
      </c>
      <c r="U128" s="119"/>
      <c r="V128" s="119"/>
      <c r="W128" s="126">
        <f>+'Tab3'!C6</f>
        <v>2011</v>
      </c>
      <c r="X128" s="126">
        <f>+'Tab3'!D6</f>
        <v>2012</v>
      </c>
      <c r="Y128" s="126">
        <f>+'Tab3'!E6</f>
        <v>2013</v>
      </c>
      <c r="Z128" s="119"/>
      <c r="AA128" s="119"/>
      <c r="AB128" s="119"/>
      <c r="AC128" s="119"/>
      <c r="AD128" s="119"/>
      <c r="AE128" s="119"/>
      <c r="AF128" s="119"/>
      <c r="AG128" s="119"/>
    </row>
    <row r="129" spans="1:33">
      <c r="A129" s="122">
        <v>3</v>
      </c>
      <c r="B129" s="122"/>
      <c r="C129" s="122">
        <f>419.8-C127-C128</f>
        <v>135.40000000000006</v>
      </c>
      <c r="D129" s="122">
        <f>364.6-D127-D128</f>
        <v>117.3</v>
      </c>
      <c r="E129" s="122"/>
      <c r="F129" s="122" t="s">
        <v>90</v>
      </c>
      <c r="G129" s="122"/>
      <c r="H129" s="119"/>
      <c r="I129" s="127">
        <v>97.7</v>
      </c>
      <c r="J129" s="119">
        <v>3</v>
      </c>
      <c r="K129" s="119"/>
      <c r="L129" s="128">
        <v>17873</v>
      </c>
      <c r="M129" s="127">
        <v>297.89999999999998</v>
      </c>
      <c r="N129" s="127">
        <f t="shared" si="4"/>
        <v>400.65568065506653</v>
      </c>
      <c r="O129" s="128">
        <v>14581</v>
      </c>
      <c r="P129" s="127">
        <v>720.30000000000018</v>
      </c>
      <c r="Q129" s="127">
        <f t="shared" si="2"/>
        <v>968.75557830092146</v>
      </c>
      <c r="R129" s="128">
        <v>15670</v>
      </c>
      <c r="S129" s="127">
        <v>198.80000000000007</v>
      </c>
      <c r="T129" s="127">
        <f t="shared" si="3"/>
        <v>267.37277379733888</v>
      </c>
      <c r="U129" s="119"/>
      <c r="V129" s="122" t="s">
        <v>11</v>
      </c>
      <c r="W129" s="126">
        <f>IF('Tab3'!C24="",'Tab3'!C25,'Tab3'!C26)</f>
        <v>1005.8554778554778</v>
      </c>
      <c r="X129" s="126">
        <f>IF('Tab3'!D24="",'Tab3'!D25,'Tab3'!D26)</f>
        <v>1395.4976689976691</v>
      </c>
      <c r="Y129" s="126">
        <f>IF('Tab3'!E24="",'Tab3'!E25,'Tab3'!E26)</f>
        <v>760.32167832167829</v>
      </c>
      <c r="Z129" s="119"/>
      <c r="AA129" s="119"/>
      <c r="AB129" s="119"/>
      <c r="AC129" s="119"/>
      <c r="AD129" s="119"/>
      <c r="AE129" s="119"/>
      <c r="AF129" s="119"/>
      <c r="AG129" s="119"/>
    </row>
    <row r="130" spans="1:33">
      <c r="A130" s="122">
        <v>4</v>
      </c>
      <c r="B130" s="122"/>
      <c r="C130" s="122">
        <f>550.4-C127-C128-C129</f>
        <v>130.59999999999994</v>
      </c>
      <c r="D130" s="122">
        <f>478.3-D127-D128-D129</f>
        <v>113.7</v>
      </c>
      <c r="E130" s="122"/>
      <c r="F130" s="122"/>
      <c r="G130" s="122"/>
      <c r="H130" s="119"/>
      <c r="I130" s="127">
        <v>98.4</v>
      </c>
      <c r="J130" s="119">
        <v>4</v>
      </c>
      <c r="K130" s="119"/>
      <c r="L130" s="128">
        <v>15493</v>
      </c>
      <c r="M130" s="127">
        <v>267.70000000000005</v>
      </c>
      <c r="N130" s="127">
        <f t="shared" si="4"/>
        <v>357.47743902439026</v>
      </c>
      <c r="O130" s="128">
        <v>9445</v>
      </c>
      <c r="P130" s="127">
        <v>564</v>
      </c>
      <c r="Q130" s="127">
        <f t="shared" si="2"/>
        <v>753.14634146341461</v>
      </c>
      <c r="R130" s="128">
        <v>13087</v>
      </c>
      <c r="S130" s="127">
        <v>185.09999999999991</v>
      </c>
      <c r="T130" s="127">
        <f t="shared" si="3"/>
        <v>247.17621951219499</v>
      </c>
      <c r="U130" s="119"/>
      <c r="V130" s="122" t="s">
        <v>12</v>
      </c>
      <c r="W130" s="126">
        <f>IF('Tab3'!C26="",'Tab3'!C27,'Tab3'!C28)</f>
        <v>1857.0920879120879</v>
      </c>
      <c r="X130" s="126">
        <f>IF('Tab3'!D26="",'Tab3'!D27,'Tab3'!D28)</f>
        <v>1751.780879120879</v>
      </c>
      <c r="Y130" s="126">
        <f>IF('Tab3'!E26="",'Tab3'!E27,'Tab3'!E28)</f>
        <v>1440.3474725274725</v>
      </c>
      <c r="Z130" s="119"/>
      <c r="AA130" s="119"/>
      <c r="AB130" s="119"/>
      <c r="AC130" s="119"/>
      <c r="AD130" s="119"/>
      <c r="AE130" s="119"/>
      <c r="AF130" s="119"/>
      <c r="AG130" s="119"/>
    </row>
    <row r="131" spans="1:33">
      <c r="A131" s="122">
        <v>1</v>
      </c>
      <c r="B131" s="122">
        <v>1998</v>
      </c>
      <c r="C131" s="122">
        <v>150</v>
      </c>
      <c r="D131" s="122">
        <v>131.9</v>
      </c>
      <c r="E131" s="122"/>
      <c r="F131" s="122" t="s">
        <v>94</v>
      </c>
      <c r="G131" s="122"/>
      <c r="H131" s="119"/>
      <c r="I131" s="127">
        <v>99.3</v>
      </c>
      <c r="J131" s="119">
        <v>1</v>
      </c>
      <c r="K131" s="119">
        <v>1998</v>
      </c>
      <c r="L131" s="128">
        <v>17629</v>
      </c>
      <c r="M131" s="127">
        <v>285</v>
      </c>
      <c r="N131" s="127">
        <f t="shared" si="4"/>
        <v>377.12990936555889</v>
      </c>
      <c r="O131" s="128">
        <v>7614</v>
      </c>
      <c r="P131" s="127">
        <v>599.6</v>
      </c>
      <c r="Q131" s="127">
        <f t="shared" si="2"/>
        <v>793.42839879154087</v>
      </c>
      <c r="R131" s="128">
        <v>11958</v>
      </c>
      <c r="S131" s="127">
        <v>185.4</v>
      </c>
      <c r="T131" s="127">
        <f t="shared" si="3"/>
        <v>245.33293051359522</v>
      </c>
      <c r="U131" s="119"/>
      <c r="V131" s="122" t="s">
        <v>7</v>
      </c>
      <c r="W131" s="126">
        <f>IF('Tab3'!C18="",'Tab3'!C17,'Tab3'!C18)</f>
        <v>2942.4667950892858</v>
      </c>
      <c r="X131" s="126">
        <f>IF('Tab3'!D18="",'Tab3'!D17,'Tab3'!D18)</f>
        <v>2584.1868574776786</v>
      </c>
      <c r="Y131" s="126">
        <f>IF('Tab3'!E18="",'Tab3'!E17,'Tab3'!E18)</f>
        <v>2444.9848950892856</v>
      </c>
      <c r="Z131" s="119"/>
      <c r="AA131" s="119"/>
      <c r="AB131" s="119"/>
      <c r="AC131" s="119"/>
      <c r="AD131" s="119"/>
      <c r="AE131" s="119"/>
      <c r="AF131" s="119"/>
      <c r="AG131" s="119"/>
    </row>
    <row r="132" spans="1:33">
      <c r="A132" s="122">
        <v>2</v>
      </c>
      <c r="B132" s="122"/>
      <c r="C132" s="122">
        <f>289.8-C131</f>
        <v>139.80000000000001</v>
      </c>
      <c r="D132" s="122">
        <f>253.9-D131</f>
        <v>122</v>
      </c>
      <c r="E132" s="122"/>
      <c r="F132" s="122" t="s">
        <v>95</v>
      </c>
      <c r="G132" s="122" t="s">
        <v>96</v>
      </c>
      <c r="H132" s="119"/>
      <c r="I132" s="127">
        <v>99.7</v>
      </c>
      <c r="J132" s="119">
        <v>2</v>
      </c>
      <c r="K132" s="119"/>
      <c r="L132" s="128">
        <v>14484</v>
      </c>
      <c r="M132" s="127">
        <v>253.5</v>
      </c>
      <c r="N132" s="127">
        <f t="shared" si="4"/>
        <v>334.10130391173522</v>
      </c>
      <c r="O132" s="128">
        <v>6009</v>
      </c>
      <c r="P132" s="127">
        <v>576.9</v>
      </c>
      <c r="Q132" s="127">
        <f t="shared" si="2"/>
        <v>760.32758274824471</v>
      </c>
      <c r="R132" s="128">
        <v>15060</v>
      </c>
      <c r="S132" s="127">
        <v>204.20000000000002</v>
      </c>
      <c r="T132" s="127">
        <f t="shared" si="3"/>
        <v>269.12617853560681</v>
      </c>
      <c r="U132" s="119"/>
      <c r="V132" s="119" t="s">
        <v>132</v>
      </c>
      <c r="W132" s="126">
        <f>IF('Tab10'!C8="",'Tab10'!C7,'Tab10'!C8)</f>
        <v>3363.6685714285713</v>
      </c>
      <c r="X132" s="126">
        <f>IF('Tab10'!D8="",'Tab10'!D7,'Tab10'!D8)</f>
        <v>3681.2742857142857</v>
      </c>
      <c r="Y132" s="126">
        <f>IF('Tab10'!E8="",'Tab10'!E7,'Tab10'!E8)</f>
        <v>3055.9542857142856</v>
      </c>
      <c r="Z132" s="119"/>
      <c r="AA132" s="119"/>
      <c r="AB132" s="119"/>
      <c r="AC132" s="119"/>
      <c r="AD132" s="119"/>
      <c r="AE132" s="119"/>
      <c r="AF132" s="119"/>
      <c r="AG132" s="119"/>
    </row>
    <row r="133" spans="1:33">
      <c r="A133" s="122">
        <v>3</v>
      </c>
      <c r="B133" s="122"/>
      <c r="C133" s="122">
        <f>+E133-C131-C132</f>
        <v>128.09999999999997</v>
      </c>
      <c r="D133" s="122">
        <f>+G133-D131-D132</f>
        <v>112.1</v>
      </c>
      <c r="E133" s="122">
        <v>417.9</v>
      </c>
      <c r="F133" s="119"/>
      <c r="G133" s="122">
        <v>366</v>
      </c>
      <c r="H133" s="119"/>
      <c r="I133" s="131">
        <v>99.8</v>
      </c>
      <c r="J133" s="119">
        <v>3</v>
      </c>
      <c r="K133" s="119"/>
      <c r="L133" s="128">
        <v>15693</v>
      </c>
      <c r="M133" s="127">
        <v>257.89999999999998</v>
      </c>
      <c r="N133" s="127">
        <f t="shared" si="4"/>
        <v>339.55971943887778</v>
      </c>
      <c r="O133" s="128">
        <v>8328</v>
      </c>
      <c r="P133" s="127">
        <v>432.80000000000018</v>
      </c>
      <c r="Q133" s="127">
        <f t="shared" si="2"/>
        <v>569.83887775551136</v>
      </c>
      <c r="R133" s="128">
        <v>17098</v>
      </c>
      <c r="S133" s="127">
        <v>209.60000000000002</v>
      </c>
      <c r="T133" s="127">
        <f t="shared" si="3"/>
        <v>275.9663326653307</v>
      </c>
      <c r="U133" s="119"/>
      <c r="V133" s="122" t="s">
        <v>9</v>
      </c>
      <c r="W133" s="126">
        <f>IF('Tab3'!C22="",'Tab3'!C21,'Tab3'!C22)</f>
        <v>4588.0201801029161</v>
      </c>
      <c r="X133" s="126">
        <f>IF('Tab3'!D22="",'Tab3'!D21,'Tab3'!D22)</f>
        <v>4489.7456646655228</v>
      </c>
      <c r="Y133" s="126">
        <f>IF('Tab3'!E22="",'Tab3'!E21,'Tab3'!E22)</f>
        <v>4526.8953644939966</v>
      </c>
      <c r="Z133" s="119"/>
      <c r="AA133" s="119"/>
      <c r="AB133" s="119"/>
      <c r="AC133" s="119"/>
      <c r="AD133" s="119"/>
      <c r="AE133" s="119"/>
      <c r="AF133" s="119"/>
      <c r="AG133" s="119"/>
    </row>
    <row r="134" spans="1:33">
      <c r="A134" s="122">
        <v>4</v>
      </c>
      <c r="B134" s="122"/>
      <c r="C134" s="122">
        <f>+E134-E133</f>
        <v>141.80000000000007</v>
      </c>
      <c r="D134" s="122">
        <f>+G134-G133</f>
        <v>125.60000000000002</v>
      </c>
      <c r="E134" s="122">
        <v>559.70000000000005</v>
      </c>
      <c r="F134" s="119"/>
      <c r="G134" s="122">
        <v>491.6</v>
      </c>
      <c r="H134" s="119"/>
      <c r="I134" s="131">
        <v>100.7</v>
      </c>
      <c r="J134" s="119">
        <v>4</v>
      </c>
      <c r="K134" s="119"/>
      <c r="L134" s="128">
        <v>16502</v>
      </c>
      <c r="M134" s="127">
        <v>299.10000000000002</v>
      </c>
      <c r="N134" s="127">
        <f t="shared" si="4"/>
        <v>390.2854021847071</v>
      </c>
      <c r="O134" s="128">
        <v>7526</v>
      </c>
      <c r="P134" s="127">
        <v>738.59999999999945</v>
      </c>
      <c r="Q134" s="127">
        <f t="shared" si="2"/>
        <v>963.77398212512344</v>
      </c>
      <c r="R134" s="128">
        <v>14647</v>
      </c>
      <c r="S134" s="127">
        <v>205.79999999999995</v>
      </c>
      <c r="T134" s="127">
        <f t="shared" si="3"/>
        <v>268.54141012909628</v>
      </c>
      <c r="U134" s="119"/>
      <c r="V134" s="119"/>
      <c r="W134" s="119"/>
      <c r="X134" s="119"/>
      <c r="Y134" s="119"/>
      <c r="Z134" s="119"/>
      <c r="AA134" s="119"/>
      <c r="AB134" s="119"/>
      <c r="AC134" s="119"/>
      <c r="AD134" s="119"/>
      <c r="AE134" s="119"/>
      <c r="AF134" s="119"/>
      <c r="AG134" s="119"/>
    </row>
    <row r="135" spans="1:33">
      <c r="A135" s="122">
        <v>1</v>
      </c>
      <c r="B135" s="122">
        <v>1999</v>
      </c>
      <c r="C135" s="122">
        <f>+E135</f>
        <v>154.19999999999999</v>
      </c>
      <c r="D135" s="122">
        <f>+G135</f>
        <v>137.1</v>
      </c>
      <c r="E135" s="122">
        <v>154.19999999999999</v>
      </c>
      <c r="F135" s="119"/>
      <c r="G135" s="122">
        <v>137.1</v>
      </c>
      <c r="H135" s="119"/>
      <c r="I135" s="131">
        <v>101.4</v>
      </c>
      <c r="J135" s="119">
        <v>1</v>
      </c>
      <c r="K135" s="119">
        <v>1999</v>
      </c>
      <c r="L135" s="128">
        <v>18095</v>
      </c>
      <c r="M135" s="127">
        <v>328.50000000000006</v>
      </c>
      <c r="N135" s="127">
        <f t="shared" si="4"/>
        <v>425.6893491124261</v>
      </c>
      <c r="O135" s="128">
        <v>8863</v>
      </c>
      <c r="P135" s="127">
        <v>689.1</v>
      </c>
      <c r="Q135" s="127">
        <f t="shared" si="2"/>
        <v>892.97573964497053</v>
      </c>
      <c r="R135" s="128">
        <v>11175</v>
      </c>
      <c r="S135" s="127">
        <v>162.80000000000001</v>
      </c>
      <c r="T135" s="127">
        <f t="shared" si="3"/>
        <v>210.9656804733728</v>
      </c>
      <c r="U135" s="119"/>
      <c r="V135" s="119"/>
      <c r="W135" s="119"/>
      <c r="X135" s="119"/>
      <c r="Y135" s="119"/>
      <c r="Z135" s="119"/>
      <c r="AA135" s="119"/>
      <c r="AB135" s="119"/>
      <c r="AC135" s="119"/>
      <c r="AD135" s="119"/>
      <c r="AE135" s="119"/>
      <c r="AF135" s="119"/>
      <c r="AG135" s="119"/>
    </row>
    <row r="136" spans="1:33">
      <c r="A136" s="122">
        <v>2</v>
      </c>
      <c r="B136" s="122"/>
      <c r="C136" s="122">
        <f>+E136-E135</f>
        <v>159.30000000000001</v>
      </c>
      <c r="D136" s="122">
        <f>+G136-G135</f>
        <v>140.70000000000002</v>
      </c>
      <c r="E136" s="122">
        <v>313.5</v>
      </c>
      <c r="F136" s="119"/>
      <c r="G136" s="122">
        <v>277.8</v>
      </c>
      <c r="H136" s="119"/>
      <c r="I136" s="131">
        <v>102.2</v>
      </c>
      <c r="J136" s="119">
        <v>2</v>
      </c>
      <c r="K136" s="119"/>
      <c r="L136" s="128">
        <v>12899</v>
      </c>
      <c r="M136" s="127">
        <v>332.7</v>
      </c>
      <c r="N136" s="127">
        <f t="shared" si="4"/>
        <v>427.75714285714287</v>
      </c>
      <c r="O136" s="128">
        <v>5920</v>
      </c>
      <c r="P136" s="127">
        <v>874.6</v>
      </c>
      <c r="Q136" s="127">
        <f t="shared" si="2"/>
        <v>1124.4857142857143</v>
      </c>
      <c r="R136" s="128">
        <v>12451</v>
      </c>
      <c r="S136" s="127">
        <v>199.09999999999997</v>
      </c>
      <c r="T136" s="127">
        <f t="shared" si="3"/>
        <v>255.98571428571427</v>
      </c>
      <c r="U136" s="119"/>
      <c r="V136" s="119"/>
      <c r="W136" s="119"/>
      <c r="X136" s="119"/>
      <c r="Y136" s="119"/>
      <c r="Z136" s="119"/>
      <c r="AA136" s="119"/>
      <c r="AB136" s="119"/>
      <c r="AC136" s="119"/>
      <c r="AD136" s="119"/>
      <c r="AE136" s="119"/>
      <c r="AF136" s="119"/>
      <c r="AG136" s="119"/>
    </row>
    <row r="137" spans="1:33">
      <c r="A137" s="122">
        <v>3</v>
      </c>
      <c r="B137" s="122"/>
      <c r="C137" s="122">
        <f>+E137-E136</f>
        <v>146.30000000000001</v>
      </c>
      <c r="D137" s="122">
        <f>+G137-G136</f>
        <v>128.69999999999999</v>
      </c>
      <c r="E137" s="122">
        <v>459.8</v>
      </c>
      <c r="F137" s="119"/>
      <c r="G137" s="122">
        <v>406.5</v>
      </c>
      <c r="H137" s="119"/>
      <c r="I137" s="131">
        <v>101.7</v>
      </c>
      <c r="J137" s="119">
        <v>3</v>
      </c>
      <c r="K137" s="119"/>
      <c r="L137" s="128">
        <v>23305</v>
      </c>
      <c r="M137" s="127">
        <v>445.5</v>
      </c>
      <c r="N137" s="127">
        <f t="shared" si="4"/>
        <v>575.60176991150433</v>
      </c>
      <c r="O137" s="128">
        <v>11181</v>
      </c>
      <c r="P137" s="127">
        <v>566.99999999999977</v>
      </c>
      <c r="Q137" s="127">
        <f t="shared" si="2"/>
        <v>732.58407079645986</v>
      </c>
      <c r="R137" s="128">
        <v>18817</v>
      </c>
      <c r="S137" s="127">
        <v>227.70000000000005</v>
      </c>
      <c r="T137" s="127">
        <f t="shared" si="3"/>
        <v>294.19646017699125</v>
      </c>
      <c r="U137" s="119"/>
      <c r="V137" s="119"/>
      <c r="W137" s="119"/>
      <c r="X137" s="119"/>
      <c r="Y137" s="119"/>
      <c r="Z137" s="119"/>
      <c r="AA137" s="119"/>
      <c r="AB137" s="119"/>
      <c r="AC137" s="119"/>
      <c r="AD137" s="119"/>
      <c r="AE137" s="119"/>
      <c r="AF137" s="119"/>
      <c r="AG137" s="119"/>
    </row>
    <row r="138" spans="1:33">
      <c r="A138" s="122">
        <v>4</v>
      </c>
      <c r="B138" s="122"/>
      <c r="C138" s="122">
        <f>+E138-E137</f>
        <v>141.90000000000003</v>
      </c>
      <c r="D138" s="122">
        <f>+G138-G137</f>
        <v>126.39999999999998</v>
      </c>
      <c r="E138" s="122">
        <v>601.70000000000005</v>
      </c>
      <c r="F138" s="119"/>
      <c r="G138" s="122">
        <v>532.9</v>
      </c>
      <c r="H138" s="119"/>
      <c r="I138" s="127">
        <v>103.5</v>
      </c>
      <c r="J138" s="119">
        <v>4</v>
      </c>
      <c r="K138" s="119"/>
      <c r="L138" s="128">
        <v>18359</v>
      </c>
      <c r="M138" s="127">
        <v>410.59999999999968</v>
      </c>
      <c r="N138" s="127">
        <f t="shared" si="4"/>
        <v>521.28347826086917</v>
      </c>
      <c r="O138" s="128">
        <v>9544</v>
      </c>
      <c r="P138" s="127">
        <v>935.5</v>
      </c>
      <c r="Q138" s="127">
        <f t="shared" si="2"/>
        <v>1187.6782608695653</v>
      </c>
      <c r="R138" s="128">
        <v>13692</v>
      </c>
      <c r="S138" s="127">
        <v>192.19999999999993</v>
      </c>
      <c r="T138" s="127">
        <f t="shared" si="3"/>
        <v>244.01043478260863</v>
      </c>
      <c r="U138" s="119"/>
      <c r="V138" s="119"/>
      <c r="W138" s="119"/>
      <c r="X138" s="119"/>
      <c r="Y138" s="119"/>
      <c r="Z138" s="119"/>
      <c r="AA138" s="119"/>
      <c r="AB138" s="119"/>
      <c r="AC138" s="119"/>
      <c r="AD138" s="119"/>
      <c r="AE138" s="119"/>
      <c r="AF138" s="119"/>
      <c r="AG138" s="119"/>
    </row>
    <row r="139" spans="1:33">
      <c r="A139" s="122">
        <v>1</v>
      </c>
      <c r="B139" s="122">
        <v>2000</v>
      </c>
      <c r="C139" s="122">
        <f>+E139</f>
        <v>169.1</v>
      </c>
      <c r="D139" s="122">
        <f>+G139</f>
        <v>150.9</v>
      </c>
      <c r="E139" s="122">
        <v>169.1</v>
      </c>
      <c r="F139" s="119"/>
      <c r="G139" s="122">
        <v>150.9</v>
      </c>
      <c r="H139" s="119"/>
      <c r="I139" s="127">
        <v>104.6</v>
      </c>
      <c r="J139" s="119">
        <v>1</v>
      </c>
      <c r="K139" s="119">
        <v>2000</v>
      </c>
      <c r="L139" s="128">
        <v>17570</v>
      </c>
      <c r="M139" s="127">
        <v>345.9</v>
      </c>
      <c r="N139" s="127">
        <f t="shared" si="4"/>
        <v>434.52447418738052</v>
      </c>
      <c r="O139" s="128">
        <v>9154</v>
      </c>
      <c r="P139" s="127">
        <v>819.9</v>
      </c>
      <c r="Q139" s="127">
        <f t="shared" si="2"/>
        <v>1029.9699808795413</v>
      </c>
      <c r="R139" s="128">
        <v>12421</v>
      </c>
      <c r="S139" s="127">
        <v>198</v>
      </c>
      <c r="T139" s="127">
        <f t="shared" si="3"/>
        <v>248.73040152963674</v>
      </c>
      <c r="U139" s="119"/>
      <c r="V139" s="119"/>
      <c r="W139" s="119"/>
      <c r="X139" s="119"/>
      <c r="Y139" s="119"/>
      <c r="Z139" s="119"/>
      <c r="AA139" s="119"/>
      <c r="AB139" s="119"/>
      <c r="AC139" s="119"/>
      <c r="AD139" s="119"/>
      <c r="AE139" s="119"/>
      <c r="AF139" s="119"/>
      <c r="AG139" s="119"/>
    </row>
    <row r="140" spans="1:33">
      <c r="A140" s="122">
        <v>2</v>
      </c>
      <c r="B140" s="122"/>
      <c r="C140" s="122">
        <f>+E140-E139</f>
        <v>151.50000000000003</v>
      </c>
      <c r="D140" s="122">
        <f>+G140-G139</f>
        <v>133.4</v>
      </c>
      <c r="E140" s="122">
        <v>320.60000000000002</v>
      </c>
      <c r="F140" s="119"/>
      <c r="G140" s="122">
        <v>284.3</v>
      </c>
      <c r="H140" s="119"/>
      <c r="I140" s="127">
        <v>105.1</v>
      </c>
      <c r="J140" s="119">
        <v>2</v>
      </c>
      <c r="K140" s="119"/>
      <c r="L140" s="128">
        <v>14069</v>
      </c>
      <c r="M140" s="127">
        <v>252.39999999999998</v>
      </c>
      <c r="N140" s="127">
        <f t="shared" si="4"/>
        <v>315.56003805899144</v>
      </c>
      <c r="O140" s="128">
        <v>10238</v>
      </c>
      <c r="P140" s="127">
        <v>674.19999999999993</v>
      </c>
      <c r="Q140" s="127">
        <f t="shared" si="2"/>
        <v>842.91037107516649</v>
      </c>
      <c r="R140" s="128">
        <v>13950</v>
      </c>
      <c r="S140" s="127">
        <v>184.5</v>
      </c>
      <c r="T140" s="127">
        <f t="shared" si="3"/>
        <v>230.66888677450049</v>
      </c>
      <c r="U140" s="119"/>
      <c r="V140" s="119"/>
      <c r="W140" s="119"/>
      <c r="X140" s="119"/>
      <c r="Y140" s="119"/>
      <c r="Z140" s="119"/>
      <c r="AA140" s="119"/>
      <c r="AB140" s="119"/>
      <c r="AC140" s="119"/>
      <c r="AD140" s="119"/>
      <c r="AE140" s="119"/>
      <c r="AF140" s="119"/>
      <c r="AG140" s="119"/>
    </row>
    <row r="141" spans="1:33">
      <c r="A141" s="122">
        <v>3</v>
      </c>
      <c r="B141" s="122"/>
      <c r="C141" s="122">
        <f>+E141-E140</f>
        <v>139</v>
      </c>
      <c r="D141" s="122">
        <f>+G141-G140</f>
        <v>123.5</v>
      </c>
      <c r="E141" s="122">
        <v>459.6</v>
      </c>
      <c r="F141" s="119"/>
      <c r="G141" s="122">
        <v>407.8</v>
      </c>
      <c r="H141" s="119"/>
      <c r="I141" s="127">
        <v>105.3</v>
      </c>
      <c r="J141" s="119">
        <v>3</v>
      </c>
      <c r="K141" s="119"/>
      <c r="L141" s="128">
        <v>16329</v>
      </c>
      <c r="M141" s="127">
        <v>313.5</v>
      </c>
      <c r="N141" s="127">
        <f t="shared" si="4"/>
        <v>391.20512820512823</v>
      </c>
      <c r="O141" s="128">
        <v>13877</v>
      </c>
      <c r="P141" s="127">
        <v>706.20000000000027</v>
      </c>
      <c r="Q141" s="127">
        <f t="shared" si="2"/>
        <v>881.241025641026</v>
      </c>
      <c r="R141" s="128">
        <v>14850</v>
      </c>
      <c r="S141" s="127">
        <v>193.89999999999998</v>
      </c>
      <c r="T141" s="127">
        <f t="shared" si="3"/>
        <v>241.96068376068374</v>
      </c>
      <c r="U141" s="119"/>
      <c r="V141" s="119"/>
      <c r="W141" s="119"/>
      <c r="X141" s="119"/>
      <c r="Y141" s="119"/>
      <c r="Z141" s="119"/>
      <c r="AA141" s="119"/>
      <c r="AB141" s="119"/>
      <c r="AC141" s="119"/>
      <c r="AD141" s="119"/>
      <c r="AE141" s="119"/>
      <c r="AF141" s="119"/>
      <c r="AG141" s="119"/>
    </row>
    <row r="142" spans="1:33">
      <c r="A142" s="122">
        <v>4</v>
      </c>
      <c r="B142" s="122"/>
      <c r="C142" s="122">
        <f>+E142-E141</f>
        <v>135.10000000000002</v>
      </c>
      <c r="D142" s="122">
        <f>+G142-G141</f>
        <v>121.40000000000003</v>
      </c>
      <c r="E142" s="122">
        <v>594.70000000000005</v>
      </c>
      <c r="F142" s="119"/>
      <c r="G142" s="122">
        <v>529.20000000000005</v>
      </c>
      <c r="H142" s="119"/>
      <c r="I142" s="127">
        <v>106.8</v>
      </c>
      <c r="J142" s="119">
        <v>4</v>
      </c>
      <c r="K142" s="119"/>
      <c r="L142" s="128">
        <v>21735</v>
      </c>
      <c r="M142" s="127">
        <v>484.79999999999995</v>
      </c>
      <c r="N142" s="127">
        <f t="shared" si="4"/>
        <v>596.46741573033705</v>
      </c>
      <c r="O142" s="128">
        <v>9978</v>
      </c>
      <c r="P142" s="127">
        <v>739.19999999999982</v>
      </c>
      <c r="Q142" s="127">
        <f t="shared" si="2"/>
        <v>909.46516853932565</v>
      </c>
      <c r="R142" s="128">
        <v>13212</v>
      </c>
      <c r="S142" s="127">
        <v>215</v>
      </c>
      <c r="T142" s="127">
        <f t="shared" si="3"/>
        <v>264.52247191011242</v>
      </c>
      <c r="U142" s="119"/>
      <c r="V142" s="119"/>
      <c r="W142" s="119"/>
      <c r="X142" s="119"/>
      <c r="Y142" s="119"/>
      <c r="Z142" s="119"/>
      <c r="AA142" s="119"/>
      <c r="AB142" s="119"/>
      <c r="AC142" s="119"/>
      <c r="AD142" s="119"/>
      <c r="AE142" s="119"/>
      <c r="AF142" s="119"/>
      <c r="AG142" s="119"/>
    </row>
    <row r="143" spans="1:33">
      <c r="A143" s="122">
        <v>1</v>
      </c>
      <c r="B143" s="122">
        <v>2001</v>
      </c>
      <c r="C143" s="122">
        <f>+E143</f>
        <v>158.5</v>
      </c>
      <c r="D143" s="122">
        <f>+G143</f>
        <v>143.1</v>
      </c>
      <c r="E143" s="122">
        <v>158.5</v>
      </c>
      <c r="F143" s="119"/>
      <c r="G143" s="122">
        <v>143.1</v>
      </c>
      <c r="H143" s="119"/>
      <c r="I143" s="127">
        <v>108.4</v>
      </c>
      <c r="J143" s="119">
        <v>1</v>
      </c>
      <c r="K143" s="119">
        <v>2001</v>
      </c>
      <c r="L143" s="128">
        <v>27280</v>
      </c>
      <c r="M143" s="127">
        <v>675.3</v>
      </c>
      <c r="N143" s="127">
        <f t="shared" si="4"/>
        <v>818.58321033210325</v>
      </c>
      <c r="O143" s="128">
        <v>7776</v>
      </c>
      <c r="P143" s="127">
        <v>877</v>
      </c>
      <c r="Q143" s="127">
        <f t="shared" si="2"/>
        <v>1063.0793357933578</v>
      </c>
      <c r="R143" s="128">
        <v>10538</v>
      </c>
      <c r="S143" s="127">
        <v>164.1</v>
      </c>
      <c r="T143" s="127">
        <f t="shared" si="3"/>
        <v>198.91826568265682</v>
      </c>
      <c r="U143" s="119"/>
      <c r="V143" s="119"/>
      <c r="W143" s="119"/>
      <c r="X143" s="119"/>
      <c r="Y143" s="119"/>
      <c r="Z143" s="119"/>
      <c r="AA143" s="119"/>
      <c r="AB143" s="119"/>
      <c r="AC143" s="119"/>
      <c r="AD143" s="119"/>
      <c r="AE143" s="119"/>
      <c r="AF143" s="119"/>
      <c r="AG143" s="119"/>
    </row>
    <row r="144" spans="1:33">
      <c r="A144" s="122">
        <v>2</v>
      </c>
      <c r="B144" s="122"/>
      <c r="C144" s="122">
        <f>+E144-E143</f>
        <v>140.45999999999998</v>
      </c>
      <c r="D144" s="122">
        <f>+G144-G143</f>
        <v>125.70000000000002</v>
      </c>
      <c r="E144" s="122">
        <v>298.95999999999998</v>
      </c>
      <c r="F144" s="119"/>
      <c r="G144" s="122">
        <v>268.8</v>
      </c>
      <c r="H144" s="119"/>
      <c r="I144" s="127">
        <v>109.6</v>
      </c>
      <c r="J144" s="119">
        <v>2</v>
      </c>
      <c r="K144" s="119"/>
      <c r="L144" s="128">
        <v>17111</v>
      </c>
      <c r="M144" s="127">
        <v>452</v>
      </c>
      <c r="N144" s="127">
        <f t="shared" si="4"/>
        <v>541.90510948905114</v>
      </c>
      <c r="O144" s="128">
        <v>5711</v>
      </c>
      <c r="P144" s="127">
        <v>923</v>
      </c>
      <c r="Q144" s="127">
        <f t="shared" si="2"/>
        <v>1106.5894160583941</v>
      </c>
      <c r="R144" s="128">
        <v>11841</v>
      </c>
      <c r="S144" s="127">
        <v>190.29999999999998</v>
      </c>
      <c r="T144" s="127">
        <f t="shared" si="3"/>
        <v>228.15164233576641</v>
      </c>
      <c r="U144" s="119"/>
      <c r="V144" s="119"/>
      <c r="W144" s="119"/>
      <c r="X144" s="119"/>
      <c r="Y144" s="119"/>
      <c r="Z144" s="119"/>
      <c r="AA144" s="119"/>
      <c r="AB144" s="119"/>
      <c r="AC144" s="119"/>
      <c r="AD144" s="119"/>
      <c r="AE144" s="119"/>
      <c r="AF144" s="119"/>
      <c r="AG144" s="119"/>
    </row>
    <row r="145" spans="1:33">
      <c r="A145" s="122">
        <v>3</v>
      </c>
      <c r="B145" s="119"/>
      <c r="C145" s="122">
        <f>+E145-E144</f>
        <v>134.24</v>
      </c>
      <c r="D145" s="122">
        <f>+G145-G144</f>
        <v>119.19999999999999</v>
      </c>
      <c r="E145" s="122">
        <v>433.2</v>
      </c>
      <c r="F145" s="119"/>
      <c r="G145" s="122">
        <v>388</v>
      </c>
      <c r="H145" s="119"/>
      <c r="I145" s="127">
        <v>108.1</v>
      </c>
      <c r="J145" s="119">
        <v>3</v>
      </c>
      <c r="K145" s="119"/>
      <c r="L145" s="128">
        <v>16407</v>
      </c>
      <c r="M145" s="127">
        <v>400.40000000000009</v>
      </c>
      <c r="N145" s="127">
        <f t="shared" si="4"/>
        <v>486.70268270120272</v>
      </c>
      <c r="O145" s="128">
        <v>15359</v>
      </c>
      <c r="P145" s="127">
        <v>1172.1999999999998</v>
      </c>
      <c r="Q145" s="127">
        <f t="shared" si="2"/>
        <v>1424.8573543015725</v>
      </c>
      <c r="R145" s="128">
        <v>13534</v>
      </c>
      <c r="S145" s="127">
        <v>158.5</v>
      </c>
      <c r="T145" s="127">
        <f t="shared" si="3"/>
        <v>192.66327474560592</v>
      </c>
      <c r="U145" s="119"/>
      <c r="V145" s="119"/>
      <c r="W145" s="119"/>
      <c r="X145" s="119"/>
      <c r="Y145" s="119"/>
      <c r="Z145" s="119"/>
      <c r="AA145" s="119"/>
      <c r="AB145" s="119"/>
      <c r="AC145" s="119"/>
      <c r="AD145" s="119"/>
      <c r="AE145" s="119"/>
      <c r="AF145" s="119"/>
      <c r="AG145" s="119"/>
    </row>
    <row r="146" spans="1:33">
      <c r="A146" s="122">
        <v>4</v>
      </c>
      <c r="B146" s="119"/>
      <c r="C146" s="122">
        <f>+E146-E145</f>
        <v>137.49520000000001</v>
      </c>
      <c r="D146" s="122">
        <f>+G146-G145</f>
        <v>124.07220000000007</v>
      </c>
      <c r="E146" s="130">
        <v>570.6952</v>
      </c>
      <c r="F146" s="135"/>
      <c r="G146" s="130">
        <v>512.07220000000007</v>
      </c>
      <c r="H146" s="119"/>
      <c r="I146" s="127">
        <v>108.7</v>
      </c>
      <c r="J146" s="119">
        <v>4</v>
      </c>
      <c r="K146" s="119"/>
      <c r="L146" s="128">
        <v>16945</v>
      </c>
      <c r="M146" s="127">
        <v>509.39999999999986</v>
      </c>
      <c r="N146" s="127">
        <f t="shared" si="4"/>
        <v>615.77884084636594</v>
      </c>
      <c r="O146" s="128">
        <v>9601</v>
      </c>
      <c r="P146" s="127">
        <v>803.30000000000018</v>
      </c>
      <c r="Q146" s="127">
        <f t="shared" si="2"/>
        <v>971.05446182152741</v>
      </c>
      <c r="R146" s="128">
        <v>12341</v>
      </c>
      <c r="S146" s="127">
        <v>258.5</v>
      </c>
      <c r="T146" s="127">
        <f t="shared" si="3"/>
        <v>312.48298068077276</v>
      </c>
      <c r="U146" s="119"/>
      <c r="V146" s="119"/>
      <c r="W146" s="119"/>
      <c r="X146" s="119"/>
      <c r="Y146" s="119"/>
      <c r="Z146" s="119"/>
      <c r="AA146" s="119"/>
      <c r="AB146" s="119"/>
      <c r="AC146" s="119"/>
      <c r="AD146" s="119"/>
      <c r="AE146" s="119"/>
      <c r="AF146" s="119"/>
      <c r="AG146" s="119"/>
    </row>
    <row r="147" spans="1:33">
      <c r="A147" s="122">
        <v>1</v>
      </c>
      <c r="B147" s="122">
        <v>2002</v>
      </c>
      <c r="C147" s="122">
        <f>+E147</f>
        <v>155.81399999999999</v>
      </c>
      <c r="D147" s="122">
        <f>+G147</f>
        <v>141.72399999999999</v>
      </c>
      <c r="E147" s="130">
        <v>155.81399999999999</v>
      </c>
      <c r="F147" s="135"/>
      <c r="G147" s="130">
        <v>141.72399999999999</v>
      </c>
      <c r="H147" s="119"/>
      <c r="I147" s="127">
        <v>109.3</v>
      </c>
      <c r="J147" s="119">
        <v>1</v>
      </c>
      <c r="K147" s="119">
        <v>2002</v>
      </c>
      <c r="L147" s="128">
        <v>17523</v>
      </c>
      <c r="M147" s="127">
        <v>466.5</v>
      </c>
      <c r="N147" s="127">
        <f t="shared" si="4"/>
        <v>560.82433668801468</v>
      </c>
      <c r="O147" s="128">
        <v>6856</v>
      </c>
      <c r="P147" s="127">
        <v>820.40000000000009</v>
      </c>
      <c r="Q147" s="127">
        <f t="shared" si="2"/>
        <v>986.28142726441013</v>
      </c>
      <c r="R147" s="128">
        <v>9371</v>
      </c>
      <c r="S147" s="127">
        <v>197.9</v>
      </c>
      <c r="T147" s="127">
        <f t="shared" si="3"/>
        <v>237.91454711802379</v>
      </c>
      <c r="U147" s="119"/>
      <c r="V147" s="119"/>
      <c r="W147" s="119"/>
      <c r="X147" s="119"/>
      <c r="Y147" s="119"/>
      <c r="Z147" s="119"/>
      <c r="AA147" s="119"/>
      <c r="AB147" s="119"/>
      <c r="AC147" s="119"/>
      <c r="AD147" s="119"/>
      <c r="AE147" s="119"/>
      <c r="AF147" s="119"/>
      <c r="AG147" s="119"/>
    </row>
    <row r="148" spans="1:33">
      <c r="A148" s="122">
        <v>2</v>
      </c>
      <c r="B148" s="122"/>
      <c r="C148" s="122">
        <f>+E148-E147</f>
        <v>146.54300000000003</v>
      </c>
      <c r="D148" s="122">
        <f>+G148-G147</f>
        <v>133.19</v>
      </c>
      <c r="E148" s="122">
        <v>302.35700000000003</v>
      </c>
      <c r="F148" s="119"/>
      <c r="G148" s="122">
        <v>274.91399999999999</v>
      </c>
      <c r="H148" s="119"/>
      <c r="I148" s="127">
        <v>110</v>
      </c>
      <c r="J148" s="119">
        <v>2</v>
      </c>
      <c r="K148" s="119"/>
      <c r="L148" s="128">
        <v>17469</v>
      </c>
      <c r="M148" s="127">
        <v>408.5</v>
      </c>
      <c r="N148" s="127">
        <f t="shared" si="4"/>
        <v>487.97181818181821</v>
      </c>
      <c r="O148" s="128">
        <v>9323</v>
      </c>
      <c r="P148" s="127">
        <v>689.09999999999991</v>
      </c>
      <c r="Q148" s="127">
        <f t="shared" si="2"/>
        <v>823.1612727272726</v>
      </c>
      <c r="R148" s="128">
        <v>14749</v>
      </c>
      <c r="S148" s="127">
        <v>233.49999999999997</v>
      </c>
      <c r="T148" s="127">
        <f t="shared" si="3"/>
        <v>278.92636363636365</v>
      </c>
      <c r="U148" s="119"/>
      <c r="V148" s="119"/>
      <c r="W148" s="119"/>
      <c r="X148" s="119"/>
      <c r="Y148" s="119"/>
      <c r="Z148" s="119"/>
      <c r="AA148" s="119"/>
      <c r="AB148" s="119"/>
      <c r="AC148" s="119"/>
      <c r="AD148" s="119"/>
      <c r="AE148" s="119"/>
      <c r="AF148" s="119"/>
      <c r="AG148" s="119"/>
    </row>
    <row r="149" spans="1:33">
      <c r="A149" s="122">
        <v>3</v>
      </c>
      <c r="B149" s="119"/>
      <c r="C149" s="122">
        <f>+E149-E148</f>
        <v>146.23099999999999</v>
      </c>
      <c r="D149" s="122">
        <f>+G149-G148</f>
        <v>127.14100000000002</v>
      </c>
      <c r="E149" s="122">
        <v>448.58800000000002</v>
      </c>
      <c r="F149" s="119"/>
      <c r="G149" s="122">
        <v>402.05500000000001</v>
      </c>
      <c r="H149" s="119"/>
      <c r="I149" s="127">
        <v>109.6</v>
      </c>
      <c r="J149" s="119">
        <v>3</v>
      </c>
      <c r="K149" s="119"/>
      <c r="L149" s="128">
        <v>19641</v>
      </c>
      <c r="M149" s="127">
        <v>503</v>
      </c>
      <c r="N149" s="127">
        <f t="shared" si="4"/>
        <v>603.04927007299273</v>
      </c>
      <c r="O149" s="128">
        <v>17422</v>
      </c>
      <c r="P149" s="127">
        <v>895.90000000000009</v>
      </c>
      <c r="Q149" s="127">
        <f t="shared" si="2"/>
        <v>1074.099087591241</v>
      </c>
      <c r="R149" s="128">
        <v>14722</v>
      </c>
      <c r="S149" s="127">
        <v>184.5</v>
      </c>
      <c r="T149" s="127">
        <f t="shared" si="3"/>
        <v>221.19799270072997</v>
      </c>
      <c r="U149" s="119"/>
      <c r="V149" s="119"/>
      <c r="W149" s="119"/>
      <c r="X149" s="119"/>
      <c r="Y149" s="119"/>
      <c r="Z149" s="119"/>
      <c r="AA149" s="119"/>
      <c r="AB149" s="119"/>
      <c r="AC149" s="119"/>
      <c r="AD149" s="119"/>
      <c r="AE149" s="119"/>
      <c r="AF149" s="119"/>
      <c r="AG149" s="119"/>
    </row>
    <row r="150" spans="1:33">
      <c r="A150" s="122">
        <v>4</v>
      </c>
      <c r="B150" s="119"/>
      <c r="C150" s="122">
        <f>+E150-E149</f>
        <v>137.96699999999993</v>
      </c>
      <c r="D150" s="122">
        <f>+G150-G149</f>
        <v>124.64100000000002</v>
      </c>
      <c r="E150" s="130">
        <v>586.55499999999995</v>
      </c>
      <c r="F150" s="135"/>
      <c r="G150" s="130">
        <v>526.69600000000003</v>
      </c>
      <c r="H150" s="119"/>
      <c r="I150" s="127">
        <v>111</v>
      </c>
      <c r="J150" s="119">
        <v>4</v>
      </c>
      <c r="K150" s="119"/>
      <c r="L150" s="128">
        <v>17442</v>
      </c>
      <c r="M150" s="127">
        <v>464.20000000000005</v>
      </c>
      <c r="N150" s="127">
        <f t="shared" si="4"/>
        <v>549.51243243243255</v>
      </c>
      <c r="O150" s="128">
        <v>8123</v>
      </c>
      <c r="P150" s="127">
        <v>938.5</v>
      </c>
      <c r="Q150" s="127">
        <f t="shared" si="2"/>
        <v>1110.9810810810811</v>
      </c>
      <c r="R150" s="128">
        <v>14689</v>
      </c>
      <c r="S150" s="127">
        <v>194.00000000000011</v>
      </c>
      <c r="T150" s="127">
        <f t="shared" si="3"/>
        <v>229.6540540540542</v>
      </c>
      <c r="U150" s="119"/>
      <c r="V150" s="119"/>
      <c r="W150" s="119"/>
      <c r="X150" s="119"/>
      <c r="Y150" s="119"/>
      <c r="Z150" s="119"/>
      <c r="AA150" s="119"/>
      <c r="AB150" s="119"/>
      <c r="AC150" s="119"/>
      <c r="AD150" s="119"/>
      <c r="AE150" s="119"/>
      <c r="AF150" s="119"/>
      <c r="AG150" s="119"/>
    </row>
    <row r="151" spans="1:33">
      <c r="A151" s="122">
        <v>1</v>
      </c>
      <c r="B151" s="122">
        <v>2003</v>
      </c>
      <c r="C151" s="130">
        <f>+E151</f>
        <v>165.679</v>
      </c>
      <c r="D151" s="122">
        <f>+G151</f>
        <v>150.81100000000001</v>
      </c>
      <c r="E151" s="130">
        <v>165.679</v>
      </c>
      <c r="F151" s="135"/>
      <c r="G151" s="130">
        <v>150.81100000000001</v>
      </c>
      <c r="H151" s="119"/>
      <c r="I151" s="127">
        <v>114.6</v>
      </c>
      <c r="J151" s="119">
        <v>1</v>
      </c>
      <c r="K151" s="119">
        <v>2003</v>
      </c>
      <c r="L151" s="128">
        <v>22781</v>
      </c>
      <c r="M151" s="127">
        <v>626.79999999999995</v>
      </c>
      <c r="N151" s="127">
        <f t="shared" si="4"/>
        <v>718.68691099476439</v>
      </c>
      <c r="O151" s="128">
        <v>6823</v>
      </c>
      <c r="P151" s="127">
        <v>1087.2</v>
      </c>
      <c r="Q151" s="127">
        <f t="shared" si="2"/>
        <v>1246.5801047120422</v>
      </c>
      <c r="R151" s="128">
        <v>10626</v>
      </c>
      <c r="S151" s="127">
        <v>183</v>
      </c>
      <c r="T151" s="127">
        <f t="shared" si="3"/>
        <v>209.82722513089007</v>
      </c>
      <c r="U151" s="119"/>
      <c r="V151" s="119"/>
      <c r="W151" s="119"/>
      <c r="X151" s="119"/>
      <c r="Y151" s="119"/>
      <c r="Z151" s="119"/>
      <c r="AA151" s="119"/>
      <c r="AB151" s="119"/>
      <c r="AC151" s="119"/>
      <c r="AD151" s="119"/>
      <c r="AE151" s="119"/>
      <c r="AF151" s="119"/>
      <c r="AG151" s="119"/>
    </row>
    <row r="152" spans="1:33">
      <c r="A152" s="122">
        <v>2</v>
      </c>
      <c r="B152" s="122"/>
      <c r="C152" s="130">
        <f>+E152-E151</f>
        <v>135.02099999999999</v>
      </c>
      <c r="D152" s="122">
        <f>+G152-G151</f>
        <v>121.10099999999997</v>
      </c>
      <c r="E152" s="122">
        <v>300.7</v>
      </c>
      <c r="F152" s="119"/>
      <c r="G152" s="122">
        <v>271.91199999999998</v>
      </c>
      <c r="H152" s="119"/>
      <c r="I152" s="127">
        <v>112.3</v>
      </c>
      <c r="J152" s="119">
        <v>2</v>
      </c>
      <c r="K152" s="119"/>
      <c r="L152" s="128">
        <v>15417</v>
      </c>
      <c r="M152" s="127">
        <v>406.10000000000014</v>
      </c>
      <c r="N152" s="127">
        <f t="shared" si="4"/>
        <v>475.16954585930563</v>
      </c>
      <c r="O152" s="128">
        <v>5618</v>
      </c>
      <c r="P152" s="127">
        <v>817.8</v>
      </c>
      <c r="Q152" s="127">
        <f t="shared" si="2"/>
        <v>956.8915405164737</v>
      </c>
      <c r="R152" s="128">
        <v>12719</v>
      </c>
      <c r="S152" s="127">
        <v>203.2</v>
      </c>
      <c r="T152" s="127">
        <f t="shared" si="3"/>
        <v>237.76028495102403</v>
      </c>
      <c r="U152" s="119"/>
      <c r="V152" s="119"/>
      <c r="W152" s="119"/>
      <c r="X152" s="119"/>
      <c r="Y152" s="119"/>
      <c r="Z152" s="119"/>
      <c r="AA152" s="119"/>
      <c r="AB152" s="119"/>
      <c r="AC152" s="119"/>
      <c r="AD152" s="119"/>
      <c r="AE152" s="119"/>
      <c r="AF152" s="119"/>
      <c r="AG152" s="119"/>
    </row>
    <row r="153" spans="1:33">
      <c r="A153" s="122">
        <v>3</v>
      </c>
      <c r="B153" s="122"/>
      <c r="C153" s="130">
        <f>+E153-E152</f>
        <v>134.11099999999999</v>
      </c>
      <c r="D153" s="122">
        <f>+G153-G152</f>
        <v>119.49100000000004</v>
      </c>
      <c r="E153" s="122">
        <v>434.81099999999998</v>
      </c>
      <c r="F153" s="119"/>
      <c r="G153" s="122">
        <v>391.40300000000002</v>
      </c>
      <c r="H153" s="119"/>
      <c r="I153" s="127">
        <v>111.9</v>
      </c>
      <c r="J153" s="119">
        <v>3</v>
      </c>
      <c r="K153" s="119"/>
      <c r="L153" s="128">
        <v>18848</v>
      </c>
      <c r="M153" s="127">
        <v>430.5</v>
      </c>
      <c r="N153" s="127">
        <f t="shared" si="4"/>
        <v>505.52010723860587</v>
      </c>
      <c r="O153" s="128">
        <v>16056</v>
      </c>
      <c r="P153" s="127">
        <v>860.19999999999982</v>
      </c>
      <c r="Q153" s="127">
        <f t="shared" si="2"/>
        <v>1010.100804289544</v>
      </c>
      <c r="R153" s="128">
        <v>13690</v>
      </c>
      <c r="S153" s="127">
        <v>188.8</v>
      </c>
      <c r="T153" s="127">
        <f t="shared" si="3"/>
        <v>221.70080428954424</v>
      </c>
      <c r="U153" s="119"/>
      <c r="V153" s="119"/>
      <c r="W153" s="119"/>
      <c r="X153" s="119"/>
      <c r="Y153" s="119"/>
      <c r="Z153" s="119"/>
      <c r="AA153" s="119"/>
      <c r="AB153" s="119"/>
      <c r="AC153" s="119"/>
      <c r="AD153" s="119"/>
      <c r="AE153" s="119"/>
      <c r="AF153" s="119"/>
      <c r="AG153" s="119"/>
    </row>
    <row r="154" spans="1:33">
      <c r="A154" s="122">
        <v>4</v>
      </c>
      <c r="B154" s="122"/>
      <c r="C154" s="130">
        <f>+E154-E153</f>
        <v>142.01299999999998</v>
      </c>
      <c r="D154" s="122">
        <f>+G154-G153</f>
        <v>125.95899999999995</v>
      </c>
      <c r="E154" s="122">
        <v>576.82399999999996</v>
      </c>
      <c r="F154" s="119"/>
      <c r="G154" s="122">
        <v>517.36199999999997</v>
      </c>
      <c r="H154" s="119"/>
      <c r="I154" s="127">
        <v>112.6</v>
      </c>
      <c r="J154" s="119">
        <v>4</v>
      </c>
      <c r="K154" s="119"/>
      <c r="L154" s="128">
        <v>16096</v>
      </c>
      <c r="M154" s="127">
        <v>471.89999999999986</v>
      </c>
      <c r="N154" s="127">
        <f t="shared" si="4"/>
        <v>550.68969804618109</v>
      </c>
      <c r="O154" s="128">
        <v>7652</v>
      </c>
      <c r="P154" s="127">
        <v>762.30000000000018</v>
      </c>
      <c r="Q154" s="127">
        <f t="shared" si="2"/>
        <v>889.57566607460058</v>
      </c>
      <c r="R154" s="128">
        <v>11607</v>
      </c>
      <c r="S154" s="127">
        <v>220.90000000000009</v>
      </c>
      <c r="T154" s="127">
        <f t="shared" si="3"/>
        <v>257.78206039076389</v>
      </c>
      <c r="U154" s="119"/>
      <c r="V154" s="119"/>
      <c r="W154" s="119"/>
      <c r="X154" s="119"/>
      <c r="Y154" s="119"/>
      <c r="Z154" s="119"/>
      <c r="AA154" s="119"/>
      <c r="AB154" s="119"/>
      <c r="AC154" s="119"/>
      <c r="AD154" s="119"/>
      <c r="AE154" s="119"/>
      <c r="AF154" s="119"/>
      <c r="AG154" s="119"/>
    </row>
    <row r="155" spans="1:33">
      <c r="A155" s="122">
        <v>1</v>
      </c>
      <c r="B155" s="122">
        <v>2004</v>
      </c>
      <c r="C155" s="130">
        <f>+E155</f>
        <v>168.309</v>
      </c>
      <c r="D155" s="122">
        <f>+G155</f>
        <v>153.04300000000001</v>
      </c>
      <c r="E155" s="122">
        <v>168.309</v>
      </c>
      <c r="F155" s="119"/>
      <c r="G155" s="122">
        <v>153.04300000000001</v>
      </c>
      <c r="H155" s="119"/>
      <c r="I155" s="127">
        <v>112.6</v>
      </c>
      <c r="J155" s="119">
        <v>1</v>
      </c>
      <c r="K155" s="119">
        <v>2004</v>
      </c>
      <c r="L155" s="128">
        <v>17805</v>
      </c>
      <c r="M155" s="127">
        <v>517.69999999999993</v>
      </c>
      <c r="N155" s="127">
        <f t="shared" si="4"/>
        <v>604.13658969804612</v>
      </c>
      <c r="O155" s="128">
        <v>7033</v>
      </c>
      <c r="P155" s="127">
        <v>735.2</v>
      </c>
      <c r="Q155" s="127">
        <f t="shared" si="2"/>
        <v>857.95097690941407</v>
      </c>
      <c r="R155" s="128">
        <v>8913</v>
      </c>
      <c r="S155" s="127">
        <v>178.89999999999998</v>
      </c>
      <c r="T155" s="127">
        <f t="shared" si="3"/>
        <v>208.76962699822377</v>
      </c>
      <c r="U155" s="119"/>
      <c r="V155" s="119"/>
      <c r="W155" s="119"/>
      <c r="X155" s="119"/>
      <c r="Y155" s="119"/>
      <c r="Z155" s="119"/>
      <c r="AA155" s="119"/>
      <c r="AB155" s="119"/>
      <c r="AC155" s="119"/>
      <c r="AD155" s="119"/>
      <c r="AE155" s="119"/>
      <c r="AF155" s="119"/>
      <c r="AG155" s="119"/>
    </row>
    <row r="156" spans="1:33">
      <c r="A156" s="122">
        <v>2</v>
      </c>
      <c r="B156" s="122"/>
      <c r="C156" s="130">
        <f>+E156-E155</f>
        <v>140.26700000000002</v>
      </c>
      <c r="D156" s="122">
        <f>+G156-G155</f>
        <v>125.56799999999998</v>
      </c>
      <c r="E156" s="122">
        <v>308.57600000000002</v>
      </c>
      <c r="F156" s="119"/>
      <c r="G156" s="122">
        <v>278.61099999999999</v>
      </c>
      <c r="H156" s="119"/>
      <c r="I156" s="127">
        <v>113.4</v>
      </c>
      <c r="J156" s="119">
        <v>2</v>
      </c>
      <c r="K156" s="119"/>
      <c r="L156" s="128">
        <v>13855</v>
      </c>
      <c r="M156" s="127">
        <v>344.69999999999993</v>
      </c>
      <c r="N156" s="127">
        <f t="shared" si="4"/>
        <v>399.41428571428565</v>
      </c>
      <c r="O156" s="128">
        <v>6436</v>
      </c>
      <c r="P156" s="127">
        <v>708.3</v>
      </c>
      <c r="Q156" s="127">
        <f t="shared" si="2"/>
        <v>820.7285714285714</v>
      </c>
      <c r="R156" s="128">
        <v>10802</v>
      </c>
      <c r="S156" s="127">
        <v>228.40000000000003</v>
      </c>
      <c r="T156" s="127">
        <f t="shared" si="3"/>
        <v>264.65396825396829</v>
      </c>
      <c r="U156" s="119"/>
      <c r="V156" s="119"/>
      <c r="W156" s="119"/>
      <c r="X156" s="119"/>
      <c r="Y156" s="119"/>
      <c r="Z156" s="119"/>
      <c r="AA156" s="119"/>
      <c r="AB156" s="119"/>
      <c r="AC156" s="119"/>
      <c r="AD156" s="119"/>
      <c r="AE156" s="119"/>
      <c r="AF156" s="119"/>
      <c r="AG156" s="119"/>
    </row>
    <row r="157" spans="1:33">
      <c r="A157" s="122">
        <v>3</v>
      </c>
      <c r="B157" s="122"/>
      <c r="C157" s="130">
        <f>+E157-E156</f>
        <v>137.76999999999998</v>
      </c>
      <c r="D157" s="122">
        <f>+G157-G156</f>
        <v>123.12100000000004</v>
      </c>
      <c r="E157" s="122">
        <v>446.346</v>
      </c>
      <c r="F157" s="119"/>
      <c r="G157" s="122">
        <v>401.73200000000003</v>
      </c>
      <c r="H157" s="119"/>
      <c r="I157" s="127">
        <v>113</v>
      </c>
      <c r="J157" s="119">
        <v>3</v>
      </c>
      <c r="K157" s="119"/>
      <c r="L157" s="128">
        <v>17630</v>
      </c>
      <c r="M157" s="127">
        <v>454.09999999999991</v>
      </c>
      <c r="N157" s="127">
        <f t="shared" si="4"/>
        <v>528.04194690265479</v>
      </c>
      <c r="O157" s="128">
        <v>11805</v>
      </c>
      <c r="P157" s="127">
        <v>652.69999999999982</v>
      </c>
      <c r="Q157" s="127">
        <f t="shared" si="2"/>
        <v>758.98035398230081</v>
      </c>
      <c r="R157" s="128">
        <v>11365</v>
      </c>
      <c r="S157" s="127">
        <v>160.7999999999999</v>
      </c>
      <c r="T157" s="127">
        <f t="shared" si="3"/>
        <v>186.9833628318583</v>
      </c>
      <c r="U157" s="119"/>
      <c r="V157" s="119"/>
      <c r="W157" s="119"/>
      <c r="X157" s="119"/>
      <c r="Y157" s="119"/>
      <c r="Z157" s="119"/>
      <c r="AA157" s="119"/>
      <c r="AB157" s="119"/>
      <c r="AC157" s="119"/>
      <c r="AD157" s="119"/>
      <c r="AE157" s="119"/>
      <c r="AF157" s="119"/>
      <c r="AG157" s="119"/>
    </row>
    <row r="158" spans="1:33">
      <c r="A158" s="122">
        <v>4</v>
      </c>
      <c r="B158" s="122"/>
      <c r="C158" s="130">
        <f>+E158-E157</f>
        <v>137.68499999999995</v>
      </c>
      <c r="D158" s="122">
        <f>+G158-G157</f>
        <v>124.50600000000003</v>
      </c>
      <c r="E158" s="122">
        <v>584.03099999999995</v>
      </c>
      <c r="F158" s="119"/>
      <c r="G158" s="122">
        <v>526.23800000000006</v>
      </c>
      <c r="H158" s="119"/>
      <c r="I158" s="127">
        <v>114</v>
      </c>
      <c r="J158" s="119">
        <v>4</v>
      </c>
      <c r="K158" s="119"/>
      <c r="L158" s="128">
        <v>16674</v>
      </c>
      <c r="M158" s="127">
        <v>428.20000000000027</v>
      </c>
      <c r="N158" s="127">
        <f t="shared" si="4"/>
        <v>493.55684210526351</v>
      </c>
      <c r="O158" s="128">
        <v>10088</v>
      </c>
      <c r="P158" s="127">
        <v>709.40000000000055</v>
      </c>
      <c r="Q158" s="127">
        <f t="shared" si="2"/>
        <v>817.67684210526386</v>
      </c>
      <c r="R158" s="128">
        <v>9276</v>
      </c>
      <c r="S158" s="127">
        <v>162.90000000000009</v>
      </c>
      <c r="T158" s="127">
        <f t="shared" si="3"/>
        <v>187.76368421052643</v>
      </c>
      <c r="U158" s="119"/>
      <c r="V158" s="119"/>
      <c r="W158" s="119"/>
      <c r="X158" s="119"/>
      <c r="Y158" s="119"/>
      <c r="Z158" s="119"/>
      <c r="AA158" s="119"/>
      <c r="AB158" s="119"/>
      <c r="AC158" s="119"/>
      <c r="AD158" s="119"/>
      <c r="AE158" s="119"/>
      <c r="AF158" s="119"/>
      <c r="AG158" s="119"/>
    </row>
    <row r="159" spans="1:33">
      <c r="A159" s="122">
        <v>1</v>
      </c>
      <c r="B159" s="122">
        <v>2005</v>
      </c>
      <c r="C159" s="130">
        <f>+E159</f>
        <v>147.31100000000001</v>
      </c>
      <c r="D159" s="122">
        <f>+G159</f>
        <v>133.756</v>
      </c>
      <c r="E159" s="122">
        <v>147.31100000000001</v>
      </c>
      <c r="F159" s="119"/>
      <c r="G159" s="122">
        <v>133.756</v>
      </c>
      <c r="H159" s="119"/>
      <c r="I159" s="127">
        <v>113.7</v>
      </c>
      <c r="J159" s="119">
        <v>1</v>
      </c>
      <c r="K159" s="119">
        <v>2005</v>
      </c>
      <c r="L159" s="128">
        <v>15151</v>
      </c>
      <c r="M159" s="127">
        <v>418</v>
      </c>
      <c r="N159" s="127">
        <f t="shared" si="4"/>
        <v>483.07124010554088</v>
      </c>
      <c r="O159" s="128">
        <v>7287</v>
      </c>
      <c r="P159" s="127">
        <v>715.2</v>
      </c>
      <c r="Q159" s="127">
        <f t="shared" si="2"/>
        <v>826.53720316622696</v>
      </c>
      <c r="R159" s="128">
        <v>7498</v>
      </c>
      <c r="S159" s="127">
        <v>159.69999999999999</v>
      </c>
      <c r="T159" s="127">
        <f t="shared" si="3"/>
        <v>184.56094986807389</v>
      </c>
      <c r="U159" s="119"/>
      <c r="V159" s="119"/>
      <c r="W159" s="119"/>
      <c r="X159" s="119"/>
      <c r="Y159" s="119"/>
      <c r="Z159" s="119"/>
      <c r="AA159" s="119"/>
      <c r="AB159" s="119"/>
      <c r="AC159" s="119"/>
      <c r="AD159" s="119"/>
      <c r="AE159" s="119"/>
      <c r="AF159" s="119"/>
      <c r="AG159" s="119"/>
    </row>
    <row r="160" spans="1:33">
      <c r="A160" s="122">
        <v>2</v>
      </c>
      <c r="B160" s="122"/>
      <c r="C160" s="130">
        <f>+E160-E159</f>
        <v>143.51699999999997</v>
      </c>
      <c r="D160" s="122">
        <f>+G160-G159</f>
        <v>128.79</v>
      </c>
      <c r="E160" s="122">
        <v>290.82799999999997</v>
      </c>
      <c r="F160" s="119"/>
      <c r="G160" s="122">
        <v>262.54599999999999</v>
      </c>
      <c r="H160" s="119"/>
      <c r="I160" s="127">
        <v>115.2</v>
      </c>
      <c r="J160" s="119">
        <v>2</v>
      </c>
      <c r="K160" s="119"/>
      <c r="L160" s="128">
        <v>14855</v>
      </c>
      <c r="M160" s="127">
        <v>323.20000000000005</v>
      </c>
      <c r="N160" s="127">
        <f t="shared" si="4"/>
        <v>368.65000000000003</v>
      </c>
      <c r="O160" s="128">
        <v>6172</v>
      </c>
      <c r="P160" s="127">
        <v>745.5</v>
      </c>
      <c r="Q160" s="127">
        <f t="shared" si="2"/>
        <v>850.3359375</v>
      </c>
      <c r="R160" s="128">
        <v>11610</v>
      </c>
      <c r="S160" s="127">
        <v>152.50000000000006</v>
      </c>
      <c r="T160" s="127">
        <f t="shared" si="3"/>
        <v>173.94531250000009</v>
      </c>
      <c r="U160" s="119"/>
      <c r="V160" s="119"/>
      <c r="W160" s="119"/>
      <c r="X160" s="119"/>
      <c r="Y160" s="119"/>
      <c r="Z160" s="119"/>
      <c r="AA160" s="119"/>
      <c r="AB160" s="119"/>
      <c r="AC160" s="119"/>
      <c r="AD160" s="119"/>
      <c r="AE160" s="119"/>
      <c r="AF160" s="119"/>
      <c r="AG160" s="119"/>
    </row>
    <row r="161" spans="1:33">
      <c r="A161" s="122">
        <v>3</v>
      </c>
      <c r="B161" s="122"/>
      <c r="C161" s="130">
        <f>+E161-E160</f>
        <v>134.78300000000002</v>
      </c>
      <c r="D161" s="122">
        <f>+G161-G160</f>
        <v>120.57100000000003</v>
      </c>
      <c r="E161" s="122">
        <v>425.61099999999999</v>
      </c>
      <c r="F161" s="119"/>
      <c r="G161" s="122">
        <v>383.11700000000002</v>
      </c>
      <c r="H161" s="119"/>
      <c r="I161" s="127">
        <v>115.1</v>
      </c>
      <c r="J161" s="119">
        <v>3</v>
      </c>
      <c r="K161" s="119"/>
      <c r="L161" s="128">
        <v>13014</v>
      </c>
      <c r="M161" s="127">
        <v>448.29999999999995</v>
      </c>
      <c r="N161" s="127">
        <f t="shared" si="4"/>
        <v>511.78644656820154</v>
      </c>
      <c r="O161" s="128">
        <v>6734</v>
      </c>
      <c r="P161" s="127">
        <v>832.10000000000014</v>
      </c>
      <c r="Q161" s="127">
        <f t="shared" si="2"/>
        <v>949.93866203301502</v>
      </c>
      <c r="R161" s="128">
        <v>8742</v>
      </c>
      <c r="S161" s="127">
        <v>152.99999999999994</v>
      </c>
      <c r="T161" s="127">
        <f t="shared" si="3"/>
        <v>174.66724587315372</v>
      </c>
      <c r="U161" s="119"/>
      <c r="V161" s="119"/>
      <c r="W161" s="119"/>
      <c r="X161" s="119"/>
      <c r="Y161" s="119"/>
      <c r="Z161" s="119"/>
      <c r="AA161" s="119"/>
      <c r="AB161" s="119"/>
      <c r="AC161" s="119"/>
      <c r="AD161" s="119"/>
      <c r="AE161" s="119"/>
      <c r="AF161" s="119"/>
      <c r="AG161" s="119"/>
    </row>
    <row r="162" spans="1:33">
      <c r="A162" s="122">
        <v>4</v>
      </c>
      <c r="B162" s="122"/>
      <c r="C162" s="130">
        <f>+E162-E161</f>
        <v>137.37</v>
      </c>
      <c r="D162" s="122">
        <f>+G162-G161</f>
        <v>124.38200000000001</v>
      </c>
      <c r="E162" s="122">
        <v>562.98099999999999</v>
      </c>
      <c r="F162" s="119"/>
      <c r="G162" s="122">
        <v>507.49900000000002</v>
      </c>
      <c r="H162" s="119"/>
      <c r="I162" s="127">
        <v>116</v>
      </c>
      <c r="J162" s="119">
        <v>4</v>
      </c>
      <c r="K162" s="119"/>
      <c r="L162" s="128">
        <v>22745</v>
      </c>
      <c r="M162" s="127">
        <v>478.79999999999995</v>
      </c>
      <c r="N162" s="127">
        <f t="shared" si="4"/>
        <v>542.36482758620684</v>
      </c>
      <c r="O162" s="128">
        <v>8144</v>
      </c>
      <c r="P162" s="127">
        <v>795.79999999999973</v>
      </c>
      <c r="Q162" s="127">
        <f t="shared" si="2"/>
        <v>901.44931034482727</v>
      </c>
      <c r="R162" s="128">
        <v>11407</v>
      </c>
      <c r="S162" s="127">
        <v>142.00000000000006</v>
      </c>
      <c r="T162" s="127">
        <f t="shared" si="3"/>
        <v>160.85172413793111</v>
      </c>
      <c r="U162" s="119"/>
      <c r="V162" s="119"/>
      <c r="W162" s="119"/>
      <c r="X162" s="119"/>
      <c r="Y162" s="119"/>
      <c r="Z162" s="119"/>
      <c r="AA162" s="119"/>
      <c r="AB162" s="119"/>
      <c r="AC162" s="119"/>
      <c r="AD162" s="119"/>
      <c r="AE162" s="119"/>
      <c r="AF162" s="119"/>
      <c r="AG162" s="119"/>
    </row>
    <row r="163" spans="1:33">
      <c r="A163" s="122">
        <v>1</v>
      </c>
      <c r="B163" s="122">
        <v>2006</v>
      </c>
      <c r="C163" s="130">
        <f>+E163</f>
        <v>155.21299999999999</v>
      </c>
      <c r="D163" s="122">
        <f>+G163</f>
        <v>139.72800000000001</v>
      </c>
      <c r="E163" s="122">
        <v>155.21299999999999</v>
      </c>
      <c r="F163" s="119"/>
      <c r="G163" s="122">
        <v>139.72800000000001</v>
      </c>
      <c r="H163" s="119"/>
      <c r="I163" s="127">
        <v>116.6</v>
      </c>
      <c r="J163" s="119">
        <v>1</v>
      </c>
      <c r="K163" s="119">
        <v>2006</v>
      </c>
      <c r="L163" s="128">
        <v>18196</v>
      </c>
      <c r="M163" s="127">
        <v>585</v>
      </c>
      <c r="N163" s="127">
        <f t="shared" si="4"/>
        <v>659.25385934819906</v>
      </c>
      <c r="O163" s="128">
        <v>6106</v>
      </c>
      <c r="P163" s="127">
        <v>947.2</v>
      </c>
      <c r="Q163" s="127">
        <f t="shared" si="2"/>
        <v>1067.4277873070328</v>
      </c>
      <c r="R163" s="128">
        <v>7106</v>
      </c>
      <c r="S163" s="127">
        <v>150.6</v>
      </c>
      <c r="T163" s="127">
        <f t="shared" si="3"/>
        <v>169.7156089193825</v>
      </c>
      <c r="U163" s="119"/>
      <c r="V163" s="119"/>
      <c r="W163" s="119"/>
      <c r="X163" s="119"/>
      <c r="Y163" s="119"/>
      <c r="Z163" s="119"/>
      <c r="AA163" s="119"/>
      <c r="AB163" s="119"/>
      <c r="AC163" s="119"/>
      <c r="AD163" s="119"/>
      <c r="AE163" s="119"/>
      <c r="AF163" s="119"/>
      <c r="AG163" s="119"/>
    </row>
    <row r="164" spans="1:33">
      <c r="A164" s="122">
        <v>2</v>
      </c>
      <c r="B164" s="122"/>
      <c r="C164" s="130">
        <f>+E164-E163</f>
        <v>147.44399999999999</v>
      </c>
      <c r="D164" s="122">
        <f>+G164-G163</f>
        <v>129.572</v>
      </c>
      <c r="E164" s="122">
        <v>302.65699999999998</v>
      </c>
      <c r="F164" s="119"/>
      <c r="G164" s="122">
        <v>269.3</v>
      </c>
      <c r="H164" s="119"/>
      <c r="I164" s="127">
        <v>117.9</v>
      </c>
      <c r="J164" s="119">
        <v>2</v>
      </c>
      <c r="K164" s="119"/>
      <c r="L164" s="128">
        <v>13943</v>
      </c>
      <c r="M164" s="127">
        <v>433.79999999999995</v>
      </c>
      <c r="N164" s="127">
        <f t="shared" si="4"/>
        <v>483.47175572519075</v>
      </c>
      <c r="O164" s="128">
        <v>5246</v>
      </c>
      <c r="P164" s="127">
        <v>811.2</v>
      </c>
      <c r="Q164" s="127">
        <f t="shared" si="2"/>
        <v>904.08549618320615</v>
      </c>
      <c r="R164" s="128">
        <v>9193</v>
      </c>
      <c r="S164" s="127">
        <v>176.1</v>
      </c>
      <c r="T164" s="127">
        <f t="shared" si="3"/>
        <v>196.26412213740457</v>
      </c>
      <c r="U164" s="119"/>
      <c r="V164" s="119"/>
      <c r="W164" s="119"/>
      <c r="X164" s="119"/>
      <c r="Y164" s="119"/>
      <c r="Z164" s="119"/>
      <c r="AA164" s="119"/>
      <c r="AB164" s="119"/>
      <c r="AC164" s="119"/>
      <c r="AD164" s="119"/>
      <c r="AE164" s="119"/>
      <c r="AF164" s="119"/>
      <c r="AG164" s="119"/>
    </row>
    <row r="165" spans="1:33">
      <c r="A165" s="122">
        <v>3</v>
      </c>
      <c r="B165" s="122"/>
      <c r="C165" s="130">
        <f>+E165-E164</f>
        <v>143.45100000000002</v>
      </c>
      <c r="D165" s="122">
        <f>+G165-G164</f>
        <v>126.00599999999997</v>
      </c>
      <c r="E165" s="122">
        <v>446.108</v>
      </c>
      <c r="F165" s="119"/>
      <c r="G165" s="122">
        <v>395.30599999999998</v>
      </c>
      <c r="H165" s="119"/>
      <c r="I165" s="131">
        <v>117.3</v>
      </c>
      <c r="J165" s="119">
        <v>3</v>
      </c>
      <c r="K165" s="119"/>
      <c r="L165" s="128">
        <v>13690</v>
      </c>
      <c r="M165" s="127">
        <v>496.59999999999991</v>
      </c>
      <c r="N165" s="127">
        <f t="shared" si="4"/>
        <v>556.29360613810729</v>
      </c>
      <c r="O165" s="128">
        <v>9450</v>
      </c>
      <c r="P165" s="127">
        <v>855.90000000000009</v>
      </c>
      <c r="Q165" s="127">
        <f t="shared" si="2"/>
        <v>958.78312020460373</v>
      </c>
      <c r="R165" s="128">
        <v>10840</v>
      </c>
      <c r="S165" s="127">
        <v>167.10000000000002</v>
      </c>
      <c r="T165" s="127">
        <f t="shared" si="3"/>
        <v>187.18618925831206</v>
      </c>
      <c r="U165" s="119"/>
      <c r="V165" s="119"/>
      <c r="W165" s="119"/>
      <c r="X165" s="119"/>
      <c r="Y165" s="119"/>
      <c r="Z165" s="119"/>
      <c r="AA165" s="119"/>
      <c r="AB165" s="119"/>
      <c r="AC165" s="119"/>
      <c r="AD165" s="119"/>
      <c r="AE165" s="119"/>
      <c r="AF165" s="119"/>
      <c r="AG165" s="119"/>
    </row>
    <row r="166" spans="1:33">
      <c r="A166" s="122">
        <v>4</v>
      </c>
      <c r="B166" s="122"/>
      <c r="C166" s="130">
        <f>+E166-E165</f>
        <v>148.56090999999998</v>
      </c>
      <c r="D166" s="122">
        <f>+G166-G165</f>
        <v>131.19532799999996</v>
      </c>
      <c r="E166" s="122">
        <v>594.66890999999998</v>
      </c>
      <c r="F166" s="119"/>
      <c r="G166" s="122">
        <v>526.50132799999994</v>
      </c>
      <c r="H166" s="119"/>
      <c r="I166" s="131">
        <v>119</v>
      </c>
      <c r="J166" s="119">
        <v>4</v>
      </c>
      <c r="K166" s="119"/>
      <c r="L166" s="128">
        <v>16682</v>
      </c>
      <c r="M166" s="127">
        <v>525.60000000000014</v>
      </c>
      <c r="N166" s="127">
        <f t="shared" si="4"/>
        <v>580.36840336134469</v>
      </c>
      <c r="O166" s="128">
        <v>10233</v>
      </c>
      <c r="P166" s="127">
        <v>826</v>
      </c>
      <c r="Q166" s="127">
        <f t="shared" si="2"/>
        <v>912.07058823529417</v>
      </c>
      <c r="R166" s="128">
        <v>9520</v>
      </c>
      <c r="S166" s="127">
        <v>144.09999999999997</v>
      </c>
      <c r="T166" s="127">
        <f t="shared" si="3"/>
        <v>159.11546218487391</v>
      </c>
      <c r="U166" s="119"/>
      <c r="V166" s="119"/>
      <c r="W166" s="119"/>
      <c r="X166" s="119"/>
      <c r="Y166" s="119"/>
      <c r="Z166" s="119"/>
      <c r="AA166" s="119"/>
      <c r="AB166" s="119"/>
      <c r="AC166" s="119"/>
      <c r="AD166" s="119"/>
      <c r="AE166" s="119"/>
      <c r="AF166" s="119"/>
      <c r="AG166" s="119"/>
    </row>
    <row r="167" spans="1:33">
      <c r="A167" s="122">
        <v>1</v>
      </c>
      <c r="B167" s="122">
        <v>2007</v>
      </c>
      <c r="C167" s="130">
        <f>+E167</f>
        <v>158.09976</v>
      </c>
      <c r="D167" s="122">
        <f>+G167</f>
        <v>141.08400800000001</v>
      </c>
      <c r="E167" s="122">
        <v>158.09976</v>
      </c>
      <c r="F167" s="119"/>
      <c r="G167" s="122">
        <v>141.08400800000001</v>
      </c>
      <c r="H167" s="119"/>
      <c r="I167" s="131">
        <v>117.5</v>
      </c>
      <c r="J167" s="119">
        <v>1</v>
      </c>
      <c r="K167" s="119">
        <v>2007</v>
      </c>
      <c r="L167" s="128">
        <v>18623</v>
      </c>
      <c r="M167" s="127">
        <v>649.6</v>
      </c>
      <c r="N167" s="127">
        <f t="shared" si="4"/>
        <v>726.44629787234044</v>
      </c>
      <c r="O167" s="128">
        <v>7737</v>
      </c>
      <c r="P167" s="127">
        <v>1092.1999999999998</v>
      </c>
      <c r="Q167" s="127">
        <f t="shared" si="2"/>
        <v>1221.4049361702127</v>
      </c>
      <c r="R167" s="128">
        <v>8112</v>
      </c>
      <c r="S167" s="127">
        <v>167.4</v>
      </c>
      <c r="T167" s="127">
        <f t="shared" si="3"/>
        <v>187.20306382978725</v>
      </c>
      <c r="U167" s="119"/>
      <c r="V167" s="119"/>
      <c r="W167" s="119"/>
      <c r="X167" s="119"/>
      <c r="Y167" s="119"/>
      <c r="Z167" s="119"/>
      <c r="AA167" s="119"/>
      <c r="AB167" s="119"/>
      <c r="AC167" s="119"/>
      <c r="AD167" s="119"/>
      <c r="AE167" s="119"/>
      <c r="AF167" s="119"/>
      <c r="AG167" s="119"/>
    </row>
    <row r="168" spans="1:33">
      <c r="A168" s="122">
        <v>2</v>
      </c>
      <c r="B168" s="122"/>
      <c r="C168" s="130">
        <f>+E168-E167</f>
        <v>161.61276000000004</v>
      </c>
      <c r="D168" s="122">
        <f>+G168-G167</f>
        <v>142.897008</v>
      </c>
      <c r="E168" s="122">
        <v>319.71252000000004</v>
      </c>
      <c r="F168" s="119"/>
      <c r="G168" s="122">
        <v>283.98101600000001</v>
      </c>
      <c r="H168" s="119"/>
      <c r="I168" s="131">
        <v>118.3</v>
      </c>
      <c r="J168" s="119">
        <v>2</v>
      </c>
      <c r="K168" s="119"/>
      <c r="L168" s="128">
        <v>15831</v>
      </c>
      <c r="M168" s="127">
        <v>514.19999999999993</v>
      </c>
      <c r="N168" s="127">
        <f t="shared" si="4"/>
        <v>571.14015215553684</v>
      </c>
      <c r="O168" s="128">
        <v>5067</v>
      </c>
      <c r="P168" s="127">
        <v>1041.6999999999998</v>
      </c>
      <c r="Q168" s="127">
        <f t="shared" ref="Q168:Q189" si="5">P168/I168*$I$69</f>
        <v>1157.0530853761622</v>
      </c>
      <c r="R168" s="128">
        <v>10608</v>
      </c>
      <c r="S168" s="127">
        <v>160.99999999999997</v>
      </c>
      <c r="T168" s="127">
        <f t="shared" ref="T168:T189" si="6">S168/I168*$I$69</f>
        <v>178.82840236686388</v>
      </c>
      <c r="U168" s="119"/>
      <c r="V168" s="119"/>
      <c r="W168" s="119"/>
      <c r="X168" s="119"/>
      <c r="Y168" s="119"/>
      <c r="Z168" s="119"/>
      <c r="AA168" s="119"/>
      <c r="AB168" s="119"/>
      <c r="AC168" s="119"/>
      <c r="AD168" s="119"/>
      <c r="AE168" s="119"/>
      <c r="AF168" s="119"/>
      <c r="AG168" s="119"/>
    </row>
    <row r="169" spans="1:33">
      <c r="A169" s="122">
        <v>3</v>
      </c>
      <c r="B169" s="122"/>
      <c r="C169" s="130">
        <f>+E169-E168</f>
        <v>135.82058024999998</v>
      </c>
      <c r="D169" s="122">
        <f>+G169-G168</f>
        <v>119.75308425000003</v>
      </c>
      <c r="E169" s="122">
        <v>455.53310025000002</v>
      </c>
      <c r="F169" s="119"/>
      <c r="G169" s="122">
        <v>403.73410025000004</v>
      </c>
      <c r="H169" s="119"/>
      <c r="I169" s="131">
        <v>117.8</v>
      </c>
      <c r="J169" s="119">
        <v>3</v>
      </c>
      <c r="K169" s="119"/>
      <c r="L169" s="128">
        <v>18428</v>
      </c>
      <c r="M169" s="127">
        <v>654.20000000000027</v>
      </c>
      <c r="N169" s="127">
        <f t="shared" si="4"/>
        <v>729.72733446519567</v>
      </c>
      <c r="O169" s="128">
        <v>6417</v>
      </c>
      <c r="P169" s="127">
        <v>679.60000000000036</v>
      </c>
      <c r="Q169" s="127">
        <f t="shared" si="5"/>
        <v>758.05976230899876</v>
      </c>
      <c r="R169" s="128">
        <v>10319</v>
      </c>
      <c r="S169" s="127">
        <v>152.89999999999998</v>
      </c>
      <c r="T169" s="127">
        <f t="shared" si="6"/>
        <v>170.5522920203735</v>
      </c>
      <c r="U169" s="119"/>
      <c r="V169" s="119"/>
      <c r="W169" s="119"/>
      <c r="X169" s="119"/>
      <c r="Y169" s="119"/>
      <c r="Z169" s="119"/>
      <c r="AA169" s="119"/>
      <c r="AB169" s="119"/>
      <c r="AC169" s="119"/>
      <c r="AD169" s="119"/>
      <c r="AE169" s="119"/>
      <c r="AF169" s="119"/>
      <c r="AG169" s="119"/>
    </row>
    <row r="170" spans="1:33">
      <c r="A170" s="122">
        <v>4</v>
      </c>
      <c r="B170" s="122"/>
      <c r="C170" s="130">
        <f>+E170-E169</f>
        <v>149.79139924999998</v>
      </c>
      <c r="D170" s="122">
        <f>+G170-G169</f>
        <v>133.49839924999998</v>
      </c>
      <c r="E170" s="122">
        <v>605.3244995</v>
      </c>
      <c r="F170" s="119"/>
      <c r="G170" s="122">
        <v>537.23249950000002</v>
      </c>
      <c r="H170" s="119"/>
      <c r="I170" s="131">
        <v>120.8</v>
      </c>
      <c r="J170" s="119">
        <v>4</v>
      </c>
      <c r="K170" s="119"/>
      <c r="L170" s="128">
        <v>15870</v>
      </c>
      <c r="M170" s="127">
        <v>567.19999999999959</v>
      </c>
      <c r="N170" s="127">
        <f t="shared" si="4"/>
        <v>616.97086092715199</v>
      </c>
      <c r="O170" s="128">
        <v>5114</v>
      </c>
      <c r="P170" s="127">
        <v>911.69999999999982</v>
      </c>
      <c r="Q170" s="127">
        <f t="shared" si="5"/>
        <v>991.70016556291375</v>
      </c>
      <c r="R170" s="128">
        <v>8645</v>
      </c>
      <c r="S170" s="127">
        <v>142.80000000000007</v>
      </c>
      <c r="T170" s="127">
        <f t="shared" si="6"/>
        <v>155.33046357615902</v>
      </c>
      <c r="U170" s="119"/>
      <c r="V170" s="119"/>
      <c r="W170" s="119"/>
      <c r="X170" s="119"/>
      <c r="Y170" s="119"/>
      <c r="Z170" s="119"/>
      <c r="AA170" s="119"/>
      <c r="AB170" s="119"/>
      <c r="AC170" s="119"/>
      <c r="AD170" s="119"/>
      <c r="AE170" s="119"/>
      <c r="AF170" s="119"/>
      <c r="AG170" s="119"/>
    </row>
    <row r="171" spans="1:33">
      <c r="A171" s="122">
        <v>1</v>
      </c>
      <c r="B171" s="122">
        <v>2008</v>
      </c>
      <c r="C171" s="130">
        <f>+E171</f>
        <v>164.64169099999998</v>
      </c>
      <c r="D171" s="122">
        <f>+G171</f>
        <v>148.61369099999999</v>
      </c>
      <c r="E171" s="122">
        <v>164.64169099999998</v>
      </c>
      <c r="F171" s="119"/>
      <c r="G171" s="122">
        <v>148.61369099999999</v>
      </c>
      <c r="H171" s="119"/>
      <c r="I171" s="131">
        <v>121.9</v>
      </c>
      <c r="J171" s="119">
        <v>1</v>
      </c>
      <c r="K171" s="119">
        <v>2008</v>
      </c>
      <c r="L171" s="128">
        <v>17004</v>
      </c>
      <c r="M171" s="127">
        <v>591.9</v>
      </c>
      <c r="N171" s="127">
        <f t="shared" si="4"/>
        <v>638.02838392124681</v>
      </c>
      <c r="O171" s="128">
        <v>6274</v>
      </c>
      <c r="P171" s="127">
        <v>963.6</v>
      </c>
      <c r="Q171" s="127">
        <f t="shared" si="5"/>
        <v>1038.6959803117311</v>
      </c>
      <c r="R171" s="128">
        <v>7939</v>
      </c>
      <c r="S171" s="127">
        <v>160.1</v>
      </c>
      <c r="T171" s="127">
        <f t="shared" si="6"/>
        <v>172.57703035274815</v>
      </c>
      <c r="U171" s="119"/>
      <c r="V171" s="119"/>
      <c r="W171" s="119"/>
      <c r="X171" s="119"/>
      <c r="Y171" s="119"/>
      <c r="Z171" s="119"/>
      <c r="AA171" s="119"/>
      <c r="AB171" s="119"/>
      <c r="AC171" s="119"/>
      <c r="AD171" s="119"/>
      <c r="AE171" s="119"/>
      <c r="AF171" s="119"/>
      <c r="AG171" s="119"/>
    </row>
    <row r="172" spans="1:33">
      <c r="A172" s="122">
        <v>2</v>
      </c>
      <c r="B172" s="122"/>
      <c r="C172" s="130">
        <f>+E172-E171</f>
        <v>197.28657850000002</v>
      </c>
      <c r="D172" s="122">
        <f>+G172-G171</f>
        <v>175.71357850000001</v>
      </c>
      <c r="E172" s="122">
        <v>361.9282695</v>
      </c>
      <c r="F172" s="119"/>
      <c r="G172" s="122">
        <v>324.3272695</v>
      </c>
      <c r="H172" s="119"/>
      <c r="I172" s="131">
        <v>122</v>
      </c>
      <c r="J172" s="119">
        <v>2</v>
      </c>
      <c r="K172" s="119"/>
      <c r="L172" s="128">
        <v>14987</v>
      </c>
      <c r="M172" s="127">
        <v>548.4</v>
      </c>
      <c r="N172" s="127">
        <f t="shared" ref="N172:N181" si="7">M172/I172*$I$69</f>
        <v>590.65377049180336</v>
      </c>
      <c r="O172" s="128">
        <v>5831</v>
      </c>
      <c r="P172" s="127">
        <v>1153.8000000000002</v>
      </c>
      <c r="Q172" s="127">
        <f t="shared" si="5"/>
        <v>1242.6993442622954</v>
      </c>
      <c r="R172" s="128">
        <v>10207</v>
      </c>
      <c r="S172" s="127">
        <v>188.4</v>
      </c>
      <c r="T172" s="127">
        <f t="shared" si="6"/>
        <v>202.91606557377051</v>
      </c>
      <c r="U172" s="119"/>
      <c r="V172" s="119"/>
      <c r="W172" s="119"/>
      <c r="X172" s="119"/>
      <c r="Y172" s="119"/>
      <c r="Z172" s="119"/>
      <c r="AA172" s="119"/>
      <c r="AB172" s="119"/>
      <c r="AC172" s="119"/>
      <c r="AD172" s="119"/>
      <c r="AE172" s="119"/>
      <c r="AF172" s="119"/>
      <c r="AG172" s="119"/>
    </row>
    <row r="173" spans="1:33">
      <c r="A173" s="122">
        <v>3</v>
      </c>
      <c r="B173" s="122"/>
      <c r="C173" s="130">
        <f>+E173-E172</f>
        <v>159.71767174999997</v>
      </c>
      <c r="D173" s="122">
        <f>+G173-G172</f>
        <v>141.40667174999999</v>
      </c>
      <c r="E173" s="122">
        <v>521.64594124999996</v>
      </c>
      <c r="F173" s="119"/>
      <c r="G173" s="122">
        <v>465.73394124999999</v>
      </c>
      <c r="H173" s="119"/>
      <c r="I173" s="131">
        <v>123.1</v>
      </c>
      <c r="J173" s="119">
        <v>3</v>
      </c>
      <c r="K173" s="119"/>
      <c r="L173" s="128">
        <v>19290</v>
      </c>
      <c r="M173" s="127">
        <v>722.70000000000027</v>
      </c>
      <c r="N173" s="127">
        <f t="shared" si="7"/>
        <v>771.42794476035783</v>
      </c>
      <c r="O173" s="128">
        <v>12252</v>
      </c>
      <c r="P173" s="127">
        <v>1486.4999999999995</v>
      </c>
      <c r="Q173" s="127">
        <f t="shared" si="5"/>
        <v>1586.7270511779038</v>
      </c>
      <c r="R173" s="128">
        <v>11007</v>
      </c>
      <c r="S173" s="127">
        <v>186.29999999999995</v>
      </c>
      <c r="T173" s="127">
        <f t="shared" si="6"/>
        <v>198.86125101543456</v>
      </c>
      <c r="U173" s="119"/>
      <c r="V173" s="119"/>
      <c r="W173" s="119"/>
      <c r="X173" s="119"/>
      <c r="Y173" s="119"/>
      <c r="Z173" s="119"/>
      <c r="AA173" s="119"/>
      <c r="AB173" s="119"/>
      <c r="AC173" s="119"/>
      <c r="AD173" s="119"/>
      <c r="AE173" s="119"/>
      <c r="AF173" s="119"/>
      <c r="AG173" s="119"/>
    </row>
    <row r="174" spans="1:33">
      <c r="A174" s="122">
        <v>4</v>
      </c>
      <c r="B174" s="122"/>
      <c r="C174" s="130">
        <f>+E174-E173</f>
        <v>170.05706974999998</v>
      </c>
      <c r="D174" s="122">
        <f>+G174-G173</f>
        <v>152.54014889999991</v>
      </c>
      <c r="E174" s="122">
        <v>691.70301099999995</v>
      </c>
      <c r="F174" s="119"/>
      <c r="G174" s="122">
        <v>618.27409014999989</v>
      </c>
      <c r="H174" s="119"/>
      <c r="I174" s="127">
        <v>124.7</v>
      </c>
      <c r="J174" s="119">
        <v>4</v>
      </c>
      <c r="K174" s="119"/>
      <c r="L174" s="128">
        <v>16976</v>
      </c>
      <c r="M174" s="127">
        <v>703.10000000000014</v>
      </c>
      <c r="N174" s="127">
        <f t="shared" si="7"/>
        <v>740.87682437850867</v>
      </c>
      <c r="O174" s="128">
        <v>7247</v>
      </c>
      <c r="P174" s="127">
        <v>1160</v>
      </c>
      <c r="Q174" s="127">
        <f t="shared" si="5"/>
        <v>1222.325581395349</v>
      </c>
      <c r="R174" s="128">
        <v>10145</v>
      </c>
      <c r="S174" s="127">
        <v>269.60000000000014</v>
      </c>
      <c r="T174" s="127">
        <f t="shared" si="6"/>
        <v>284.08532477947091</v>
      </c>
      <c r="U174" s="119"/>
      <c r="V174" s="119"/>
      <c r="W174" s="119"/>
      <c r="X174" s="119"/>
      <c r="Y174" s="119"/>
      <c r="Z174" s="119"/>
      <c r="AA174" s="119"/>
      <c r="AB174" s="119"/>
      <c r="AC174" s="119"/>
      <c r="AD174" s="119"/>
      <c r="AE174" s="119"/>
      <c r="AF174" s="119"/>
      <c r="AG174" s="119"/>
    </row>
    <row r="175" spans="1:33">
      <c r="A175" s="122">
        <v>1</v>
      </c>
      <c r="B175" s="122">
        <v>2009</v>
      </c>
      <c r="C175" s="130">
        <f>+E175</f>
        <v>191.37959499999999</v>
      </c>
      <c r="D175" s="122">
        <f>+G175</f>
        <v>172.55938714999999</v>
      </c>
      <c r="E175" s="122">
        <v>191.37959499999999</v>
      </c>
      <c r="F175" s="119"/>
      <c r="G175" s="122">
        <v>172.55938714999999</v>
      </c>
      <c r="H175" s="119"/>
      <c r="I175" s="127">
        <v>125</v>
      </c>
      <c r="J175" s="119">
        <v>1</v>
      </c>
      <c r="K175" s="119">
        <v>2009</v>
      </c>
      <c r="L175" s="128">
        <v>18865</v>
      </c>
      <c r="M175" s="127">
        <v>739.59999999999991</v>
      </c>
      <c r="N175" s="127">
        <f t="shared" si="7"/>
        <v>777.46751999999992</v>
      </c>
      <c r="O175" s="128">
        <v>6194</v>
      </c>
      <c r="P175" s="127">
        <v>1049.9000000000001</v>
      </c>
      <c r="Q175" s="127">
        <f t="shared" si="5"/>
        <v>1103.65488</v>
      </c>
      <c r="R175" s="128">
        <v>8619</v>
      </c>
      <c r="S175" s="127">
        <v>213.2</v>
      </c>
      <c r="T175" s="127">
        <f t="shared" si="6"/>
        <v>224.11584000000002</v>
      </c>
      <c r="U175" s="119"/>
      <c r="V175" s="119"/>
      <c r="W175" s="119"/>
      <c r="X175" s="119"/>
      <c r="Y175" s="119"/>
      <c r="Z175" s="119"/>
      <c r="AA175" s="119"/>
      <c r="AB175" s="119"/>
      <c r="AC175" s="119"/>
      <c r="AD175" s="119"/>
      <c r="AE175" s="119"/>
      <c r="AF175" s="119"/>
      <c r="AG175" s="119"/>
    </row>
    <row r="176" spans="1:33">
      <c r="A176" s="122">
        <v>2</v>
      </c>
      <c r="B176" s="122"/>
      <c r="C176" s="130">
        <f>+E176-E175</f>
        <v>178.90604250000001</v>
      </c>
      <c r="D176" s="122">
        <f>+G176-G175</f>
        <v>160.765232725</v>
      </c>
      <c r="E176" s="122">
        <v>370.28563750000001</v>
      </c>
      <c r="F176" s="119"/>
      <c r="G176" s="122">
        <v>333.324619875</v>
      </c>
      <c r="H176" s="119"/>
      <c r="I176" s="127">
        <v>125.7</v>
      </c>
      <c r="J176" s="119">
        <v>2</v>
      </c>
      <c r="K176" s="119"/>
      <c r="L176" s="128">
        <v>14610</v>
      </c>
      <c r="M176" s="127">
        <v>603.80000000000018</v>
      </c>
      <c r="N176" s="127">
        <f t="shared" si="7"/>
        <v>631.17995226730329</v>
      </c>
      <c r="O176" s="128">
        <v>5486</v>
      </c>
      <c r="P176" s="127">
        <v>1077.9000000000001</v>
      </c>
      <c r="Q176" s="127">
        <f t="shared" si="5"/>
        <v>1126.7785202863963</v>
      </c>
      <c r="R176" s="128">
        <v>11296</v>
      </c>
      <c r="S176" s="127">
        <v>235.3</v>
      </c>
      <c r="T176" s="127">
        <f t="shared" si="6"/>
        <v>245.96992840095467</v>
      </c>
      <c r="U176" s="119"/>
      <c r="V176" s="119"/>
      <c r="W176" s="119"/>
      <c r="X176" s="119"/>
      <c r="Y176" s="119"/>
      <c r="Z176" s="119"/>
      <c r="AA176" s="119"/>
      <c r="AB176" s="119"/>
      <c r="AC176" s="119"/>
      <c r="AD176" s="119"/>
      <c r="AE176" s="119"/>
      <c r="AF176" s="119"/>
      <c r="AG176" s="119"/>
    </row>
    <row r="177" spans="1:33">
      <c r="A177" s="122">
        <v>3</v>
      </c>
      <c r="B177" s="122"/>
      <c r="C177" s="130">
        <f>+E177-E176</f>
        <v>160.23377500000004</v>
      </c>
      <c r="D177" s="122">
        <f>+G177-G176</f>
        <v>142.31202375000004</v>
      </c>
      <c r="E177" s="122">
        <v>530.51941250000004</v>
      </c>
      <c r="F177" s="119"/>
      <c r="G177" s="122">
        <v>475.63664362500003</v>
      </c>
      <c r="H177" s="119"/>
      <c r="I177" s="127">
        <v>125.4</v>
      </c>
      <c r="J177" s="119">
        <v>3</v>
      </c>
      <c r="K177" s="119"/>
      <c r="L177" s="128">
        <v>19220</v>
      </c>
      <c r="M177" s="127">
        <v>795.69999999999982</v>
      </c>
      <c r="N177" s="127">
        <f t="shared" si="7"/>
        <v>833.77177033492808</v>
      </c>
      <c r="O177" s="128">
        <v>13278</v>
      </c>
      <c r="P177" s="127">
        <v>1278.0999999999999</v>
      </c>
      <c r="Q177" s="127">
        <f t="shared" si="5"/>
        <v>1339.2531100478468</v>
      </c>
      <c r="R177" s="128">
        <v>11383</v>
      </c>
      <c r="S177" s="127">
        <v>231.79999999999995</v>
      </c>
      <c r="T177" s="127">
        <f t="shared" si="6"/>
        <v>242.89090909090902</v>
      </c>
      <c r="U177" s="119"/>
      <c r="V177" s="119"/>
      <c r="W177" s="119"/>
      <c r="X177" s="119"/>
      <c r="Y177" s="119"/>
      <c r="Z177" s="119"/>
      <c r="AA177" s="119"/>
      <c r="AB177" s="119"/>
      <c r="AC177" s="119"/>
      <c r="AD177" s="119"/>
      <c r="AE177" s="119"/>
      <c r="AF177" s="119"/>
      <c r="AG177" s="119"/>
    </row>
    <row r="178" spans="1:33">
      <c r="A178" s="122">
        <v>4</v>
      </c>
      <c r="B178" s="122"/>
      <c r="C178" s="130">
        <f>+E178-E177</f>
        <v>179.8571388695641</v>
      </c>
      <c r="D178" s="122">
        <f>+G178-G177</f>
        <v>163.53199924456408</v>
      </c>
      <c r="E178" s="122">
        <v>710.37655136956414</v>
      </c>
      <c r="F178" s="119"/>
      <c r="G178" s="122">
        <v>639.16864286956411</v>
      </c>
      <c r="H178" s="119"/>
      <c r="I178" s="127">
        <v>126.6</v>
      </c>
      <c r="J178" s="119">
        <v>4</v>
      </c>
      <c r="K178" s="119"/>
      <c r="L178" s="128">
        <v>16838</v>
      </c>
      <c r="M178" s="127">
        <v>759.30000000000018</v>
      </c>
      <c r="N178" s="127">
        <f t="shared" si="7"/>
        <v>788.08862559241732</v>
      </c>
      <c r="O178" s="128">
        <v>6227</v>
      </c>
      <c r="P178" s="127">
        <v>1192.2000000000003</v>
      </c>
      <c r="Q178" s="127">
        <f t="shared" si="5"/>
        <v>1237.4018957345977</v>
      </c>
      <c r="R178" s="128">
        <v>10409</v>
      </c>
      <c r="S178" s="127">
        <v>276.40000000000009</v>
      </c>
      <c r="T178" s="127">
        <f t="shared" si="6"/>
        <v>286.87962085308067</v>
      </c>
      <c r="U178" s="119"/>
      <c r="V178" s="119"/>
      <c r="W178" s="119"/>
      <c r="X178" s="119"/>
      <c r="Y178" s="119"/>
      <c r="Z178" s="119"/>
      <c r="AA178" s="119"/>
      <c r="AB178" s="119"/>
      <c r="AC178" s="119"/>
      <c r="AD178" s="119"/>
      <c r="AE178" s="119"/>
      <c r="AF178" s="119"/>
      <c r="AG178" s="119"/>
    </row>
    <row r="179" spans="1:33">
      <c r="A179" s="122">
        <v>1</v>
      </c>
      <c r="B179" s="122">
        <v>2010</v>
      </c>
      <c r="C179" s="130">
        <f>+E179</f>
        <v>204.63648875000001</v>
      </c>
      <c r="D179" s="122">
        <f>+G179</f>
        <v>186.506571025</v>
      </c>
      <c r="E179" s="122">
        <v>204.63648875000001</v>
      </c>
      <c r="F179" s="119"/>
      <c r="G179" s="122">
        <v>186.506571025</v>
      </c>
      <c r="H179" s="119"/>
      <c r="I179" s="127">
        <v>128.69999999999999</v>
      </c>
      <c r="J179" s="119">
        <v>1</v>
      </c>
      <c r="K179" s="119">
        <v>2010</v>
      </c>
      <c r="L179" s="128">
        <v>40484.70904761905</v>
      </c>
      <c r="M179" s="127">
        <v>1693.2251146266974</v>
      </c>
      <c r="N179" s="127">
        <f t="shared" si="7"/>
        <v>1728.7473198286561</v>
      </c>
      <c r="O179" s="128">
        <v>6690</v>
      </c>
      <c r="P179" s="127">
        <v>1648.5</v>
      </c>
      <c r="Q179" s="127">
        <f t="shared" si="5"/>
        <v>1683.0839160839164</v>
      </c>
      <c r="R179" s="128">
        <v>7227</v>
      </c>
      <c r="S179" s="127">
        <v>243.10000000000002</v>
      </c>
      <c r="T179" s="127">
        <f t="shared" si="6"/>
        <v>248.20000000000007</v>
      </c>
      <c r="U179" s="119"/>
      <c r="V179" s="119"/>
      <c r="W179" s="119"/>
      <c r="X179" s="119"/>
      <c r="Y179" s="119"/>
      <c r="Z179" s="119"/>
      <c r="AA179" s="119"/>
      <c r="AB179" s="119"/>
      <c r="AC179" s="119"/>
      <c r="AD179" s="119"/>
      <c r="AE179" s="119"/>
      <c r="AF179" s="119"/>
      <c r="AG179" s="119"/>
    </row>
    <row r="180" spans="1:33">
      <c r="A180" s="122">
        <v>2</v>
      </c>
      <c r="B180" s="122"/>
      <c r="C180" s="130">
        <f>+E180-E179</f>
        <v>188.95691625000001</v>
      </c>
      <c r="D180" s="122">
        <f>+G180-G179</f>
        <v>170.46253197500002</v>
      </c>
      <c r="E180" s="122">
        <v>393.59340500000002</v>
      </c>
      <c r="F180" s="119"/>
      <c r="G180" s="122">
        <v>356.96910300000002</v>
      </c>
      <c r="H180" s="119"/>
      <c r="I180" s="127">
        <v>128.9</v>
      </c>
      <c r="J180" s="119">
        <v>2</v>
      </c>
      <c r="K180" s="119"/>
      <c r="L180" s="128">
        <v>20633.79583333333</v>
      </c>
      <c r="M180" s="127">
        <v>864.97098885712671</v>
      </c>
      <c r="N180" s="127">
        <f t="shared" si="7"/>
        <v>881.74699717475914</v>
      </c>
      <c r="O180" s="128">
        <v>5716</v>
      </c>
      <c r="P180" s="127">
        <v>1381.6999999999998</v>
      </c>
      <c r="Q180" s="127">
        <f t="shared" si="5"/>
        <v>1408.4979053529867</v>
      </c>
      <c r="R180" s="128">
        <v>10696</v>
      </c>
      <c r="S180" s="127">
        <v>201.60000000000002</v>
      </c>
      <c r="T180" s="127">
        <f t="shared" si="6"/>
        <v>205.51000775795194</v>
      </c>
      <c r="U180" s="119"/>
      <c r="V180" s="119"/>
      <c r="W180" s="119"/>
      <c r="X180" s="119"/>
      <c r="Y180" s="119"/>
      <c r="Z180" s="119"/>
      <c r="AA180" s="119"/>
      <c r="AB180" s="119"/>
      <c r="AC180" s="119"/>
      <c r="AD180" s="119"/>
      <c r="AE180" s="119"/>
      <c r="AF180" s="119"/>
      <c r="AG180" s="119"/>
    </row>
    <row r="181" spans="1:33">
      <c r="A181" s="122">
        <v>3</v>
      </c>
      <c r="B181" s="122"/>
      <c r="C181" s="130">
        <f>+E181-E180</f>
        <v>172.07737875000004</v>
      </c>
      <c r="D181" s="122">
        <f>+G181-G180</f>
        <v>154.15607493749997</v>
      </c>
      <c r="E181" s="122">
        <v>565.67078375000006</v>
      </c>
      <c r="F181" s="119"/>
      <c r="G181" s="122">
        <v>511.12517793749998</v>
      </c>
      <c r="H181" s="119"/>
      <c r="I181" s="127">
        <v>127.8</v>
      </c>
      <c r="J181" s="119">
        <v>3</v>
      </c>
      <c r="K181" s="119"/>
      <c r="L181" s="128">
        <v>19149.335833333338</v>
      </c>
      <c r="M181" s="127">
        <v>861.71516601647909</v>
      </c>
      <c r="N181" s="127">
        <f t="shared" si="7"/>
        <v>885.98883266483074</v>
      </c>
      <c r="O181" s="128">
        <v>9089</v>
      </c>
      <c r="P181" s="127">
        <v>1286.1999999999998</v>
      </c>
      <c r="Q181" s="127">
        <f t="shared" si="5"/>
        <v>1322.430985915493</v>
      </c>
      <c r="R181" s="128">
        <v>11532</v>
      </c>
      <c r="S181" s="127">
        <v>200.69999999999993</v>
      </c>
      <c r="T181" s="127">
        <f t="shared" si="6"/>
        <v>206.35352112676051</v>
      </c>
      <c r="U181" s="119"/>
      <c r="V181" s="119"/>
      <c r="W181" s="119"/>
      <c r="X181" s="119"/>
      <c r="Y181" s="119"/>
      <c r="Z181" s="119"/>
      <c r="AA181" s="119"/>
      <c r="AB181" s="119"/>
      <c r="AC181" s="119"/>
      <c r="AD181" s="119"/>
      <c r="AE181" s="119"/>
      <c r="AF181" s="119"/>
      <c r="AG181" s="119"/>
    </row>
    <row r="182" spans="1:33">
      <c r="A182" s="122">
        <v>4</v>
      </c>
      <c r="B182" s="122"/>
      <c r="C182" s="130">
        <f>+E182-E181</f>
        <v>192.96143124999992</v>
      </c>
      <c r="D182" s="122">
        <f>+G182-G181</f>
        <v>174.39946771249993</v>
      </c>
      <c r="E182" s="122">
        <v>758.63221499999997</v>
      </c>
      <c r="F182" s="119"/>
      <c r="G182" s="122">
        <v>685.52464564999991</v>
      </c>
      <c r="H182" s="119"/>
      <c r="I182" s="127">
        <v>129</v>
      </c>
      <c r="J182" s="119">
        <v>4</v>
      </c>
      <c r="K182" s="119"/>
      <c r="L182" s="128">
        <v>22322.361666666664</v>
      </c>
      <c r="M182" s="127">
        <v>889.84894905372039</v>
      </c>
      <c r="N182" s="127">
        <f t="shared" ref="N182" si="8">M182/I182*$I$69</f>
        <v>906.4042783384408</v>
      </c>
      <c r="O182" s="128">
        <v>5858</v>
      </c>
      <c r="P182" s="127">
        <v>1310.8000000000011</v>
      </c>
      <c r="Q182" s="127">
        <f t="shared" si="5"/>
        <v>1335.1869767441872</v>
      </c>
      <c r="R182" s="128">
        <v>9548</v>
      </c>
      <c r="S182" s="127">
        <v>205</v>
      </c>
      <c r="T182" s="127">
        <f t="shared" si="6"/>
        <v>208.81395348837211</v>
      </c>
      <c r="U182" s="119"/>
      <c r="V182" s="119"/>
      <c r="W182" s="119"/>
      <c r="X182" s="119"/>
      <c r="Y182" s="119"/>
      <c r="Z182" s="119"/>
      <c r="AA182" s="119"/>
      <c r="AB182" s="119"/>
      <c r="AC182" s="119"/>
      <c r="AD182" s="119"/>
      <c r="AE182" s="119"/>
      <c r="AF182" s="119"/>
      <c r="AG182" s="119"/>
    </row>
    <row r="183" spans="1:33">
      <c r="A183" s="122">
        <v>1</v>
      </c>
      <c r="B183" s="122">
        <v>2011</v>
      </c>
      <c r="C183" s="130">
        <f>+E183</f>
        <v>204.00503875000001</v>
      </c>
      <c r="D183" s="122">
        <f>+G183</f>
        <v>184.8599929625</v>
      </c>
      <c r="E183" s="122">
        <v>204.00503875000001</v>
      </c>
      <c r="F183" s="119"/>
      <c r="G183" s="122">
        <v>184.8599929625</v>
      </c>
      <c r="H183" s="119"/>
      <c r="I183" s="127">
        <v>130.19999999999999</v>
      </c>
      <c r="J183" s="119">
        <v>1</v>
      </c>
      <c r="K183" s="119">
        <v>2011</v>
      </c>
      <c r="L183" s="128">
        <v>26141.662648809524</v>
      </c>
      <c r="M183" s="127">
        <v>1061.4209517567813</v>
      </c>
      <c r="N183" s="127">
        <f t="shared" ref="N183:N186" si="9">M183/I183*$I$69</f>
        <v>1071.2036333397932</v>
      </c>
      <c r="O183" s="128">
        <v>5959</v>
      </c>
      <c r="P183" s="127">
        <v>1698.7</v>
      </c>
      <c r="Q183" s="127">
        <f t="shared" si="5"/>
        <v>1714.3562211981568</v>
      </c>
      <c r="R183" s="128">
        <v>6732</v>
      </c>
      <c r="S183" s="127">
        <v>156.5</v>
      </c>
      <c r="T183" s="127">
        <f t="shared" si="6"/>
        <v>157.94239631336407</v>
      </c>
      <c r="U183" s="119"/>
      <c r="V183" s="119"/>
      <c r="W183" s="119"/>
      <c r="X183" s="119"/>
      <c r="Y183" s="119"/>
      <c r="Z183" s="119"/>
      <c r="AA183" s="119"/>
      <c r="AB183" s="119"/>
      <c r="AC183" s="119"/>
      <c r="AD183" s="119"/>
      <c r="AE183" s="119"/>
      <c r="AF183" s="119"/>
      <c r="AG183" s="119"/>
    </row>
    <row r="184" spans="1:33">
      <c r="A184" s="122">
        <v>2</v>
      </c>
      <c r="B184" s="122"/>
      <c r="C184" s="130">
        <f>+E184-E183</f>
        <v>188.74104374999999</v>
      </c>
      <c r="D184" s="122">
        <f>+G184-G183</f>
        <v>171.33320521249996</v>
      </c>
      <c r="E184" s="119">
        <v>392.7460825</v>
      </c>
      <c r="F184" s="119"/>
      <c r="G184" s="119">
        <v>356.19319817499996</v>
      </c>
      <c r="H184" s="119"/>
      <c r="I184" s="127">
        <v>131</v>
      </c>
      <c r="J184" s="119">
        <v>2</v>
      </c>
      <c r="K184" s="119"/>
      <c r="L184" s="136">
        <v>18851.951101190472</v>
      </c>
      <c r="M184" s="137">
        <v>776.58308820124375</v>
      </c>
      <c r="N184" s="127">
        <f t="shared" si="9"/>
        <v>778.95433427208729</v>
      </c>
      <c r="O184" s="128">
        <v>7524</v>
      </c>
      <c r="P184" s="127">
        <v>1533.4000000000003</v>
      </c>
      <c r="Q184" s="127">
        <f t="shared" si="5"/>
        <v>1538.0821374045804</v>
      </c>
      <c r="R184" s="128">
        <v>10017</v>
      </c>
      <c r="S184" s="127">
        <v>197.79999999999995</v>
      </c>
      <c r="T184" s="127">
        <f t="shared" si="6"/>
        <v>198.4039694656488</v>
      </c>
      <c r="U184" s="119"/>
      <c r="V184" s="119"/>
      <c r="W184" s="119"/>
      <c r="X184" s="119"/>
      <c r="Y184" s="119"/>
      <c r="Z184" s="119"/>
      <c r="AA184" s="119"/>
      <c r="AB184" s="119"/>
      <c r="AC184" s="119"/>
      <c r="AD184" s="119"/>
      <c r="AE184" s="119"/>
      <c r="AF184" s="119"/>
      <c r="AG184" s="119"/>
    </row>
    <row r="185" spans="1:33">
      <c r="A185" s="122">
        <v>3</v>
      </c>
      <c r="B185" s="119"/>
      <c r="C185" s="130">
        <f>+E185-E184</f>
        <v>169.93391749999995</v>
      </c>
      <c r="D185" s="122">
        <f>+G185-G184</f>
        <v>151.69380182500004</v>
      </c>
      <c r="E185" s="119">
        <v>562.67999999999995</v>
      </c>
      <c r="F185" s="119"/>
      <c r="G185" s="119">
        <v>507.887</v>
      </c>
      <c r="H185" s="119"/>
      <c r="I185" s="127">
        <v>129.4</v>
      </c>
      <c r="J185" s="119">
        <v>3</v>
      </c>
      <c r="K185" s="119"/>
      <c r="L185" s="136">
        <v>24107.386250000007</v>
      </c>
      <c r="M185" s="137">
        <v>914.64669811090494</v>
      </c>
      <c r="N185" s="127">
        <f t="shared" si="9"/>
        <v>928.78343223935781</v>
      </c>
      <c r="O185" s="128">
        <v>10171</v>
      </c>
      <c r="P185" s="127">
        <v>1285.3999999999996</v>
      </c>
      <c r="Q185" s="127">
        <f t="shared" si="5"/>
        <v>1305.2670788253474</v>
      </c>
      <c r="R185" s="128">
        <v>10339</v>
      </c>
      <c r="S185" s="127">
        <v>167.29999999999995</v>
      </c>
      <c r="T185" s="127">
        <f t="shared" si="6"/>
        <v>169.88578052550227</v>
      </c>
      <c r="U185" s="119"/>
      <c r="V185" s="119"/>
      <c r="W185" s="119"/>
      <c r="X185" s="119"/>
      <c r="Y185" s="119"/>
      <c r="Z185" s="119"/>
      <c r="AA185" s="119"/>
      <c r="AB185" s="119"/>
      <c r="AC185" s="119"/>
      <c r="AD185" s="119"/>
      <c r="AE185" s="119"/>
      <c r="AF185" s="119"/>
      <c r="AG185" s="119"/>
    </row>
    <row r="186" spans="1:33">
      <c r="A186" s="119">
        <v>4</v>
      </c>
      <c r="B186" s="119"/>
      <c r="C186" s="130">
        <f>+E186-E185</f>
        <v>202.17554500000006</v>
      </c>
      <c r="D186" s="122">
        <f>+G186-G185</f>
        <v>178.91908595000001</v>
      </c>
      <c r="E186" s="119">
        <v>764.85554500000001</v>
      </c>
      <c r="F186" s="119"/>
      <c r="G186" s="119">
        <v>686.80608595000001</v>
      </c>
      <c r="H186" s="119"/>
      <c r="I186" s="119">
        <v>130.5</v>
      </c>
      <c r="J186" s="119">
        <v>4</v>
      </c>
      <c r="K186" s="119"/>
      <c r="L186" s="136">
        <v>18022.572976190484</v>
      </c>
      <c r="M186" s="127">
        <v>777.38419736292576</v>
      </c>
      <c r="N186" s="127">
        <f t="shared" si="9"/>
        <v>782.74546768956668</v>
      </c>
      <c r="O186" s="136">
        <v>8775.7956028314002</v>
      </c>
      <c r="P186" s="127">
        <v>1286.8626975018997</v>
      </c>
      <c r="Q186" s="127">
        <f t="shared" si="5"/>
        <v>1295.7376126570853</v>
      </c>
      <c r="R186" s="136">
        <v>9645.4866500746648</v>
      </c>
      <c r="S186" s="127">
        <v>181.103452008619</v>
      </c>
      <c r="T186" s="127">
        <f t="shared" si="6"/>
        <v>182.3524413328164</v>
      </c>
      <c r="U186" s="119"/>
      <c r="V186" s="119"/>
      <c r="W186" s="119"/>
      <c r="X186" s="119"/>
      <c r="Y186" s="119"/>
      <c r="Z186" s="119"/>
      <c r="AA186" s="119"/>
      <c r="AB186" s="119"/>
      <c r="AC186" s="119"/>
      <c r="AD186" s="119"/>
      <c r="AE186" s="119"/>
      <c r="AF186" s="119"/>
      <c r="AG186" s="119"/>
    </row>
    <row r="187" spans="1:33">
      <c r="A187" s="119">
        <v>1</v>
      </c>
      <c r="B187" s="119">
        <v>2012</v>
      </c>
      <c r="C187" s="130">
        <f>+E187</f>
        <v>195.82938625</v>
      </c>
      <c r="D187" s="122">
        <f>+G187</f>
        <v>177.0717714875</v>
      </c>
      <c r="E187" s="119">
        <v>195.82938625</v>
      </c>
      <c r="F187" s="119"/>
      <c r="G187" s="119">
        <v>177.0717714875</v>
      </c>
      <c r="H187" s="119"/>
      <c r="I187" s="119">
        <v>131.69999999999999</v>
      </c>
      <c r="J187" s="119">
        <v>1</v>
      </c>
      <c r="K187" s="119">
        <v>2012</v>
      </c>
      <c r="L187" s="136">
        <v>18517.39324404762</v>
      </c>
      <c r="M187" s="127">
        <v>869.15461769403078</v>
      </c>
      <c r="N187" s="127">
        <f>M187/I187*$I$69</f>
        <v>867.17476662866864</v>
      </c>
      <c r="O187" s="128">
        <v>6822.44890070785</v>
      </c>
      <c r="P187" s="127">
        <v>1150.314057295883</v>
      </c>
      <c r="Q187" s="127">
        <f t="shared" si="5"/>
        <v>1147.6937519261887</v>
      </c>
      <c r="R187" s="128">
        <v>7564.3716625186662</v>
      </c>
      <c r="S187" s="127">
        <v>175.73767321176348</v>
      </c>
      <c r="T187" s="127">
        <f t="shared" si="6"/>
        <v>175.33735960535859</v>
      </c>
      <c r="U187" s="119"/>
      <c r="V187" s="119"/>
      <c r="W187" s="119"/>
      <c r="X187" s="119"/>
      <c r="Y187" s="119"/>
      <c r="Z187" s="119"/>
      <c r="AA187" s="119"/>
      <c r="AB187" s="119"/>
      <c r="AC187" s="119"/>
      <c r="AD187" s="119"/>
      <c r="AE187" s="119"/>
      <c r="AF187" s="119"/>
      <c r="AG187" s="119"/>
    </row>
    <row r="188" spans="1:33">
      <c r="A188" s="119">
        <v>2</v>
      </c>
      <c r="B188" s="119"/>
      <c r="C188" s="130">
        <f>+E188-E187</f>
        <v>182.75061374999999</v>
      </c>
      <c r="D188" s="122">
        <f>+G188-G187</f>
        <v>165.12822851249999</v>
      </c>
      <c r="E188" s="138">
        <v>378.58</v>
      </c>
      <c r="F188" s="119"/>
      <c r="G188" s="138">
        <v>342.2</v>
      </c>
      <c r="H188" s="119"/>
      <c r="I188" s="119">
        <v>131.69999999999999</v>
      </c>
      <c r="J188" s="119">
        <v>2</v>
      </c>
      <c r="K188" s="119"/>
      <c r="L188" s="136">
        <v>14087.60675595238</v>
      </c>
      <c r="M188" s="127">
        <v>635.43152402028181</v>
      </c>
      <c r="N188" s="127">
        <f>M188/I188*$I$69</f>
        <v>633.98407180155687</v>
      </c>
      <c r="O188" s="128">
        <v>4838.55109929215</v>
      </c>
      <c r="P188" s="127">
        <v>1037.7970664905204</v>
      </c>
      <c r="Q188" s="127">
        <f t="shared" si="5"/>
        <v>1035.4330640611572</v>
      </c>
      <c r="R188" s="128">
        <v>10002.628337481334</v>
      </c>
      <c r="S188" s="127">
        <v>184.20744441885319</v>
      </c>
      <c r="T188" s="127">
        <f t="shared" si="6"/>
        <v>183.78783748395833</v>
      </c>
      <c r="U188" s="119"/>
      <c r="V188" s="119"/>
      <c r="W188" s="119"/>
      <c r="X188" s="119"/>
      <c r="Y188" s="119"/>
      <c r="Z188" s="119"/>
      <c r="AA188" s="119"/>
      <c r="AB188" s="119"/>
      <c r="AC188" s="119"/>
      <c r="AD188" s="119"/>
      <c r="AE188" s="119"/>
      <c r="AF188" s="119"/>
      <c r="AG188" s="119"/>
    </row>
    <row r="189" spans="1:33">
      <c r="A189" s="122">
        <v>3</v>
      </c>
      <c r="B189" s="119"/>
      <c r="C189" s="130">
        <f>+E189-E188</f>
        <v>165.72960875000007</v>
      </c>
      <c r="D189" s="122">
        <f>+G189-G188</f>
        <v>148.24155396250001</v>
      </c>
      <c r="E189" s="119">
        <v>544.30960875000005</v>
      </c>
      <c r="F189" s="119"/>
      <c r="G189" s="119">
        <v>490.4415539625</v>
      </c>
      <c r="H189" s="119"/>
      <c r="I189" s="119">
        <v>130</v>
      </c>
      <c r="J189" s="119">
        <v>3</v>
      </c>
      <c r="K189" s="119"/>
      <c r="L189" s="139">
        <v>20999.460714285713</v>
      </c>
      <c r="M189" s="140">
        <v>864.77367174435972</v>
      </c>
      <c r="N189" s="127">
        <f>M189/I189*$I$69</f>
        <v>874.08661897852971</v>
      </c>
      <c r="O189" s="139">
        <v>6828.0536397386386</v>
      </c>
      <c r="P189" s="140">
        <v>1132.0609213635664</v>
      </c>
      <c r="Q189" s="127">
        <f t="shared" si="5"/>
        <v>1144.2523466705588</v>
      </c>
      <c r="R189" s="139">
        <v>10877.781177428844</v>
      </c>
      <c r="S189" s="140">
        <v>190.02859425457928</v>
      </c>
      <c r="T189" s="127">
        <f t="shared" si="6"/>
        <v>192.07505603885937</v>
      </c>
      <c r="U189" s="119"/>
      <c r="V189" s="119"/>
      <c r="W189" s="119"/>
      <c r="X189" s="119"/>
      <c r="Y189" s="119"/>
      <c r="Z189" s="119"/>
      <c r="AA189" s="119"/>
      <c r="AB189" s="119"/>
      <c r="AC189" s="119"/>
      <c r="AD189" s="119"/>
      <c r="AE189" s="119"/>
      <c r="AF189" s="119"/>
      <c r="AG189" s="119"/>
    </row>
    <row r="190" spans="1:33">
      <c r="A190" s="122">
        <v>4</v>
      </c>
      <c r="B190" s="119"/>
      <c r="C190" s="130">
        <f>+E190-E189</f>
        <v>166.80539124999996</v>
      </c>
      <c r="D190" s="122">
        <f>+G190-G189</f>
        <v>151.72844603749996</v>
      </c>
      <c r="E190" s="119">
        <v>711.11500000000001</v>
      </c>
      <c r="F190" s="119"/>
      <c r="G190" s="119">
        <v>642.16999999999996</v>
      </c>
      <c r="H190" s="119"/>
      <c r="I190" s="119">
        <v>132</v>
      </c>
      <c r="J190" s="119">
        <v>4</v>
      </c>
      <c r="K190" s="119"/>
      <c r="L190" s="139">
        <v>17946.539285714287</v>
      </c>
      <c r="M190" s="140">
        <v>826.79347775776318</v>
      </c>
      <c r="N190" s="127">
        <f>M190/I190*$I$69</f>
        <v>823.03532558613699</v>
      </c>
      <c r="O190" s="139">
        <v>5621.9463602613596</v>
      </c>
      <c r="P190" s="140">
        <v>1071.0118577206574</v>
      </c>
      <c r="Q190" s="127">
        <f t="shared" ref="Q190:Q191" si="10">P190/I190*$I$69</f>
        <v>1066.1436220037453</v>
      </c>
      <c r="R190" s="139">
        <v>8525.2188225711561</v>
      </c>
      <c r="S190" s="140">
        <v>190.41732478586363</v>
      </c>
      <c r="T190" s="127">
        <f t="shared" ref="T190:T191" si="11">S190/I190*$I$69</f>
        <v>189.55179149138243</v>
      </c>
      <c r="U190" s="119"/>
      <c r="V190" s="119"/>
      <c r="W190" s="119"/>
      <c r="X190" s="119"/>
      <c r="Y190" s="119"/>
      <c r="Z190" s="119"/>
      <c r="AA190" s="119"/>
      <c r="AB190" s="119"/>
      <c r="AC190" s="119"/>
      <c r="AD190" s="119"/>
      <c r="AE190" s="119"/>
      <c r="AF190" s="119"/>
      <c r="AG190" s="119"/>
    </row>
    <row r="191" spans="1:33">
      <c r="A191" s="119">
        <v>1</v>
      </c>
      <c r="B191" s="119">
        <v>2013</v>
      </c>
      <c r="C191" s="130">
        <f>+E191</f>
        <v>199.180995</v>
      </c>
      <c r="D191" s="122">
        <f>+G191</f>
        <v>183.65288545000001</v>
      </c>
      <c r="E191" s="119">
        <v>199.180995</v>
      </c>
      <c r="F191" s="119"/>
      <c r="G191" s="119">
        <v>183.65288545000001</v>
      </c>
      <c r="H191" s="119"/>
      <c r="I191" s="119">
        <v>133</v>
      </c>
      <c r="J191" s="119">
        <v>1</v>
      </c>
      <c r="K191" s="119">
        <v>2013</v>
      </c>
      <c r="L191" s="139">
        <v>21974.571815476189</v>
      </c>
      <c r="M191" s="140">
        <v>1023.0812127444322</v>
      </c>
      <c r="N191" s="127">
        <f>M191/I191*$I$69</f>
        <v>1010.7734688317172</v>
      </c>
      <c r="O191" s="139">
        <v>5520.4451678348678</v>
      </c>
      <c r="P191" s="140">
        <v>1148.1840804128565</v>
      </c>
      <c r="Q191" s="127">
        <f t="shared" si="10"/>
        <v>1134.3713395958598</v>
      </c>
      <c r="R191" s="139">
        <v>5958.3970505452735</v>
      </c>
      <c r="S191" s="140">
        <v>167.84779905693762</v>
      </c>
      <c r="T191" s="127">
        <f t="shared" si="11"/>
        <v>165.82857741414739</v>
      </c>
      <c r="U191" s="119"/>
      <c r="V191" s="119"/>
      <c r="W191" s="119"/>
      <c r="X191" s="119"/>
      <c r="Y191" s="119"/>
      <c r="Z191" s="119"/>
      <c r="AA191" s="119"/>
      <c r="AB191" s="119"/>
      <c r="AC191" s="119"/>
      <c r="AD191" s="119"/>
      <c r="AE191" s="119"/>
      <c r="AF191" s="119"/>
      <c r="AG191" s="119"/>
    </row>
    <row r="192" spans="1:33">
      <c r="A192" s="119"/>
      <c r="B192" s="119"/>
      <c r="C192" s="119"/>
      <c r="D192" s="119"/>
      <c r="E192" s="123" t="s">
        <v>129</v>
      </c>
      <c r="F192" s="119"/>
      <c r="G192" s="119"/>
      <c r="H192" s="119"/>
      <c r="I192" s="119"/>
      <c r="J192" s="141"/>
      <c r="K192" s="142" t="s">
        <v>186</v>
      </c>
      <c r="L192" s="143">
        <f>L193-L187-L188-L189</f>
        <v>27434.107805900596</v>
      </c>
      <c r="M192" s="144">
        <f>M193-M187-M188-M189</f>
        <v>1280.3273846333234</v>
      </c>
      <c r="N192" s="145" t="s">
        <v>203</v>
      </c>
      <c r="O192" s="143">
        <f>O193-O187-O188-O189</f>
        <v>4534.0859749681586</v>
      </c>
      <c r="P192" s="144">
        <f>P193-P187-P188-P189</f>
        <v>908.23834382536006</v>
      </c>
      <c r="Q192" s="145" t="s">
        <v>203</v>
      </c>
      <c r="R192" s="143">
        <f>R193-R187-R188-R189</f>
        <v>1990.040542884286</v>
      </c>
      <c r="S192" s="144">
        <f>S193-S187-S188-S189</f>
        <v>170.12577832279879</v>
      </c>
      <c r="T192" s="144" t="s">
        <v>203</v>
      </c>
      <c r="U192" s="119"/>
      <c r="V192" s="119"/>
      <c r="W192" s="119"/>
      <c r="X192" s="119"/>
      <c r="Y192" s="119"/>
      <c r="Z192" s="119"/>
      <c r="AA192" s="119"/>
      <c r="AB192" s="119"/>
      <c r="AC192" s="119"/>
      <c r="AD192" s="119"/>
      <c r="AE192" s="119"/>
      <c r="AF192" s="119"/>
      <c r="AG192" s="119"/>
    </row>
    <row r="193" spans="1:33">
      <c r="A193" s="119"/>
      <c r="B193" s="119"/>
      <c r="C193" s="119"/>
      <c r="D193" s="119"/>
      <c r="E193" s="138">
        <f>IF('Tab5'!E8="",'Tab5'!E7,'Tab5'!E8)/1000</f>
        <v>199.180995</v>
      </c>
      <c r="F193" s="119"/>
      <c r="G193" s="138">
        <f>IF('Tab5'!E10="",'Tab5'!E9,'Tab5'!E10)/1000</f>
        <v>183.65288545000001</v>
      </c>
      <c r="H193" s="119"/>
      <c r="I193" s="119"/>
      <c r="J193" s="119"/>
      <c r="K193" s="125" t="s">
        <v>217</v>
      </c>
      <c r="L193" s="128">
        <f>SUM('Tab7'!E11,'Tab11'!E11)</f>
        <v>81038.568520186309</v>
      </c>
      <c r="M193" s="127">
        <f>SUM('Tab7'!E39,'Tab11'!E39)</f>
        <v>3649.6871980919959</v>
      </c>
      <c r="N193" s="146" t="s">
        <v>202</v>
      </c>
      <c r="O193" s="128">
        <f>SUM('Tab7'!E9,'Tab11'!E9)</f>
        <v>23023.139614706797</v>
      </c>
      <c r="P193" s="127">
        <f>SUM('Tab7'!E37,'Tab11'!E37)</f>
        <v>4228.4103889753296</v>
      </c>
      <c r="Q193" s="146" t="s">
        <v>202</v>
      </c>
      <c r="R193" s="128">
        <f>SUM('Tab7'!E13,'Tab11'!E13)</f>
        <v>30434.821720313132</v>
      </c>
      <c r="S193" s="127">
        <f>SUM('Tab7'!E41,'Tab11'!E41)</f>
        <v>720.09949020799468</v>
      </c>
      <c r="T193" s="146" t="s">
        <v>202</v>
      </c>
      <c r="U193" s="119"/>
      <c r="V193" s="119"/>
      <c r="W193" s="119"/>
      <c r="X193" s="119"/>
      <c r="Y193" s="119"/>
      <c r="Z193" s="119"/>
      <c r="AA193" s="119"/>
      <c r="AB193" s="119"/>
      <c r="AC193" s="119"/>
      <c r="AD193" s="119"/>
      <c r="AE193" s="119"/>
      <c r="AF193" s="119"/>
      <c r="AG193" s="119"/>
    </row>
    <row r="194" spans="1:33">
      <c r="A194" s="119"/>
      <c r="B194" s="119"/>
      <c r="C194" s="119"/>
      <c r="D194" s="119"/>
      <c r="E194" s="119"/>
      <c r="F194" s="119"/>
      <c r="G194" s="119"/>
      <c r="H194" s="119"/>
      <c r="I194" s="119"/>
      <c r="J194" s="119"/>
      <c r="K194" s="125" t="s">
        <v>216</v>
      </c>
      <c r="L194" s="128">
        <f>SUM('Tab7'!E12,'Tab11'!E12)</f>
        <v>21974.571815476189</v>
      </c>
      <c r="M194" s="127">
        <f>SUM('Tab7'!E40,'Tab11'!E40)</f>
        <v>1023.0812127444322</v>
      </c>
      <c r="N194" s="146" t="s">
        <v>202</v>
      </c>
      <c r="O194" s="128">
        <f>SUM('Tab7'!E10,'Tab11'!E10)</f>
        <v>5520.4451678348678</v>
      </c>
      <c r="P194" s="127">
        <f>SUM('Tab7'!E38,'Tab11'!E38)</f>
        <v>1148.1840804128565</v>
      </c>
      <c r="Q194" s="146" t="s">
        <v>202</v>
      </c>
      <c r="R194" s="128">
        <f>SUM('Tab7'!E14,'Tab11'!E14)</f>
        <v>5958.3970505452735</v>
      </c>
      <c r="S194" s="127">
        <f>SUM('Tab7'!E42,'Tab11'!E42)</f>
        <v>167.84779905693762</v>
      </c>
      <c r="T194" s="146" t="s">
        <v>202</v>
      </c>
      <c r="U194" s="119"/>
      <c r="V194" s="119"/>
      <c r="W194" s="119"/>
      <c r="X194" s="119"/>
      <c r="Y194" s="119"/>
      <c r="Z194" s="119"/>
      <c r="AA194" s="119"/>
      <c r="AB194" s="119"/>
      <c r="AC194" s="119"/>
      <c r="AD194" s="119"/>
      <c r="AE194" s="119"/>
      <c r="AF194" s="119"/>
      <c r="AG194" s="119"/>
    </row>
    <row r="195" spans="1:33">
      <c r="A195" s="119"/>
      <c r="B195" s="119"/>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row>
    <row r="196" spans="1:33">
      <c r="A196" s="119"/>
      <c r="B196" s="11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row>
    <row r="197" spans="1:33">
      <c r="A197" s="119"/>
      <c r="B197" s="119"/>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row>
    <row r="198" spans="1:33">
      <c r="A198" s="119"/>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row>
    <row r="199" spans="1:33">
      <c r="A199" s="119"/>
      <c r="B199" s="11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c r="AG199" s="119"/>
    </row>
    <row r="200" spans="1:33">
      <c r="A200" s="119"/>
      <c r="B200" s="11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c r="AG200" s="119"/>
    </row>
    <row r="201" spans="1:33">
      <c r="A201" s="119"/>
      <c r="B201" s="11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c r="AG201" s="119"/>
    </row>
    <row r="202" spans="1:33">
      <c r="A202" s="119"/>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c r="AG202" s="119"/>
    </row>
    <row r="203" spans="1:33">
      <c r="A203" s="119"/>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c r="AG203" s="119"/>
    </row>
  </sheetData>
  <mergeCells count="6">
    <mergeCell ref="AD61:AD62"/>
    <mergeCell ref="AC61:AC62"/>
    <mergeCell ref="A4:A5"/>
    <mergeCell ref="A61:A62"/>
    <mergeCell ref="O61:O62"/>
    <mergeCell ref="P61:P62"/>
  </mergeCells>
  <phoneticPr fontId="0" type="noConversion"/>
  <hyperlinks>
    <hyperlink ref="A2" location="Innhold!A11"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166</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c r="A7" s="155" t="s">
        <v>2</v>
      </c>
      <c r="B7" s="19" t="s">
        <v>3</v>
      </c>
      <c r="C7" s="20">
        <v>1471717.3398779847</v>
      </c>
      <c r="D7" s="20">
        <v>1482594</v>
      </c>
      <c r="E7" s="83">
        <v>1763159.2487900874</v>
      </c>
      <c r="F7" s="22" t="s">
        <v>224</v>
      </c>
      <c r="G7" s="23">
        <v>19.802845357265753</v>
      </c>
      <c r="H7" s="24">
        <v>18.923943358066154</v>
      </c>
    </row>
    <row r="8" spans="1:8">
      <c r="A8" s="156"/>
      <c r="B8" s="25" t="s">
        <v>127</v>
      </c>
      <c r="C8" s="26">
        <v>358942.58507074247</v>
      </c>
      <c r="D8" s="26">
        <v>375813.58496949618</v>
      </c>
      <c r="E8" s="21">
        <v>441150.19520943228</v>
      </c>
      <c r="F8" s="27"/>
      <c r="G8" s="28">
        <v>22.902718584502281</v>
      </c>
      <c r="H8" s="29">
        <v>17.385377445905604</v>
      </c>
    </row>
    <row r="9" spans="1:8">
      <c r="A9" s="30" t="s">
        <v>4</v>
      </c>
      <c r="B9" s="31" t="s">
        <v>3</v>
      </c>
      <c r="C9" s="20">
        <v>695200.58140000002</v>
      </c>
      <c r="D9" s="20">
        <v>650088</v>
      </c>
      <c r="E9" s="39">
        <v>679369.25875202403</v>
      </c>
      <c r="F9" s="22" t="s">
        <v>224</v>
      </c>
      <c r="G9" s="32">
        <v>-2.2772309275252383</v>
      </c>
      <c r="H9" s="33">
        <v>4.5041992394912853</v>
      </c>
    </row>
    <row r="10" spans="1:8">
      <c r="A10" s="34"/>
      <c r="B10" s="25" t="s">
        <v>127</v>
      </c>
      <c r="C10" s="26">
        <v>185672.99804999999</v>
      </c>
      <c r="D10" s="26">
        <v>177922.39535000001</v>
      </c>
      <c r="E10" s="26">
        <v>184414.67540000001</v>
      </c>
      <c r="F10" s="27"/>
      <c r="G10" s="28">
        <v>-0.67770901704356845</v>
      </c>
      <c r="H10" s="29">
        <v>3.6489392115189929</v>
      </c>
    </row>
    <row r="11" spans="1:8">
      <c r="A11" s="30" t="s">
        <v>5</v>
      </c>
      <c r="B11" s="38" t="s">
        <v>3</v>
      </c>
      <c r="C11" s="39">
        <v>69654.963600000003</v>
      </c>
      <c r="D11" s="39">
        <v>61027</v>
      </c>
      <c r="E11" s="39">
        <v>52251.245838946772</v>
      </c>
      <c r="F11" s="40" t="s">
        <v>224</v>
      </c>
      <c r="G11" s="41">
        <v>-24.985610301938664</v>
      </c>
      <c r="H11" s="33">
        <v>-14.380117261299475</v>
      </c>
    </row>
    <row r="12" spans="1:8">
      <c r="A12" s="34"/>
      <c r="B12" s="25" t="s">
        <v>127</v>
      </c>
      <c r="C12" s="26">
        <v>18332.040699999998</v>
      </c>
      <c r="D12" s="26">
        <v>17906.990900000001</v>
      </c>
      <c r="E12" s="26">
        <v>14766.319600000001</v>
      </c>
      <c r="F12" s="27"/>
      <c r="G12" s="28">
        <v>-19.45075923816816</v>
      </c>
      <c r="H12" s="29">
        <v>-17.53879988848378</v>
      </c>
    </row>
    <row r="13" spans="1:8">
      <c r="A13" s="30" t="s">
        <v>6</v>
      </c>
      <c r="B13" s="31" t="s">
        <v>3</v>
      </c>
      <c r="C13" s="20">
        <v>263217.77142857143</v>
      </c>
      <c r="D13" s="20">
        <v>243389</v>
      </c>
      <c r="E13" s="21">
        <v>244423.22549796142</v>
      </c>
      <c r="F13" s="22" t="s">
        <v>224</v>
      </c>
      <c r="G13" s="23">
        <v>-7.1403028103329262</v>
      </c>
      <c r="H13" s="24">
        <v>0.4249269679243497</v>
      </c>
    </row>
    <row r="14" spans="1:8">
      <c r="A14" s="34"/>
      <c r="B14" s="35" t="s">
        <v>127</v>
      </c>
      <c r="C14" s="21">
        <v>56030.862857142856</v>
      </c>
      <c r="D14" s="21">
        <v>59852.942857142858</v>
      </c>
      <c r="E14" s="21">
        <v>57149.942857142858</v>
      </c>
      <c r="F14" s="36"/>
      <c r="G14" s="42">
        <v>1.9972564100132217</v>
      </c>
      <c r="H14" s="24">
        <v>-4.5160686692574501</v>
      </c>
    </row>
    <row r="15" spans="1:8">
      <c r="A15" s="30" t="s">
        <v>196</v>
      </c>
      <c r="B15" s="38" t="s">
        <v>3</v>
      </c>
      <c r="C15" s="39">
        <v>49158.046243842364</v>
      </c>
      <c r="D15" s="39">
        <v>38994</v>
      </c>
      <c r="E15" s="39">
        <v>37017.242572638621</v>
      </c>
      <c r="F15" s="40" t="s">
        <v>224</v>
      </c>
      <c r="G15" s="41">
        <v>-24.697490235842167</v>
      </c>
      <c r="H15" s="33">
        <v>-5.0693886940590289</v>
      </c>
    </row>
    <row r="16" spans="1:8">
      <c r="A16" s="34"/>
      <c r="B16" s="25" t="s">
        <v>127</v>
      </c>
      <c r="C16" s="26">
        <v>12853.480372536946</v>
      </c>
      <c r="D16" s="26">
        <v>11277.261560960591</v>
      </c>
      <c r="E16" s="26">
        <v>10340.010252463055</v>
      </c>
      <c r="F16" s="27"/>
      <c r="G16" s="28">
        <v>-19.554782418653176</v>
      </c>
      <c r="H16" s="29">
        <v>-8.3109831534110725</v>
      </c>
    </row>
    <row r="17" spans="1:8">
      <c r="A17" s="30" t="s">
        <v>7</v>
      </c>
      <c r="B17" s="31" t="s">
        <v>3</v>
      </c>
      <c r="C17" s="20">
        <v>8831.7474299107143</v>
      </c>
      <c r="D17" s="20">
        <v>8926</v>
      </c>
      <c r="E17" s="21">
        <v>8076.3120234504468</v>
      </c>
      <c r="F17" s="22" t="s">
        <v>224</v>
      </c>
      <c r="G17" s="23">
        <v>-8.5536346284294211</v>
      </c>
      <c r="H17" s="24">
        <v>-9.5192468804565635</v>
      </c>
    </row>
    <row r="18" spans="1:8">
      <c r="A18" s="30"/>
      <c r="B18" s="35" t="s">
        <v>127</v>
      </c>
      <c r="C18" s="21">
        <v>2942.4667950892858</v>
      </c>
      <c r="D18" s="21">
        <v>2584.1868574776786</v>
      </c>
      <c r="E18" s="21">
        <v>2444.9848950892856</v>
      </c>
      <c r="F18" s="36"/>
      <c r="G18" s="42">
        <v>-16.90696733877347</v>
      </c>
      <c r="H18" s="24">
        <v>-5.3866833191877816</v>
      </c>
    </row>
    <row r="19" spans="1:8">
      <c r="A19" s="43" t="s">
        <v>8</v>
      </c>
      <c r="B19" s="38" t="s">
        <v>3</v>
      </c>
      <c r="C19" s="39">
        <v>4563.4662578571424</v>
      </c>
      <c r="D19" s="39">
        <v>4526</v>
      </c>
      <c r="E19" s="39">
        <v>3856.6343853961025</v>
      </c>
      <c r="F19" s="40" t="s">
        <v>224</v>
      </c>
      <c r="G19" s="41">
        <v>-15.488925139833185</v>
      </c>
      <c r="H19" s="33">
        <v>-14.789341904637595</v>
      </c>
    </row>
    <row r="20" spans="1:8">
      <c r="A20" s="34"/>
      <c r="B20" s="25" t="s">
        <v>127</v>
      </c>
      <c r="C20" s="26">
        <v>1029.5905576785715</v>
      </c>
      <c r="D20" s="26">
        <v>1182.1165644642856</v>
      </c>
      <c r="E20" s="26">
        <v>957</v>
      </c>
      <c r="F20" s="27"/>
      <c r="G20" s="28">
        <v>-7.0504296234264388</v>
      </c>
      <c r="H20" s="29">
        <v>-19.043516623616924</v>
      </c>
    </row>
    <row r="21" spans="1:8">
      <c r="A21" s="43" t="s">
        <v>9</v>
      </c>
      <c r="B21" s="31" t="s">
        <v>3</v>
      </c>
      <c r="C21" s="20">
        <v>14876.982658662093</v>
      </c>
      <c r="D21" s="20">
        <v>16278</v>
      </c>
      <c r="E21" s="21">
        <v>15834.720208604989</v>
      </c>
      <c r="F21" s="22" t="s">
        <v>224</v>
      </c>
      <c r="G21" s="23">
        <v>6.4377136944853106</v>
      </c>
      <c r="H21" s="24">
        <v>-2.7231833849060649</v>
      </c>
    </row>
    <row r="22" spans="1:8">
      <c r="A22" s="34"/>
      <c r="B22" s="35" t="s">
        <v>127</v>
      </c>
      <c r="C22" s="21">
        <v>4588.0201801029161</v>
      </c>
      <c r="D22" s="21">
        <v>4489.7456646655228</v>
      </c>
      <c r="E22" s="21">
        <v>4526.8953644939966</v>
      </c>
      <c r="F22" s="36"/>
      <c r="G22" s="42">
        <v>-1.3322699815925461</v>
      </c>
      <c r="H22" s="24">
        <v>0.82743439390884532</v>
      </c>
    </row>
    <row r="23" spans="1:8">
      <c r="A23" s="30" t="s">
        <v>10</v>
      </c>
      <c r="B23" s="38" t="s">
        <v>3</v>
      </c>
      <c r="C23" s="39">
        <v>271585.66666666669</v>
      </c>
      <c r="D23" s="39">
        <v>299510</v>
      </c>
      <c r="E23" s="39">
        <v>303254.62613180245</v>
      </c>
      <c r="F23" s="40" t="s">
        <v>224</v>
      </c>
      <c r="G23" s="41">
        <v>11.660762459899971</v>
      </c>
      <c r="H23" s="33">
        <v>1.2502507868860562</v>
      </c>
    </row>
    <row r="24" spans="1:8">
      <c r="A24" s="30"/>
      <c r="B24" s="25" t="s">
        <v>127</v>
      </c>
      <c r="C24" s="26">
        <v>61217.965909090904</v>
      </c>
      <c r="D24" s="26">
        <v>64072.416666666664</v>
      </c>
      <c r="E24" s="26">
        <v>65994.352272727265</v>
      </c>
      <c r="F24" s="27"/>
      <c r="G24" s="28">
        <v>7.8022624448667983</v>
      </c>
      <c r="H24" s="29">
        <v>2.9996302715712631</v>
      </c>
    </row>
    <row r="25" spans="1:8">
      <c r="A25" s="43" t="s">
        <v>11</v>
      </c>
      <c r="B25" s="31" t="s">
        <v>3</v>
      </c>
      <c r="C25" s="20">
        <v>9746.9906759906753</v>
      </c>
      <c r="D25" s="20">
        <v>8915</v>
      </c>
      <c r="E25" s="21">
        <v>5694.0626057582958</v>
      </c>
      <c r="F25" s="22" t="s">
        <v>224</v>
      </c>
      <c r="G25" s="23">
        <v>-41.581327047083107</v>
      </c>
      <c r="H25" s="24">
        <v>-36.129415527108286</v>
      </c>
    </row>
    <row r="26" spans="1:8">
      <c r="A26" s="34"/>
      <c r="B26" s="35" t="s">
        <v>127</v>
      </c>
      <c r="C26" s="21">
        <v>1005.8554778554778</v>
      </c>
      <c r="D26" s="21">
        <v>1395.4976689976691</v>
      </c>
      <c r="E26" s="21">
        <v>760.32167832167829</v>
      </c>
      <c r="F26" s="36"/>
      <c r="G26" s="42">
        <v>-24.41044513246446</v>
      </c>
      <c r="H26" s="24">
        <v>-45.516091125556137</v>
      </c>
    </row>
    <row r="27" spans="1:8">
      <c r="A27" s="30" t="s">
        <v>12</v>
      </c>
      <c r="B27" s="38" t="s">
        <v>3</v>
      </c>
      <c r="C27" s="39">
        <v>7847.1235164835161</v>
      </c>
      <c r="D27" s="39">
        <v>6707</v>
      </c>
      <c r="E27" s="39">
        <v>5705.1395709227018</v>
      </c>
      <c r="F27" s="40" t="s">
        <v>224</v>
      </c>
      <c r="G27" s="41">
        <v>-27.296421944441235</v>
      </c>
      <c r="H27" s="33">
        <v>-14.93753435332188</v>
      </c>
    </row>
    <row r="28" spans="1:8">
      <c r="A28" s="30"/>
      <c r="B28" s="25" t="s">
        <v>127</v>
      </c>
      <c r="C28" s="26">
        <v>1857.0920879120879</v>
      </c>
      <c r="D28" s="26">
        <v>1751.780879120879</v>
      </c>
      <c r="E28" s="26">
        <v>1440.3474725274725</v>
      </c>
      <c r="F28" s="27"/>
      <c r="G28" s="28">
        <v>-22.440708142435611</v>
      </c>
      <c r="H28" s="29">
        <v>-17.778102861226429</v>
      </c>
    </row>
    <row r="29" spans="1:8">
      <c r="A29" s="43" t="s">
        <v>13</v>
      </c>
      <c r="B29" s="31" t="s">
        <v>3</v>
      </c>
      <c r="C29" s="20">
        <v>145</v>
      </c>
      <c r="D29" s="20">
        <v>110</v>
      </c>
      <c r="E29" s="21">
        <v>89.533333333333317</v>
      </c>
      <c r="F29" s="22" t="s">
        <v>224</v>
      </c>
      <c r="G29" s="23">
        <v>-38.252873563218401</v>
      </c>
      <c r="H29" s="24">
        <v>-18.606060606060623</v>
      </c>
    </row>
    <row r="30" spans="1:8">
      <c r="A30" s="34"/>
      <c r="B30" s="25" t="s">
        <v>127</v>
      </c>
      <c r="C30" s="26">
        <v>25</v>
      </c>
      <c r="D30" s="26">
        <v>22</v>
      </c>
      <c r="E30" s="26">
        <v>17</v>
      </c>
      <c r="F30" s="27"/>
      <c r="G30" s="28">
        <v>-32</v>
      </c>
      <c r="H30" s="29">
        <v>-22.727272727272734</v>
      </c>
    </row>
    <row r="31" spans="1:8">
      <c r="A31" s="30" t="s">
        <v>14</v>
      </c>
      <c r="B31" s="31" t="s">
        <v>3</v>
      </c>
      <c r="C31" s="44">
        <v>76889</v>
      </c>
      <c r="D31" s="44">
        <v>144124</v>
      </c>
      <c r="E31" s="21">
        <v>471531.22427063959</v>
      </c>
      <c r="F31" s="22" t="s">
        <v>224</v>
      </c>
      <c r="G31" s="23">
        <v>513.26226673599558</v>
      </c>
      <c r="H31" s="24">
        <v>227.17050891637729</v>
      </c>
    </row>
    <row r="32" spans="1:8" ht="13.5" thickBot="1">
      <c r="A32" s="45"/>
      <c r="B32" s="46" t="s">
        <v>127</v>
      </c>
      <c r="C32" s="47">
        <v>13387.212083333332</v>
      </c>
      <c r="D32" s="47">
        <v>33356.25</v>
      </c>
      <c r="E32" s="47">
        <v>98338.345416666663</v>
      </c>
      <c r="F32" s="48"/>
      <c r="G32" s="49">
        <v>634.56926509063737</v>
      </c>
      <c r="H32" s="50">
        <v>194.81235275747923</v>
      </c>
    </row>
    <row r="33" spans="1:8">
      <c r="A33" s="51"/>
      <c r="B33" s="52"/>
      <c r="C33" s="53"/>
      <c r="D33" s="53"/>
      <c r="E33" s="53"/>
      <c r="F33" s="53"/>
      <c r="G33" s="54"/>
      <c r="H33" s="55"/>
    </row>
    <row r="34" spans="1:8">
      <c r="A34" s="51"/>
      <c r="B34" s="52"/>
      <c r="C34" s="53"/>
      <c r="D34" s="53"/>
      <c r="E34" s="53"/>
      <c r="F34" s="53"/>
      <c r="G34" s="54"/>
      <c r="H34" s="55"/>
    </row>
    <row r="35" spans="1:8">
      <c r="A35" s="51"/>
      <c r="B35" s="52"/>
      <c r="C35" s="53"/>
      <c r="D35" s="53"/>
      <c r="E35" s="53"/>
      <c r="F35" s="53"/>
      <c r="G35" s="54"/>
      <c r="H35" s="55"/>
    </row>
    <row r="36" spans="1:8">
      <c r="A36" s="51"/>
      <c r="B36" s="52"/>
      <c r="C36" s="53"/>
      <c r="D36" s="53"/>
      <c r="E36" s="53"/>
      <c r="F36" s="53"/>
      <c r="G36" s="54"/>
      <c r="H36" s="55"/>
    </row>
    <row r="37" spans="1:8">
      <c r="A37" s="51"/>
      <c r="B37" s="52"/>
      <c r="C37" s="53"/>
      <c r="D37" s="53"/>
      <c r="E37" s="53"/>
      <c r="F37" s="53"/>
      <c r="G37" s="54"/>
      <c r="H37" s="55"/>
    </row>
    <row r="38" spans="1:8">
      <c r="A38" s="51"/>
      <c r="B38" s="52"/>
      <c r="C38" s="53"/>
      <c r="D38" s="53"/>
      <c r="E38" s="53"/>
      <c r="F38" s="53"/>
      <c r="G38" s="54"/>
      <c r="H38" s="55"/>
    </row>
    <row r="39" spans="1:8">
      <c r="A39" s="51"/>
      <c r="B39" s="52"/>
      <c r="C39" s="53"/>
      <c r="D39" s="53"/>
      <c r="E39" s="53"/>
      <c r="F39" s="53"/>
      <c r="G39" s="54"/>
      <c r="H39" s="55"/>
    </row>
    <row r="40" spans="1:8">
      <c r="A40" s="51"/>
      <c r="B40" s="52"/>
      <c r="C40" s="53"/>
      <c r="D40" s="53"/>
      <c r="E40" s="53"/>
      <c r="F40" s="53"/>
      <c r="G40" s="54"/>
      <c r="H40" s="55"/>
    </row>
    <row r="41" spans="1:8">
      <c r="A41" s="51"/>
      <c r="B41" s="52"/>
      <c r="C41" s="53"/>
      <c r="D41" s="53"/>
      <c r="E41" s="53"/>
      <c r="F41" s="53"/>
      <c r="G41" s="54"/>
      <c r="H41" s="55"/>
    </row>
    <row r="42" spans="1:8">
      <c r="A42" s="51"/>
      <c r="B42" s="52"/>
      <c r="C42" s="53"/>
      <c r="D42" s="53"/>
      <c r="E42" s="53"/>
      <c r="F42" s="53"/>
      <c r="G42" s="54"/>
      <c r="H42" s="55"/>
    </row>
    <row r="43" spans="1:8">
      <c r="A43" s="51"/>
      <c r="B43" s="52"/>
      <c r="C43" s="53"/>
      <c r="D43" s="53"/>
      <c r="E43" s="53"/>
      <c r="F43" s="53"/>
      <c r="G43" s="54"/>
      <c r="H43" s="55"/>
    </row>
    <row r="44" spans="1:8">
      <c r="A44" s="51"/>
      <c r="B44" s="52"/>
      <c r="C44" s="53"/>
      <c r="D44" s="53"/>
      <c r="E44" s="53"/>
      <c r="F44" s="53"/>
      <c r="G44" s="54"/>
      <c r="H44" s="55"/>
    </row>
    <row r="45" spans="1:8">
      <c r="A45" s="51"/>
      <c r="B45" s="52"/>
      <c r="C45" s="53"/>
      <c r="D45" s="53"/>
      <c r="E45" s="53"/>
      <c r="F45" s="53"/>
      <c r="G45" s="54"/>
      <c r="H45" s="55"/>
    </row>
    <row r="46" spans="1:8">
      <c r="A46" s="51"/>
      <c r="B46" s="52"/>
      <c r="C46" s="53"/>
      <c r="D46" s="53"/>
      <c r="E46" s="53"/>
      <c r="F46" s="53"/>
      <c r="G46" s="54"/>
      <c r="H46" s="55"/>
    </row>
    <row r="47" spans="1:8">
      <c r="A47" s="51"/>
      <c r="B47" s="52"/>
      <c r="C47" s="53"/>
      <c r="D47" s="53"/>
      <c r="E47" s="53"/>
      <c r="F47" s="53"/>
      <c r="G47" s="54"/>
      <c r="H47" s="55"/>
    </row>
    <row r="48" spans="1:8">
      <c r="A48" s="51"/>
      <c r="B48" s="52"/>
      <c r="C48" s="53"/>
      <c r="D48" s="53"/>
      <c r="E48" s="53"/>
      <c r="F48" s="53"/>
      <c r="G48" s="54"/>
      <c r="H48" s="55"/>
    </row>
    <row r="49" spans="1:8">
      <c r="A49" s="51"/>
      <c r="B49" s="52"/>
      <c r="C49" s="53"/>
      <c r="D49" s="53"/>
      <c r="E49" s="118"/>
      <c r="F49" s="53"/>
      <c r="G49" s="54"/>
      <c r="H49" s="55"/>
    </row>
    <row r="50" spans="1:8">
      <c r="A50" s="51"/>
      <c r="B50" s="52"/>
      <c r="C50" s="53"/>
      <c r="D50" s="53"/>
      <c r="E50" s="53"/>
      <c r="F50" s="53"/>
      <c r="G50" s="54"/>
      <c r="H50" s="55"/>
    </row>
    <row r="51" spans="1:8">
      <c r="A51" s="51"/>
      <c r="B51" s="52"/>
      <c r="C51" s="53"/>
      <c r="D51" s="53"/>
      <c r="E51" s="53"/>
      <c r="F51" s="53"/>
      <c r="G51" s="54"/>
      <c r="H51" s="55"/>
    </row>
    <row r="52" spans="1:8">
      <c r="A52" s="51"/>
      <c r="B52" s="52"/>
      <c r="C52" s="53"/>
      <c r="D52" s="53"/>
      <c r="E52" s="53"/>
      <c r="F52" s="53"/>
      <c r="G52" s="54"/>
      <c r="H52" s="55"/>
    </row>
    <row r="53" spans="1:8">
      <c r="A53" s="51"/>
      <c r="B53" s="52"/>
      <c r="C53" s="53"/>
      <c r="D53" s="53"/>
      <c r="E53" s="53"/>
      <c r="F53" s="53"/>
      <c r="G53" s="54"/>
      <c r="H53" s="55"/>
    </row>
    <row r="54" spans="1:8">
      <c r="A54" s="51"/>
      <c r="B54" s="52"/>
      <c r="C54" s="53"/>
      <c r="D54" s="53"/>
      <c r="E54" s="53"/>
      <c r="F54" s="53"/>
      <c r="G54" s="54"/>
      <c r="H54" s="55"/>
    </row>
    <row r="55" spans="1:8">
      <c r="A55" s="51"/>
      <c r="B55" s="52"/>
      <c r="C55" s="53"/>
      <c r="D55" s="53"/>
      <c r="E55" s="53"/>
      <c r="F55" s="53"/>
      <c r="G55" s="54"/>
      <c r="H55" s="55"/>
    </row>
    <row r="56" spans="1:8">
      <c r="A56" s="51"/>
      <c r="B56" s="52"/>
      <c r="C56" s="53"/>
      <c r="D56" s="53"/>
      <c r="E56" s="53"/>
      <c r="F56" s="53"/>
      <c r="G56" s="54"/>
      <c r="H56" s="55"/>
    </row>
    <row r="57" spans="1:8">
      <c r="A57" s="51"/>
      <c r="B57" s="52"/>
      <c r="C57" s="53"/>
      <c r="D57" s="53"/>
      <c r="E57" s="53"/>
      <c r="F57" s="53"/>
      <c r="G57" s="54"/>
      <c r="H57" s="55"/>
    </row>
    <row r="58" spans="1:8">
      <c r="A58" s="51"/>
      <c r="B58" s="52"/>
      <c r="C58" s="53"/>
      <c r="D58" s="53"/>
      <c r="E58" s="53"/>
      <c r="F58" s="53"/>
      <c r="G58" s="54"/>
      <c r="H58" s="55"/>
    </row>
    <row r="59" spans="1:8">
      <c r="A59" s="51"/>
      <c r="B59" s="52"/>
      <c r="C59" s="53"/>
      <c r="D59" s="53"/>
      <c r="E59" s="53"/>
      <c r="F59" s="53"/>
      <c r="G59" s="54"/>
      <c r="H59" s="55"/>
    </row>
    <row r="60" spans="1:8">
      <c r="A60" s="56"/>
      <c r="B60" s="56"/>
      <c r="C60" s="56"/>
      <c r="D60" s="56"/>
      <c r="E60" s="56"/>
      <c r="F60" s="56"/>
      <c r="G60" s="56"/>
      <c r="H60" s="56"/>
    </row>
    <row r="61" spans="1:8" ht="12.75" customHeight="1">
      <c r="A61" s="58" t="s">
        <v>225</v>
      </c>
      <c r="G61" s="57"/>
      <c r="H61" s="158">
        <v>9</v>
      </c>
    </row>
    <row r="62" spans="1:8" ht="12.75" customHeight="1">
      <c r="A62" s="58" t="s">
        <v>226</v>
      </c>
      <c r="G62" s="57"/>
      <c r="H62" s="149"/>
    </row>
    <row r="63" spans="1:8">
      <c r="H63" s="91" t="s">
        <v>227</v>
      </c>
    </row>
    <row r="64" spans="1:8">
      <c r="A64" s="157"/>
      <c r="H64" s="57"/>
    </row>
    <row r="65" spans="1:8">
      <c r="A65" s="157"/>
      <c r="H65" s="57"/>
    </row>
    <row r="67" spans="1:8" ht="12.75" customHeight="1"/>
    <row r="68" spans="1:8" ht="12.75" customHeight="1"/>
  </sheetData>
  <mergeCells count="4">
    <mergeCell ref="G5:H5"/>
    <mergeCell ref="A7:A8"/>
    <mergeCell ref="A64:A65"/>
    <mergeCell ref="H61:H62"/>
  </mergeCells>
  <phoneticPr fontId="0" type="noConversion"/>
  <hyperlinks>
    <hyperlink ref="A2" location="Innhold!A21"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15</v>
      </c>
      <c r="B4" s="5"/>
      <c r="C4" s="5"/>
      <c r="D4" s="5"/>
      <c r="E4" s="5"/>
      <c r="F4" s="5"/>
      <c r="G4" s="5"/>
      <c r="H4" s="6"/>
    </row>
    <row r="5" spans="1:8">
      <c r="A5" s="7"/>
      <c r="B5" s="8"/>
      <c r="C5" s="159" t="s">
        <v>16</v>
      </c>
      <c r="D5" s="153"/>
      <c r="E5" s="153"/>
      <c r="F5" s="160"/>
      <c r="G5" s="153" t="s">
        <v>1</v>
      </c>
      <c r="H5" s="154"/>
    </row>
    <row r="6" spans="1:8">
      <c r="A6" s="12"/>
      <c r="B6" s="13"/>
      <c r="C6" s="14">
        <v>2011</v>
      </c>
      <c r="D6" s="15">
        <v>2012</v>
      </c>
      <c r="E6" s="15">
        <v>2013</v>
      </c>
      <c r="F6" s="16"/>
      <c r="G6" s="17" t="s">
        <v>222</v>
      </c>
      <c r="H6" s="18" t="s">
        <v>223</v>
      </c>
    </row>
    <row r="7" spans="1:8">
      <c r="A7" s="155" t="s">
        <v>2</v>
      </c>
      <c r="B7" s="19" t="s">
        <v>3</v>
      </c>
      <c r="C7" s="84">
        <v>32184.097303893835</v>
      </c>
      <c r="D7" s="84">
        <v>31102.230901673025</v>
      </c>
      <c r="E7" s="85">
        <v>31700.571681502908</v>
      </c>
      <c r="F7" s="22" t="s">
        <v>224</v>
      </c>
      <c r="G7" s="23">
        <v>-1.5023743491243664</v>
      </c>
      <c r="H7" s="24">
        <v>1.9237873377041126</v>
      </c>
    </row>
    <row r="8" spans="1:8">
      <c r="A8" s="156"/>
      <c r="B8" s="25" t="s">
        <v>127</v>
      </c>
      <c r="C8" s="86">
        <v>8775.1562907646894</v>
      </c>
      <c r="D8" s="86">
        <v>8364.7919232834265</v>
      </c>
      <c r="E8" s="86">
        <v>8564.5581170691494</v>
      </c>
      <c r="F8" s="27"/>
      <c r="G8" s="28">
        <v>-2.3999364423535354</v>
      </c>
      <c r="H8" s="29">
        <v>2.3881788766277907</v>
      </c>
    </row>
    <row r="9" spans="1:8">
      <c r="A9" s="30" t="s">
        <v>4</v>
      </c>
      <c r="B9" s="31" t="s">
        <v>3</v>
      </c>
      <c r="C9" s="84">
        <v>9922.5396924779216</v>
      </c>
      <c r="D9" s="84">
        <v>10224.979813554552</v>
      </c>
      <c r="E9" s="87">
        <v>10409.549341216261</v>
      </c>
      <c r="F9" s="22" t="s">
        <v>224</v>
      </c>
      <c r="G9" s="32">
        <v>4.9081148963055625</v>
      </c>
      <c r="H9" s="33">
        <v>1.8050845187688225</v>
      </c>
    </row>
    <row r="10" spans="1:8">
      <c r="A10" s="34"/>
      <c r="B10" s="35" t="s">
        <v>127</v>
      </c>
      <c r="C10" s="87">
        <v>2855.3235682817781</v>
      </c>
      <c r="D10" s="87">
        <v>2919.6788156474909</v>
      </c>
      <c r="E10" s="87">
        <v>2980.0367314925365</v>
      </c>
      <c r="F10" s="36"/>
      <c r="G10" s="37">
        <v>4.3677418768271536</v>
      </c>
      <c r="H10" s="29">
        <v>2.067279302146801</v>
      </c>
    </row>
    <row r="11" spans="1:8">
      <c r="A11" s="30" t="s">
        <v>5</v>
      </c>
      <c r="B11" s="38" t="s">
        <v>3</v>
      </c>
      <c r="C11" s="88">
        <v>1909.3437810245077</v>
      </c>
      <c r="D11" s="88">
        <v>1807.833506384774</v>
      </c>
      <c r="E11" s="88">
        <v>1660.9724247428558</v>
      </c>
      <c r="F11" s="40" t="s">
        <v>224</v>
      </c>
      <c r="G11" s="41">
        <v>-13.008205161900278</v>
      </c>
      <c r="H11" s="33">
        <v>-8.1235955149213055</v>
      </c>
    </row>
    <row r="12" spans="1:8">
      <c r="A12" s="34"/>
      <c r="B12" s="25" t="s">
        <v>127</v>
      </c>
      <c r="C12" s="86">
        <v>515.42152870258542</v>
      </c>
      <c r="D12" s="86">
        <v>472.31630354382457</v>
      </c>
      <c r="E12" s="86">
        <v>438.65202627307792</v>
      </c>
      <c r="F12" s="27"/>
      <c r="G12" s="28">
        <v>-14.89450831104223</v>
      </c>
      <c r="H12" s="29">
        <v>-7.1274857586242604</v>
      </c>
    </row>
    <row r="13" spans="1:8">
      <c r="A13" s="30" t="s">
        <v>6</v>
      </c>
      <c r="B13" s="31" t="s">
        <v>3</v>
      </c>
      <c r="C13" s="84">
        <v>6670.83506606633</v>
      </c>
      <c r="D13" s="84">
        <v>5933.1488251145938</v>
      </c>
      <c r="E13" s="87">
        <v>6471.1380218795421</v>
      </c>
      <c r="F13" s="22" t="s">
        <v>224</v>
      </c>
      <c r="G13" s="23">
        <v>-2.9935838948053259</v>
      </c>
      <c r="H13" s="24">
        <v>9.0675156248850328</v>
      </c>
    </row>
    <row r="14" spans="1:8">
      <c r="A14" s="34"/>
      <c r="B14" s="35" t="s">
        <v>127</v>
      </c>
      <c r="C14" s="87">
        <v>1837.795880035093</v>
      </c>
      <c r="D14" s="87">
        <v>1641.1329101833539</v>
      </c>
      <c r="E14" s="87">
        <v>1787.5488480332388</v>
      </c>
      <c r="F14" s="36"/>
      <c r="G14" s="42">
        <v>-2.7340921017243005</v>
      </c>
      <c r="H14" s="24">
        <v>8.9216380307385776</v>
      </c>
    </row>
    <row r="15" spans="1:8">
      <c r="A15" s="30" t="s">
        <v>196</v>
      </c>
      <c r="B15" s="38" t="s">
        <v>3</v>
      </c>
      <c r="C15" s="88">
        <v>5773.1851242653265</v>
      </c>
      <c r="D15" s="88">
        <v>4591.2209991155569</v>
      </c>
      <c r="E15" s="88">
        <v>4511.9362549089856</v>
      </c>
      <c r="F15" s="40" t="s">
        <v>224</v>
      </c>
      <c r="G15" s="41">
        <v>-21.846672888682789</v>
      </c>
      <c r="H15" s="33">
        <v>-1.7268771035383423</v>
      </c>
    </row>
    <row r="16" spans="1:8">
      <c r="A16" s="34"/>
      <c r="B16" s="25" t="s">
        <v>127</v>
      </c>
      <c r="C16" s="86">
        <v>1679.793808602383</v>
      </c>
      <c r="D16" s="86">
        <v>1141.2049003762484</v>
      </c>
      <c r="E16" s="86">
        <v>1178.7579968222551</v>
      </c>
      <c r="F16" s="27"/>
      <c r="G16" s="28">
        <v>-29.827221008571186</v>
      </c>
      <c r="H16" s="29">
        <v>3.2906532765172756</v>
      </c>
    </row>
    <row r="17" spans="1:8">
      <c r="A17" s="30" t="s">
        <v>7</v>
      </c>
      <c r="B17" s="31" t="s">
        <v>3</v>
      </c>
      <c r="C17" s="88">
        <v>2295.1505355760769</v>
      </c>
      <c r="D17" s="88">
        <v>2320.4183533923633</v>
      </c>
      <c r="E17" s="88">
        <v>2605.1038765632547</v>
      </c>
      <c r="F17" s="40" t="s">
        <v>224</v>
      </c>
      <c r="G17" s="23">
        <v>13.504706387782988</v>
      </c>
      <c r="H17" s="24">
        <v>12.26871536999748</v>
      </c>
    </row>
    <row r="18" spans="1:8">
      <c r="A18" s="30"/>
      <c r="B18" s="35" t="s">
        <v>127</v>
      </c>
      <c r="C18" s="86">
        <v>617.82424198479623</v>
      </c>
      <c r="D18" s="86">
        <v>619.62139610450618</v>
      </c>
      <c r="E18" s="86">
        <v>697.50382103852712</v>
      </c>
      <c r="F18" s="27"/>
      <c r="G18" s="42">
        <v>12.896803595429589</v>
      </c>
      <c r="H18" s="24">
        <v>12.569356936939144</v>
      </c>
    </row>
    <row r="19" spans="1:8">
      <c r="A19" s="43" t="s">
        <v>8</v>
      </c>
      <c r="B19" s="38" t="s">
        <v>3</v>
      </c>
      <c r="C19" s="88">
        <v>1427.5564797563147</v>
      </c>
      <c r="D19" s="88">
        <v>1570.8861755238156</v>
      </c>
      <c r="E19" s="88">
        <v>1647.8345691786994</v>
      </c>
      <c r="F19" s="40" t="s">
        <v>224</v>
      </c>
      <c r="G19" s="41">
        <v>15.430429026526966</v>
      </c>
      <c r="H19" s="33">
        <v>4.8984066989592918</v>
      </c>
    </row>
    <row r="20" spans="1:8">
      <c r="A20" s="34"/>
      <c r="B20" s="25" t="s">
        <v>127</v>
      </c>
      <c r="C20" s="86">
        <v>356.23623342938049</v>
      </c>
      <c r="D20" s="86">
        <v>416.98003576595471</v>
      </c>
      <c r="E20" s="86">
        <v>428.3086866135688</v>
      </c>
      <c r="F20" s="27"/>
      <c r="G20" s="28">
        <v>20.231645863299235</v>
      </c>
      <c r="H20" s="29">
        <v>2.7168329118693464</v>
      </c>
    </row>
    <row r="21" spans="1:8">
      <c r="A21" s="43" t="s">
        <v>9</v>
      </c>
      <c r="B21" s="31" t="s">
        <v>3</v>
      </c>
      <c r="C21" s="84">
        <v>625.02091863863961</v>
      </c>
      <c r="D21" s="84">
        <v>613.82802342537798</v>
      </c>
      <c r="E21" s="87">
        <v>620.72391823403359</v>
      </c>
      <c r="F21" s="22" t="s">
        <v>224</v>
      </c>
      <c r="G21" s="23">
        <v>-0.68749705433305053</v>
      </c>
      <c r="H21" s="24">
        <v>1.1234245660818942</v>
      </c>
    </row>
    <row r="22" spans="1:8">
      <c r="A22" s="34"/>
      <c r="B22" s="35" t="s">
        <v>127</v>
      </c>
      <c r="C22" s="87">
        <v>162.14213150549935</v>
      </c>
      <c r="D22" s="87">
        <v>160.19006953521418</v>
      </c>
      <c r="E22" s="87">
        <v>161.66765046716696</v>
      </c>
      <c r="F22" s="36"/>
      <c r="G22" s="42">
        <v>-0.29263278700409501</v>
      </c>
      <c r="H22" s="24">
        <v>0.92239234069873532</v>
      </c>
    </row>
    <row r="23" spans="1:8">
      <c r="A23" s="30" t="s">
        <v>10</v>
      </c>
      <c r="B23" s="38" t="s">
        <v>3</v>
      </c>
      <c r="C23" s="88">
        <v>1522.1364975195495</v>
      </c>
      <c r="D23" s="88">
        <v>1684.9369804392695</v>
      </c>
      <c r="E23" s="88">
        <v>1690.8814468290263</v>
      </c>
      <c r="F23" s="40" t="s">
        <v>224</v>
      </c>
      <c r="G23" s="41">
        <v>11.08605894310142</v>
      </c>
      <c r="H23" s="33">
        <v>0.3528005176909943</v>
      </c>
    </row>
    <row r="24" spans="1:8">
      <c r="A24" s="30"/>
      <c r="B24" s="25" t="s">
        <v>127</v>
      </c>
      <c r="C24" s="86">
        <v>347.53323942363625</v>
      </c>
      <c r="D24" s="86">
        <v>433.66874899144364</v>
      </c>
      <c r="E24" s="86">
        <v>417.48621703025185</v>
      </c>
      <c r="F24" s="27"/>
      <c r="G24" s="28">
        <v>20.128427923219249</v>
      </c>
      <c r="H24" s="29">
        <v>-3.73154210415818</v>
      </c>
    </row>
    <row r="25" spans="1:8">
      <c r="A25" s="43" t="s">
        <v>11</v>
      </c>
      <c r="B25" s="31" t="s">
        <v>3</v>
      </c>
      <c r="C25" s="84">
        <v>443.46113981184629</v>
      </c>
      <c r="D25" s="84">
        <v>394.8041479268025</v>
      </c>
      <c r="E25" s="87">
        <v>302.16817824245402</v>
      </c>
      <c r="F25" s="22" t="s">
        <v>224</v>
      </c>
      <c r="G25" s="23">
        <v>-31.861407660058035</v>
      </c>
      <c r="H25" s="24">
        <v>-23.463778222898355</v>
      </c>
    </row>
    <row r="26" spans="1:8">
      <c r="A26" s="34"/>
      <c r="B26" s="35" t="s">
        <v>127</v>
      </c>
      <c r="C26" s="87">
        <v>42.528881402172203</v>
      </c>
      <c r="D26" s="87">
        <v>43.997332892470908</v>
      </c>
      <c r="E26" s="87">
        <v>31.948394489102466</v>
      </c>
      <c r="F26" s="36"/>
      <c r="G26" s="42">
        <v>-24.878356928826562</v>
      </c>
      <c r="H26" s="24">
        <v>-27.385610925134813</v>
      </c>
    </row>
    <row r="27" spans="1:8">
      <c r="A27" s="30" t="s">
        <v>12</v>
      </c>
      <c r="B27" s="38" t="s">
        <v>3</v>
      </c>
      <c r="C27" s="88">
        <v>780.3005322408444</v>
      </c>
      <c r="D27" s="88">
        <v>924.24003950207214</v>
      </c>
      <c r="E27" s="88">
        <v>920.5859624632742</v>
      </c>
      <c r="F27" s="40" t="s">
        <v>224</v>
      </c>
      <c r="G27" s="41">
        <v>17.978384535963613</v>
      </c>
      <c r="H27" s="33">
        <v>-0.39536017513009369</v>
      </c>
    </row>
    <row r="28" spans="1:8">
      <c r="A28" s="30"/>
      <c r="B28" s="25" t="s">
        <v>127</v>
      </c>
      <c r="C28" s="86">
        <v>177.62726986279887</v>
      </c>
      <c r="D28" s="86">
        <v>207.81839803160426</v>
      </c>
      <c r="E28" s="86">
        <v>207.84476701898808</v>
      </c>
      <c r="F28" s="27"/>
      <c r="G28" s="28">
        <v>17.011744412628488</v>
      </c>
      <c r="H28" s="29">
        <v>1.2688475916263542E-2</v>
      </c>
    </row>
    <row r="29" spans="1:8">
      <c r="A29" s="43" t="s">
        <v>13</v>
      </c>
      <c r="B29" s="31" t="s">
        <v>3</v>
      </c>
      <c r="C29" s="84">
        <v>109.48395761946921</v>
      </c>
      <c r="D29" s="84">
        <v>99.056529776607675</v>
      </c>
      <c r="E29" s="87">
        <v>105.86705227926529</v>
      </c>
      <c r="F29" s="22" t="s">
        <v>224</v>
      </c>
      <c r="G29" s="23">
        <v>-3.3035938952582455</v>
      </c>
      <c r="H29" s="24">
        <v>6.875389757764296</v>
      </c>
    </row>
    <row r="30" spans="1:8">
      <c r="A30" s="34"/>
      <c r="B30" s="25" t="s">
        <v>127</v>
      </c>
      <c r="C30" s="86">
        <v>24.37490860947257</v>
      </c>
      <c r="D30" s="86">
        <v>24.66118280746571</v>
      </c>
      <c r="E30" s="86">
        <v>25.357250488457183</v>
      </c>
      <c r="F30" s="27"/>
      <c r="G30" s="28">
        <v>4.0301356395767414</v>
      </c>
      <c r="H30" s="29">
        <v>2.8225235035391307</v>
      </c>
    </row>
    <row r="31" spans="1:8">
      <c r="A31" s="30" t="s">
        <v>14</v>
      </c>
      <c r="B31" s="31" t="s">
        <v>3</v>
      </c>
      <c r="C31" s="89">
        <v>705.08357889698732</v>
      </c>
      <c r="D31" s="89">
        <v>936.8775075172332</v>
      </c>
      <c r="E31" s="87">
        <v>771.86344387030931</v>
      </c>
      <c r="F31" s="22" t="s">
        <v>224</v>
      </c>
      <c r="G31" s="23">
        <v>9.4711984468267616</v>
      </c>
      <c r="H31" s="24">
        <v>-17.613195142683963</v>
      </c>
    </row>
    <row r="32" spans="1:8" ht="13.5" thickBot="1">
      <c r="A32" s="45"/>
      <c r="B32" s="46" t="s">
        <v>127</v>
      </c>
      <c r="C32" s="90">
        <v>158.55459892509373</v>
      </c>
      <c r="D32" s="90">
        <v>283.52182940384847</v>
      </c>
      <c r="E32" s="90">
        <v>209.44572730197467</v>
      </c>
      <c r="F32" s="48"/>
      <c r="G32" s="49">
        <v>32.09691092020833</v>
      </c>
      <c r="H32" s="50">
        <v>-26.127124764125227</v>
      </c>
    </row>
    <row r="33" spans="1:8">
      <c r="A33" s="51"/>
      <c r="B33" s="52"/>
      <c r="C33" s="53"/>
      <c r="D33" s="53"/>
      <c r="E33" s="53"/>
      <c r="F33" s="53"/>
      <c r="G33" s="54"/>
      <c r="H33" s="55"/>
    </row>
    <row r="34" spans="1:8">
      <c r="A34" s="51"/>
      <c r="B34" s="52"/>
      <c r="C34" s="53"/>
      <c r="D34" s="53"/>
      <c r="E34" s="53"/>
      <c r="F34" s="53"/>
      <c r="G34" s="54"/>
      <c r="H34" s="55"/>
    </row>
    <row r="35" spans="1:8">
      <c r="A35" s="51"/>
      <c r="B35" s="52"/>
      <c r="C35" s="53"/>
      <c r="D35" s="53"/>
      <c r="E35" s="53"/>
      <c r="F35" s="53"/>
      <c r="G35" s="54"/>
      <c r="H35" s="55"/>
    </row>
    <row r="36" spans="1:8">
      <c r="A36" s="51"/>
      <c r="B36" s="52"/>
      <c r="C36" s="53"/>
      <c r="D36" s="53"/>
      <c r="E36" s="53"/>
      <c r="F36" s="53"/>
      <c r="G36" s="54"/>
      <c r="H36" s="55"/>
    </row>
    <row r="37" spans="1:8">
      <c r="A37" s="51"/>
      <c r="B37" s="52"/>
      <c r="C37" s="53"/>
      <c r="D37" s="53"/>
      <c r="E37" s="53"/>
      <c r="F37" s="53"/>
      <c r="G37" s="54"/>
      <c r="H37" s="55"/>
    </row>
    <row r="38" spans="1:8">
      <c r="A38" s="51"/>
      <c r="B38" s="52"/>
      <c r="C38" s="53"/>
      <c r="D38" s="53"/>
      <c r="E38" s="53"/>
      <c r="F38" s="53"/>
      <c r="G38" s="54"/>
      <c r="H38" s="55"/>
    </row>
    <row r="39" spans="1:8">
      <c r="A39" s="51"/>
      <c r="B39" s="52"/>
      <c r="C39" s="53"/>
      <c r="D39" s="53"/>
      <c r="E39" s="53"/>
      <c r="F39" s="53"/>
      <c r="G39" s="54"/>
      <c r="H39" s="55"/>
    </row>
    <row r="40" spans="1:8">
      <c r="A40" s="51"/>
      <c r="B40" s="52"/>
      <c r="C40" s="53"/>
      <c r="D40" s="53"/>
      <c r="E40" s="53"/>
      <c r="F40" s="53"/>
      <c r="G40" s="54"/>
      <c r="H40" s="55"/>
    </row>
    <row r="41" spans="1:8">
      <c r="A41" s="51"/>
      <c r="B41" s="52"/>
      <c r="C41" s="53"/>
      <c r="D41" s="53"/>
      <c r="E41" s="53"/>
      <c r="F41" s="53"/>
      <c r="G41" s="54"/>
      <c r="H41" s="55"/>
    </row>
    <row r="42" spans="1:8">
      <c r="A42" s="51"/>
      <c r="B42" s="52"/>
      <c r="C42" s="53"/>
      <c r="D42" s="53"/>
      <c r="E42" s="53"/>
      <c r="F42" s="53"/>
      <c r="G42" s="54"/>
      <c r="H42" s="55"/>
    </row>
    <row r="43" spans="1:8">
      <c r="A43" s="51"/>
      <c r="B43" s="52"/>
      <c r="C43" s="53"/>
      <c r="D43" s="53"/>
      <c r="E43" s="53"/>
      <c r="F43" s="53"/>
      <c r="G43" s="54"/>
      <c r="H43" s="55"/>
    </row>
    <row r="44" spans="1:8">
      <c r="A44" s="51"/>
      <c r="B44" s="52"/>
      <c r="C44" s="53"/>
      <c r="D44" s="53"/>
      <c r="E44" s="53"/>
      <c r="F44" s="53"/>
      <c r="G44" s="54"/>
      <c r="H44" s="55"/>
    </row>
    <row r="45" spans="1:8">
      <c r="A45" s="51"/>
      <c r="B45" s="52"/>
      <c r="C45" s="53"/>
      <c r="D45" s="53"/>
      <c r="E45" s="53"/>
      <c r="F45" s="53"/>
      <c r="G45" s="54"/>
      <c r="H45" s="55"/>
    </row>
    <row r="46" spans="1:8">
      <c r="A46" s="51"/>
      <c r="B46" s="52"/>
      <c r="C46" s="53"/>
      <c r="D46" s="53"/>
      <c r="E46" s="53"/>
      <c r="F46" s="53"/>
      <c r="G46" s="54"/>
      <c r="H46" s="55"/>
    </row>
    <row r="47" spans="1:8">
      <c r="A47" s="51"/>
      <c r="B47" s="52"/>
      <c r="C47" s="53"/>
      <c r="D47" s="53"/>
      <c r="E47" s="53"/>
      <c r="F47" s="53"/>
      <c r="G47" s="54"/>
      <c r="H47" s="55"/>
    </row>
    <row r="48" spans="1:8">
      <c r="A48" s="51"/>
      <c r="B48" s="52"/>
      <c r="C48" s="53"/>
      <c r="D48" s="53"/>
      <c r="E48" s="53"/>
      <c r="F48" s="53"/>
      <c r="G48" s="54"/>
      <c r="H48" s="55"/>
    </row>
    <row r="49" spans="1:8">
      <c r="A49" s="51"/>
      <c r="B49" s="52"/>
      <c r="C49" s="53"/>
      <c r="D49" s="53"/>
      <c r="E49" s="118"/>
      <c r="F49" s="53"/>
      <c r="G49" s="54"/>
      <c r="H49" s="55"/>
    </row>
    <row r="50" spans="1:8">
      <c r="A50" s="51"/>
      <c r="B50" s="52"/>
      <c r="C50" s="53"/>
      <c r="D50" s="53"/>
      <c r="E50" s="53"/>
      <c r="F50" s="53"/>
      <c r="G50" s="54"/>
      <c r="H50" s="55"/>
    </row>
    <row r="51" spans="1:8">
      <c r="A51" s="51"/>
      <c r="B51" s="52"/>
      <c r="C51" s="53"/>
      <c r="D51" s="53"/>
      <c r="E51" s="53"/>
      <c r="F51" s="53"/>
      <c r="G51" s="54"/>
      <c r="H51" s="55"/>
    </row>
    <row r="52" spans="1:8">
      <c r="A52" s="51"/>
      <c r="B52" s="52"/>
      <c r="C52" s="53"/>
      <c r="D52" s="53"/>
      <c r="E52" s="53"/>
      <c r="F52" s="53"/>
      <c r="G52" s="54"/>
      <c r="H52" s="55"/>
    </row>
    <row r="53" spans="1:8">
      <c r="A53" s="51"/>
      <c r="B53" s="52"/>
      <c r="C53" s="53"/>
      <c r="D53" s="53"/>
      <c r="E53" s="53"/>
      <c r="F53" s="53"/>
      <c r="G53" s="54"/>
      <c r="H53" s="55"/>
    </row>
    <row r="54" spans="1:8">
      <c r="A54" s="51"/>
      <c r="B54" s="52"/>
      <c r="C54" s="53"/>
      <c r="D54" s="53"/>
      <c r="E54" s="53"/>
      <c r="F54" s="53"/>
      <c r="G54" s="54"/>
      <c r="H54" s="55"/>
    </row>
    <row r="55" spans="1:8">
      <c r="A55" s="51"/>
      <c r="B55" s="52"/>
      <c r="C55" s="53"/>
      <c r="D55" s="53"/>
      <c r="E55" s="53"/>
      <c r="F55" s="53"/>
      <c r="G55" s="54"/>
      <c r="H55" s="55"/>
    </row>
    <row r="56" spans="1:8">
      <c r="A56" s="51"/>
      <c r="B56" s="52"/>
      <c r="C56" s="53"/>
      <c r="D56" s="53"/>
      <c r="E56" s="53"/>
      <c r="F56" s="53"/>
      <c r="G56" s="54"/>
      <c r="H56" s="55"/>
    </row>
    <row r="57" spans="1:8">
      <c r="A57" s="51"/>
      <c r="B57" s="52"/>
      <c r="C57" s="53"/>
      <c r="D57" s="53"/>
      <c r="E57" s="53"/>
      <c r="F57" s="53"/>
      <c r="G57" s="54"/>
      <c r="H57" s="55"/>
    </row>
    <row r="58" spans="1:8">
      <c r="A58" s="51"/>
      <c r="B58" s="52"/>
      <c r="C58" s="53"/>
      <c r="D58" s="53"/>
      <c r="E58" s="53"/>
      <c r="F58" s="53"/>
      <c r="G58" s="54"/>
      <c r="H58" s="55"/>
    </row>
    <row r="59" spans="1:8">
      <c r="A59" s="51"/>
      <c r="B59" s="52"/>
      <c r="C59" s="53"/>
      <c r="D59" s="53"/>
      <c r="E59" s="53"/>
      <c r="F59" s="53"/>
      <c r="G59" s="54"/>
      <c r="H59" s="55"/>
    </row>
    <row r="60" spans="1:8">
      <c r="A60" s="56"/>
      <c r="B60" s="56"/>
      <c r="C60" s="56"/>
      <c r="D60" s="56"/>
      <c r="E60" s="56"/>
      <c r="F60" s="56"/>
      <c r="G60" s="56"/>
      <c r="H60" s="56"/>
    </row>
    <row r="61" spans="1:8" ht="12.75" customHeight="1">
      <c r="A61" s="150">
        <v>10</v>
      </c>
      <c r="H61" s="57" t="s">
        <v>225</v>
      </c>
    </row>
    <row r="62" spans="1:8" ht="12.75" customHeight="1">
      <c r="A62" s="151"/>
      <c r="H62" s="57" t="s">
        <v>226</v>
      </c>
    </row>
    <row r="67" ht="12.75" customHeight="1"/>
    <row r="68" ht="12.75" customHeight="1"/>
  </sheetData>
  <mergeCells count="4">
    <mergeCell ref="G5:H5"/>
    <mergeCell ref="A7:A8"/>
    <mergeCell ref="C5:F5"/>
    <mergeCell ref="A61:A62"/>
  </mergeCells>
  <phoneticPr fontId="0" type="noConversion"/>
  <hyperlinks>
    <hyperlink ref="A2" location="Innhold!A22"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167</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c r="A7" s="155" t="s">
        <v>28</v>
      </c>
      <c r="B7" s="19" t="s">
        <v>3</v>
      </c>
      <c r="C7" s="20">
        <v>764855.54500000004</v>
      </c>
      <c r="D7" s="20">
        <v>711115</v>
      </c>
      <c r="E7" s="21">
        <v>731113.54292397923</v>
      </c>
      <c r="F7" s="22" t="s">
        <v>224</v>
      </c>
      <c r="G7" s="23">
        <v>-4.4115522593251058</v>
      </c>
      <c r="H7" s="24">
        <v>2.8122797190298598</v>
      </c>
    </row>
    <row r="8" spans="1:8">
      <c r="A8" s="156"/>
      <c r="B8" s="25" t="s">
        <v>127</v>
      </c>
      <c r="C8" s="26">
        <v>204005.03875000001</v>
      </c>
      <c r="D8" s="26">
        <v>195829.38625000001</v>
      </c>
      <c r="E8" s="26">
        <v>199180.995</v>
      </c>
      <c r="F8" s="27"/>
      <c r="G8" s="28">
        <v>-2.3646689216885903</v>
      </c>
      <c r="H8" s="29">
        <v>1.7114942829475268</v>
      </c>
    </row>
    <row r="9" spans="1:8">
      <c r="A9" s="30" t="s">
        <v>30</v>
      </c>
      <c r="B9" s="31" t="s">
        <v>3</v>
      </c>
      <c r="C9" s="20">
        <v>686806.08594999998</v>
      </c>
      <c r="D9" s="20">
        <v>642170</v>
      </c>
      <c r="E9" s="21">
        <v>671465.19847701397</v>
      </c>
      <c r="F9" s="22" t="s">
        <v>224</v>
      </c>
      <c r="G9" s="32">
        <v>-2.233656309519489</v>
      </c>
      <c r="H9" s="33">
        <v>4.5619070459557349</v>
      </c>
    </row>
    <row r="10" spans="1:8">
      <c r="A10" s="34"/>
      <c r="B10" s="35" t="s">
        <v>127</v>
      </c>
      <c r="C10" s="21">
        <v>184859.99296249999</v>
      </c>
      <c r="D10" s="21">
        <v>177071.77148749999</v>
      </c>
      <c r="E10" s="21">
        <v>183652.88545</v>
      </c>
      <c r="F10" s="36"/>
      <c r="G10" s="37">
        <v>-0.65298472273816799</v>
      </c>
      <c r="H10" s="29">
        <v>3.7166364278253212</v>
      </c>
    </row>
    <row r="11" spans="1:8">
      <c r="A11" s="30" t="s">
        <v>31</v>
      </c>
      <c r="B11" s="38" t="s">
        <v>3</v>
      </c>
      <c r="C11" s="39">
        <v>37670.477249999996</v>
      </c>
      <c r="D11" s="39">
        <v>30282</v>
      </c>
      <c r="E11" s="39">
        <v>28181.370903894145</v>
      </c>
      <c r="F11" s="40" t="s">
        <v>224</v>
      </c>
      <c r="G11" s="41">
        <v>-25.189769386597973</v>
      </c>
      <c r="H11" s="33">
        <v>-6.9368902189612811</v>
      </c>
    </row>
    <row r="12" spans="1:8">
      <c r="A12" s="34"/>
      <c r="B12" s="25" t="s">
        <v>127</v>
      </c>
      <c r="C12" s="26">
        <v>10532.0254375</v>
      </c>
      <c r="D12" s="26">
        <v>9211.1193125000009</v>
      </c>
      <c r="E12" s="26">
        <v>8327.9497499999998</v>
      </c>
      <c r="F12" s="27"/>
      <c r="G12" s="28">
        <v>-20.927367680410626</v>
      </c>
      <c r="H12" s="29">
        <v>-9.5880808025305981</v>
      </c>
    </row>
    <row r="13" spans="1:8">
      <c r="A13" s="30" t="s">
        <v>29</v>
      </c>
      <c r="B13" s="31" t="s">
        <v>3</v>
      </c>
      <c r="C13" s="20">
        <v>8394.4954500000003</v>
      </c>
      <c r="D13" s="20">
        <v>7918</v>
      </c>
      <c r="E13" s="21">
        <v>7349.2904029771971</v>
      </c>
      <c r="F13" s="22" t="s">
        <v>224</v>
      </c>
      <c r="G13" s="23">
        <v>-12.451076461335191</v>
      </c>
      <c r="H13" s="24">
        <v>-7.1824904903107267</v>
      </c>
    </row>
    <row r="14" spans="1:8">
      <c r="A14" s="34"/>
      <c r="B14" s="35" t="s">
        <v>127</v>
      </c>
      <c r="C14" s="21">
        <v>813.00508749999995</v>
      </c>
      <c r="D14" s="21">
        <v>850.62386249999997</v>
      </c>
      <c r="E14" s="21">
        <v>761.78994999999998</v>
      </c>
      <c r="F14" s="36"/>
      <c r="G14" s="42">
        <v>-6.2994854875369981</v>
      </c>
      <c r="H14" s="24">
        <v>-10.443383546626052</v>
      </c>
    </row>
    <row r="15" spans="1:8">
      <c r="A15" s="30" t="s">
        <v>32</v>
      </c>
      <c r="B15" s="38" t="s">
        <v>3</v>
      </c>
      <c r="C15" s="39">
        <v>12492.990900000001</v>
      </c>
      <c r="D15" s="39">
        <v>10934</v>
      </c>
      <c r="E15" s="39">
        <v>10323.509144304153</v>
      </c>
      <c r="F15" s="40" t="s">
        <v>224</v>
      </c>
      <c r="G15" s="41">
        <v>-17.365591418911933</v>
      </c>
      <c r="H15" s="33">
        <v>-5.5834173742074853</v>
      </c>
    </row>
    <row r="16" spans="1:8">
      <c r="A16" s="34"/>
      <c r="B16" s="25" t="s">
        <v>127</v>
      </c>
      <c r="C16" s="26">
        <v>3660.0101749999999</v>
      </c>
      <c r="D16" s="26">
        <v>3112.2477250000002</v>
      </c>
      <c r="E16" s="26">
        <v>2966.5799000000002</v>
      </c>
      <c r="F16" s="27"/>
      <c r="G16" s="28">
        <v>-18.946129705773288</v>
      </c>
      <c r="H16" s="29">
        <v>-4.6804701254942671</v>
      </c>
    </row>
    <row r="17" spans="1:9">
      <c r="A17" s="30" t="s">
        <v>33</v>
      </c>
      <c r="B17" s="38" t="s">
        <v>3</v>
      </c>
      <c r="C17" s="39">
        <v>19491.495449999999</v>
      </c>
      <c r="D17" s="39">
        <v>19811</v>
      </c>
      <c r="E17" s="39">
        <v>13660.559852152577</v>
      </c>
      <c r="F17" s="40" t="s">
        <v>224</v>
      </c>
      <c r="G17" s="41">
        <v>-29.915280809546203</v>
      </c>
      <c r="H17" s="33">
        <v>-31.045581484263408</v>
      </c>
    </row>
    <row r="18" spans="1:9" ht="13.5" thickBot="1">
      <c r="A18" s="60"/>
      <c r="B18" s="46" t="s">
        <v>127</v>
      </c>
      <c r="C18" s="47">
        <v>4140.0050875000006</v>
      </c>
      <c r="D18" s="47">
        <v>5583.6238624999996</v>
      </c>
      <c r="E18" s="47">
        <v>3471.7899499999999</v>
      </c>
      <c r="F18" s="48"/>
      <c r="G18" s="61">
        <v>-16.140442424033637</v>
      </c>
      <c r="H18" s="50">
        <v>-37.821922903568428</v>
      </c>
    </row>
    <row r="19" spans="1:9">
      <c r="A19" s="62"/>
      <c r="B19" s="62"/>
      <c r="C19" s="21"/>
      <c r="D19" s="21"/>
      <c r="E19" s="21"/>
      <c r="F19" s="63"/>
      <c r="G19" s="42"/>
      <c r="H19" s="64"/>
      <c r="I19" s="65"/>
    </row>
    <row r="20" spans="1:9">
      <c r="A20" s="62"/>
      <c r="B20" s="66"/>
      <c r="C20" s="21"/>
      <c r="D20" s="21"/>
      <c r="E20" s="21"/>
      <c r="F20" s="67"/>
      <c r="G20" s="42"/>
      <c r="H20" s="64"/>
      <c r="I20" s="65"/>
    </row>
    <row r="21" spans="1:9">
      <c r="A21" s="62"/>
      <c r="B21" s="62"/>
      <c r="C21" s="21"/>
      <c r="D21" s="21"/>
      <c r="E21" s="21"/>
      <c r="F21" s="63"/>
      <c r="G21" s="42"/>
      <c r="H21" s="64"/>
      <c r="I21" s="65"/>
    </row>
    <row r="22" spans="1:9">
      <c r="A22" s="62"/>
      <c r="B22" s="66"/>
      <c r="C22" s="21"/>
      <c r="D22" s="21"/>
      <c r="E22" s="21"/>
      <c r="F22" s="67"/>
      <c r="G22" s="42"/>
      <c r="H22" s="64"/>
      <c r="I22" s="65"/>
    </row>
    <row r="23" spans="1:9">
      <c r="A23" s="62"/>
      <c r="B23" s="62"/>
      <c r="C23" s="21"/>
      <c r="D23" s="21"/>
      <c r="E23" s="21"/>
      <c r="F23" s="63"/>
      <c r="G23" s="42"/>
      <c r="H23" s="64"/>
      <c r="I23" s="65"/>
    </row>
    <row r="24" spans="1:9">
      <c r="A24" s="62"/>
      <c r="B24" s="66"/>
      <c r="C24" s="21"/>
      <c r="D24" s="21"/>
      <c r="E24" s="21"/>
      <c r="F24" s="67"/>
      <c r="G24" s="42"/>
      <c r="H24" s="64"/>
      <c r="I24" s="65"/>
    </row>
    <row r="25" spans="1:9">
      <c r="A25" s="62"/>
      <c r="B25" s="62"/>
      <c r="C25" s="21"/>
      <c r="D25" s="21"/>
      <c r="E25" s="21"/>
      <c r="F25" s="63"/>
      <c r="G25" s="42"/>
      <c r="H25" s="64"/>
      <c r="I25" s="65"/>
    </row>
    <row r="26" spans="1:9">
      <c r="A26" s="62"/>
      <c r="B26" s="66"/>
      <c r="C26" s="21"/>
      <c r="D26" s="21"/>
      <c r="E26" s="21"/>
      <c r="F26" s="67"/>
      <c r="G26" s="42"/>
      <c r="H26" s="64"/>
      <c r="I26" s="65"/>
    </row>
    <row r="27" spans="1:9">
      <c r="A27" s="62"/>
      <c r="B27" s="62"/>
      <c r="C27" s="21"/>
      <c r="D27" s="21"/>
      <c r="E27" s="21"/>
      <c r="F27" s="63"/>
      <c r="G27" s="42"/>
      <c r="H27" s="64"/>
      <c r="I27" s="65"/>
    </row>
    <row r="28" spans="1:9">
      <c r="A28" s="62"/>
      <c r="B28" s="66"/>
      <c r="C28" s="21"/>
      <c r="D28" s="21"/>
      <c r="E28" s="21"/>
      <c r="F28" s="67"/>
      <c r="G28" s="42"/>
      <c r="H28" s="64"/>
      <c r="I28" s="65"/>
    </row>
    <row r="29" spans="1:9">
      <c r="A29" s="62"/>
      <c r="B29" s="62"/>
      <c r="C29" s="68"/>
      <c r="D29" s="68"/>
      <c r="E29" s="21"/>
      <c r="F29" s="63"/>
      <c r="G29" s="42"/>
      <c r="H29" s="64"/>
      <c r="I29" s="65"/>
    </row>
    <row r="30" spans="1:9">
      <c r="A30" s="69"/>
      <c r="B30" s="66"/>
      <c r="C30" s="21"/>
      <c r="D30" s="21"/>
      <c r="E30" s="21"/>
      <c r="F30" s="67"/>
      <c r="G30" s="42"/>
      <c r="H30" s="64"/>
      <c r="I30" s="65"/>
    </row>
    <row r="31" spans="1:9">
      <c r="A31" s="51"/>
      <c r="B31" s="52"/>
      <c r="C31" s="53"/>
      <c r="D31" s="59"/>
      <c r="E31" s="53"/>
      <c r="F31" s="53"/>
      <c r="G31" s="54"/>
      <c r="H31" s="55"/>
      <c r="I31" s="65"/>
    </row>
    <row r="32" spans="1:9" ht="16.5" thickBot="1">
      <c r="A32" s="4" t="s">
        <v>34</v>
      </c>
      <c r="B32" s="5"/>
      <c r="C32" s="5"/>
      <c r="D32" s="5"/>
      <c r="E32" s="5"/>
      <c r="F32" s="5"/>
      <c r="G32" s="5"/>
      <c r="H32" s="6"/>
    </row>
    <row r="33" spans="1:9">
      <c r="A33" s="7"/>
      <c r="B33" s="8"/>
      <c r="C33" s="159" t="s">
        <v>16</v>
      </c>
      <c r="D33" s="153"/>
      <c r="E33" s="153"/>
      <c r="F33" s="160"/>
      <c r="G33" s="153" t="s">
        <v>1</v>
      </c>
      <c r="H33" s="154"/>
    </row>
    <row r="34" spans="1:9">
      <c r="A34" s="12"/>
      <c r="B34" s="13"/>
      <c r="C34" s="14">
        <v>2011</v>
      </c>
      <c r="D34" s="15">
        <v>2012</v>
      </c>
      <c r="E34" s="15">
        <v>2013</v>
      </c>
      <c r="F34" s="16"/>
      <c r="G34" s="17" t="s">
        <v>222</v>
      </c>
      <c r="H34" s="18" t="s">
        <v>223</v>
      </c>
    </row>
    <row r="35" spans="1:9" ht="12.75" customHeight="1">
      <c r="A35" s="155" t="s">
        <v>28</v>
      </c>
      <c r="B35" s="19" t="s">
        <v>3</v>
      </c>
      <c r="C35" s="84">
        <v>11831.883473502432</v>
      </c>
      <c r="D35" s="84">
        <v>12032.813319939323</v>
      </c>
      <c r="E35" s="87">
        <v>12085.062418519692</v>
      </c>
      <c r="F35" s="22" t="s">
        <v>224</v>
      </c>
      <c r="G35" s="23">
        <v>2.1398025562392888</v>
      </c>
      <c r="H35" s="24">
        <v>0.43422179993260102</v>
      </c>
    </row>
    <row r="36" spans="1:9" ht="12.75" customHeight="1">
      <c r="A36" s="156"/>
      <c r="B36" s="25" t="s">
        <v>127</v>
      </c>
      <c r="C36" s="86">
        <v>3370.745096984364</v>
      </c>
      <c r="D36" s="86">
        <v>3391.9951191913156</v>
      </c>
      <c r="E36" s="86">
        <v>3418.6887577656144</v>
      </c>
      <c r="F36" s="27"/>
      <c r="G36" s="28">
        <v>1.4223460808158848</v>
      </c>
      <c r="H36" s="29">
        <v>0.78695981675419091</v>
      </c>
    </row>
    <row r="37" spans="1:9">
      <c r="A37" s="30" t="s">
        <v>30</v>
      </c>
      <c r="B37" s="31" t="s">
        <v>3</v>
      </c>
      <c r="C37" s="84">
        <v>9675.0900412940791</v>
      </c>
      <c r="D37" s="84">
        <v>9966.4660662625229</v>
      </c>
      <c r="E37" s="87">
        <v>10148.869667616747</v>
      </c>
      <c r="F37" s="22" t="s">
        <v>224</v>
      </c>
      <c r="G37" s="32">
        <v>4.8969014686223886</v>
      </c>
      <c r="H37" s="33">
        <v>1.8301733045746289</v>
      </c>
    </row>
    <row r="38" spans="1:9">
      <c r="A38" s="34"/>
      <c r="B38" s="35" t="s">
        <v>127</v>
      </c>
      <c r="C38" s="87">
        <v>2819.1656388457486</v>
      </c>
      <c r="D38" s="87">
        <v>2881.4547031576708</v>
      </c>
      <c r="E38" s="87">
        <v>2941.826063296744</v>
      </c>
      <c r="F38" s="36"/>
      <c r="G38" s="37">
        <v>4.3509477684048505</v>
      </c>
      <c r="H38" s="29">
        <v>2.0951695014644685</v>
      </c>
    </row>
    <row r="39" spans="1:9">
      <c r="A39" s="30" t="s">
        <v>31</v>
      </c>
      <c r="B39" s="38" t="s">
        <v>3</v>
      </c>
      <c r="C39" s="88">
        <v>890.03864773087344</v>
      </c>
      <c r="D39" s="88">
        <v>928.47641463711216</v>
      </c>
      <c r="E39" s="88">
        <v>874.99531874565287</v>
      </c>
      <c r="F39" s="40" t="s">
        <v>224</v>
      </c>
      <c r="G39" s="41">
        <v>-1.6901882882920916</v>
      </c>
      <c r="H39" s="33">
        <v>-5.7600920226241783</v>
      </c>
    </row>
    <row r="40" spans="1:9">
      <c r="A40" s="34"/>
      <c r="B40" s="25" t="s">
        <v>127</v>
      </c>
      <c r="C40" s="86">
        <v>263.41569580690225</v>
      </c>
      <c r="D40" s="86">
        <v>255.63869342051794</v>
      </c>
      <c r="E40" s="86">
        <v>246.64404901669056</v>
      </c>
      <c r="F40" s="27"/>
      <c r="G40" s="28">
        <v>-6.3669883978767103</v>
      </c>
      <c r="H40" s="29">
        <v>-3.518498817012599</v>
      </c>
    </row>
    <row r="41" spans="1:9">
      <c r="A41" s="30" t="s">
        <v>29</v>
      </c>
      <c r="B41" s="31" t="s">
        <v>3</v>
      </c>
      <c r="C41" s="84">
        <v>247.44965118384283</v>
      </c>
      <c r="D41" s="84">
        <v>258.51374729202735</v>
      </c>
      <c r="E41" s="87">
        <v>259.4477918370979</v>
      </c>
      <c r="F41" s="22" t="s">
        <v>224</v>
      </c>
      <c r="G41" s="23">
        <v>4.8487199702460089</v>
      </c>
      <c r="H41" s="24">
        <v>0.36131329759241737</v>
      </c>
    </row>
    <row r="42" spans="1:9">
      <c r="A42" s="34"/>
      <c r="B42" s="35" t="s">
        <v>127</v>
      </c>
      <c r="C42" s="87">
        <v>36.157929436030379</v>
      </c>
      <c r="D42" s="87">
        <v>38.224112489819845</v>
      </c>
      <c r="E42" s="87">
        <v>38.210668195792259</v>
      </c>
      <c r="F42" s="36"/>
      <c r="G42" s="42">
        <v>5.6771468714587883</v>
      </c>
      <c r="H42" s="24">
        <v>-3.5172285638196854E-2</v>
      </c>
    </row>
    <row r="43" spans="1:9">
      <c r="A43" s="30" t="s">
        <v>32</v>
      </c>
      <c r="B43" s="38" t="s">
        <v>3</v>
      </c>
      <c r="C43" s="88">
        <v>478.78972026230372</v>
      </c>
      <c r="D43" s="88">
        <v>485.22651254704016</v>
      </c>
      <c r="E43" s="88">
        <v>471.79339550918053</v>
      </c>
      <c r="F43" s="40" t="s">
        <v>224</v>
      </c>
      <c r="G43" s="41">
        <v>-1.4612520814545178</v>
      </c>
      <c r="H43" s="33">
        <v>-2.7684218999796286</v>
      </c>
    </row>
    <row r="44" spans="1:9">
      <c r="A44" s="34"/>
      <c r="B44" s="25" t="s">
        <v>127</v>
      </c>
      <c r="C44" s="86">
        <v>117.98319562941158</v>
      </c>
      <c r="D44" s="86">
        <v>112.67519895224041</v>
      </c>
      <c r="E44" s="86">
        <v>111.7027321316932</v>
      </c>
      <c r="F44" s="27"/>
      <c r="G44" s="28">
        <v>-5.3231847672998214</v>
      </c>
      <c r="H44" s="29">
        <v>-0.86307087059984156</v>
      </c>
    </row>
    <row r="45" spans="1:9">
      <c r="A45" s="30" t="s">
        <v>33</v>
      </c>
      <c r="B45" s="38" t="s">
        <v>3</v>
      </c>
      <c r="C45" s="88">
        <v>540.51541303133081</v>
      </c>
      <c r="D45" s="88">
        <v>394.13057920062141</v>
      </c>
      <c r="E45" s="88">
        <v>310.84217778933214</v>
      </c>
      <c r="F45" s="40" t="s">
        <v>224</v>
      </c>
      <c r="G45" s="41">
        <v>-42.491523776156548</v>
      </c>
      <c r="H45" s="33">
        <v>-21.13218456183111</v>
      </c>
    </row>
    <row r="46" spans="1:9" ht="13.5" thickBot="1">
      <c r="A46" s="60"/>
      <c r="B46" s="46" t="s">
        <v>127</v>
      </c>
      <c r="C46" s="90">
        <v>134.02263726627157</v>
      </c>
      <c r="D46" s="90">
        <v>104.00241117106629</v>
      </c>
      <c r="E46" s="90">
        <v>80.305245124694181</v>
      </c>
      <c r="F46" s="48"/>
      <c r="G46" s="61">
        <v>-40.080835027036152</v>
      </c>
      <c r="H46" s="50">
        <v>-22.78520832309772</v>
      </c>
    </row>
    <row r="47" spans="1:9">
      <c r="A47" s="62"/>
      <c r="B47" s="62"/>
      <c r="C47" s="21"/>
      <c r="D47" s="21"/>
      <c r="E47" s="21"/>
      <c r="F47" s="63"/>
      <c r="G47" s="42"/>
      <c r="H47" s="64"/>
      <c r="I47" s="65"/>
    </row>
    <row r="48" spans="1:9">
      <c r="A48" s="62"/>
      <c r="B48" s="66"/>
      <c r="C48" s="21"/>
      <c r="D48" s="21"/>
      <c r="E48" s="21"/>
      <c r="F48" s="67"/>
      <c r="G48" s="42"/>
      <c r="H48" s="64"/>
      <c r="I48" s="65"/>
    </row>
    <row r="49" spans="1:9">
      <c r="A49" s="62"/>
      <c r="B49" s="62"/>
      <c r="C49" s="21"/>
      <c r="D49" s="21"/>
      <c r="E49" s="117"/>
      <c r="F49" s="63"/>
      <c r="G49" s="42"/>
      <c r="H49" s="64"/>
      <c r="I49" s="65"/>
    </row>
    <row r="50" spans="1:9">
      <c r="A50" s="62"/>
      <c r="B50" s="66"/>
      <c r="C50" s="21"/>
      <c r="D50" s="21"/>
      <c r="E50" s="21"/>
      <c r="F50" s="67"/>
      <c r="G50" s="42"/>
      <c r="H50" s="64"/>
      <c r="I50" s="65"/>
    </row>
    <row r="51" spans="1:9">
      <c r="A51" s="62"/>
      <c r="B51" s="62"/>
      <c r="C51" s="21"/>
      <c r="D51" s="21"/>
      <c r="E51" s="21"/>
      <c r="F51" s="63"/>
      <c r="G51" s="42"/>
      <c r="H51" s="64"/>
      <c r="I51" s="65"/>
    </row>
    <row r="52" spans="1:9">
      <c r="A52" s="62"/>
      <c r="B52" s="66"/>
      <c r="C52" s="21"/>
      <c r="D52" s="21"/>
      <c r="E52" s="21"/>
      <c r="F52" s="67"/>
      <c r="G52" s="42"/>
      <c r="H52" s="64"/>
      <c r="I52" s="65"/>
    </row>
    <row r="53" spans="1:9">
      <c r="A53" s="62"/>
      <c r="B53" s="62"/>
      <c r="C53" s="21"/>
      <c r="D53" s="21"/>
      <c r="E53" s="21"/>
      <c r="F53" s="63"/>
      <c r="G53" s="42"/>
      <c r="H53" s="64"/>
      <c r="I53" s="65"/>
    </row>
    <row r="54" spans="1:9">
      <c r="A54" s="62"/>
      <c r="B54" s="66"/>
      <c r="C54" s="21"/>
      <c r="D54" s="21"/>
      <c r="E54" s="21"/>
      <c r="F54" s="67"/>
      <c r="G54" s="42"/>
      <c r="H54" s="64"/>
      <c r="I54" s="65"/>
    </row>
    <row r="55" spans="1:9">
      <c r="A55" s="62"/>
      <c r="B55" s="62"/>
      <c r="C55" s="21"/>
      <c r="D55" s="21"/>
      <c r="E55" s="21"/>
      <c r="F55" s="63"/>
      <c r="G55" s="42"/>
      <c r="H55" s="64"/>
      <c r="I55" s="65"/>
    </row>
    <row r="56" spans="1:9">
      <c r="A56" s="62"/>
      <c r="B56" s="66"/>
      <c r="C56" s="21"/>
      <c r="D56" s="21"/>
      <c r="E56" s="21"/>
      <c r="F56" s="67"/>
      <c r="G56" s="42"/>
      <c r="H56" s="64"/>
      <c r="I56" s="65"/>
    </row>
    <row r="57" spans="1:9">
      <c r="A57" s="62"/>
      <c r="B57" s="62"/>
      <c r="C57" s="68"/>
      <c r="D57" s="68"/>
      <c r="E57" s="21"/>
      <c r="F57" s="63"/>
      <c r="G57" s="42"/>
      <c r="H57" s="64"/>
      <c r="I57" s="65"/>
    </row>
    <row r="58" spans="1:9">
      <c r="A58" s="62"/>
      <c r="B58" s="62"/>
      <c r="C58" s="68"/>
      <c r="D58" s="68"/>
      <c r="E58" s="21"/>
      <c r="F58" s="63"/>
      <c r="G58" s="42"/>
      <c r="H58" s="64"/>
      <c r="I58" s="65"/>
    </row>
    <row r="59" spans="1:9">
      <c r="A59" s="69"/>
      <c r="B59" s="66"/>
      <c r="C59" s="21"/>
      <c r="D59" s="21"/>
      <c r="E59" s="21"/>
      <c r="F59" s="67"/>
      <c r="G59" s="42"/>
      <c r="H59" s="64"/>
      <c r="I59" s="65"/>
    </row>
    <row r="60" spans="1:9">
      <c r="A60" s="56"/>
      <c r="B60" s="56"/>
      <c r="C60" s="56"/>
      <c r="D60" s="56"/>
      <c r="E60" s="56"/>
      <c r="F60" s="56"/>
      <c r="G60" s="56"/>
      <c r="H60" s="56"/>
    </row>
    <row r="61" spans="1:9" ht="12.75" customHeight="1">
      <c r="A61" s="58" t="s">
        <v>225</v>
      </c>
      <c r="G61" s="57"/>
      <c r="H61" s="158">
        <v>11</v>
      </c>
    </row>
    <row r="62" spans="1:9" ht="12.75" customHeight="1">
      <c r="A62" s="58" t="s">
        <v>226</v>
      </c>
      <c r="G62" s="57"/>
      <c r="H62" s="149"/>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4"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168</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ht="12.75" customHeight="1">
      <c r="A7" s="155" t="s">
        <v>28</v>
      </c>
      <c r="B7" s="19" t="s">
        <v>3</v>
      </c>
      <c r="C7" s="20">
        <v>764855.54500000004</v>
      </c>
      <c r="D7" s="20">
        <v>711115</v>
      </c>
      <c r="E7" s="21">
        <v>731113.54292397923</v>
      </c>
      <c r="F7" s="22" t="s">
        <v>224</v>
      </c>
      <c r="G7" s="23">
        <v>-4.4115522593251058</v>
      </c>
      <c r="H7" s="24">
        <v>2.8122797190298598</v>
      </c>
    </row>
    <row r="8" spans="1:8" ht="12.75" customHeight="1">
      <c r="A8" s="156"/>
      <c r="B8" s="25" t="s">
        <v>127</v>
      </c>
      <c r="C8" s="26">
        <v>204005.03875000001</v>
      </c>
      <c r="D8" s="26">
        <v>195829.38625000001</v>
      </c>
      <c r="E8" s="26">
        <v>199180.995</v>
      </c>
      <c r="F8" s="27"/>
      <c r="G8" s="28">
        <v>-2.3646689216885903</v>
      </c>
      <c r="H8" s="29">
        <v>1.7114942829475268</v>
      </c>
    </row>
    <row r="9" spans="1:8">
      <c r="A9" s="30" t="s">
        <v>36</v>
      </c>
      <c r="B9" s="31" t="s">
        <v>3</v>
      </c>
      <c r="C9" s="20">
        <v>11406.390293333334</v>
      </c>
      <c r="D9" s="20">
        <v>10918</v>
      </c>
      <c r="E9" s="21">
        <v>9990.1717447898736</v>
      </c>
      <c r="F9" s="22" t="s">
        <v>224</v>
      </c>
      <c r="G9" s="32">
        <v>-12.416009904300694</v>
      </c>
      <c r="H9" s="33">
        <v>-8.4981521818110082</v>
      </c>
    </row>
    <row r="10" spans="1:8">
      <c r="A10" s="34"/>
      <c r="B10" s="35" t="s">
        <v>127</v>
      </c>
      <c r="C10" s="21">
        <v>3170.2108533333335</v>
      </c>
      <c r="D10" s="21">
        <v>3223.5975733333335</v>
      </c>
      <c r="E10" s="21">
        <v>2889.6185599999999</v>
      </c>
      <c r="F10" s="36"/>
      <c r="G10" s="37">
        <v>-8.8509031832473681</v>
      </c>
      <c r="H10" s="29">
        <v>-10.360443750675287</v>
      </c>
    </row>
    <row r="11" spans="1:8">
      <c r="A11" s="30" t="s">
        <v>37</v>
      </c>
      <c r="B11" s="38" t="s">
        <v>3</v>
      </c>
      <c r="C11" s="39">
        <v>3921.336875471698</v>
      </c>
      <c r="D11" s="39">
        <v>3927</v>
      </c>
      <c r="E11" s="39">
        <v>3982.7536718941733</v>
      </c>
      <c r="F11" s="40" t="s">
        <v>224</v>
      </c>
      <c r="G11" s="41">
        <v>1.5662208673435458</v>
      </c>
      <c r="H11" s="33">
        <v>1.4197522763986115</v>
      </c>
    </row>
    <row r="12" spans="1:8">
      <c r="A12" s="34"/>
      <c r="B12" s="25" t="s">
        <v>127</v>
      </c>
      <c r="C12" s="26">
        <v>1054.6068452830189</v>
      </c>
      <c r="D12" s="26">
        <v>1106.5842188679246</v>
      </c>
      <c r="E12" s="26">
        <v>1104.7033660377358</v>
      </c>
      <c r="F12" s="27"/>
      <c r="G12" s="28">
        <v>4.7502556027192213</v>
      </c>
      <c r="H12" s="29">
        <v>-0.16996924392370261</v>
      </c>
    </row>
    <row r="13" spans="1:8">
      <c r="A13" s="30" t="s">
        <v>38</v>
      </c>
      <c r="B13" s="31" t="s">
        <v>3</v>
      </c>
      <c r="C13" s="20">
        <v>162160.10196923077</v>
      </c>
      <c r="D13" s="20">
        <v>145857</v>
      </c>
      <c r="E13" s="21">
        <v>150225.20481170309</v>
      </c>
      <c r="F13" s="22" t="s">
        <v>224</v>
      </c>
      <c r="G13" s="23">
        <v>-7.359946751755416</v>
      </c>
      <c r="H13" s="24">
        <v>2.9948544202219125</v>
      </c>
    </row>
    <row r="14" spans="1:8">
      <c r="A14" s="34"/>
      <c r="B14" s="35" t="s">
        <v>127</v>
      </c>
      <c r="C14" s="21">
        <v>49439.759399999995</v>
      </c>
      <c r="D14" s="21">
        <v>40347.275492307694</v>
      </c>
      <c r="E14" s="21">
        <v>42880.515507692311</v>
      </c>
      <c r="F14" s="36"/>
      <c r="G14" s="42">
        <v>-13.267143634820528</v>
      </c>
      <c r="H14" s="24">
        <v>6.278590027392525</v>
      </c>
    </row>
    <row r="15" spans="1:8">
      <c r="A15" s="30" t="s">
        <v>18</v>
      </c>
      <c r="B15" s="38" t="s">
        <v>3</v>
      </c>
      <c r="C15" s="39">
        <v>3889.7170879999999</v>
      </c>
      <c r="D15" s="39">
        <v>3192</v>
      </c>
      <c r="E15" s="39">
        <v>3701.3279953221809</v>
      </c>
      <c r="F15" s="40" t="s">
        <v>224</v>
      </c>
      <c r="G15" s="41">
        <v>-4.8432595074590381</v>
      </c>
      <c r="H15" s="33">
        <v>15.956390830895401</v>
      </c>
    </row>
    <row r="16" spans="1:8">
      <c r="A16" s="34"/>
      <c r="B16" s="25" t="s">
        <v>127</v>
      </c>
      <c r="C16" s="26">
        <v>858.56325599999991</v>
      </c>
      <c r="D16" s="26">
        <v>817.67927199999997</v>
      </c>
      <c r="E16" s="26">
        <v>899.98556800000006</v>
      </c>
      <c r="F16" s="27"/>
      <c r="G16" s="28">
        <v>4.8246080542724883</v>
      </c>
      <c r="H16" s="29">
        <v>10.065841072219357</v>
      </c>
    </row>
    <row r="17" spans="1:9">
      <c r="A17" s="30" t="s">
        <v>39</v>
      </c>
      <c r="B17" s="38" t="s">
        <v>3</v>
      </c>
      <c r="C17" s="39">
        <v>6556.7927200000004</v>
      </c>
      <c r="D17" s="39">
        <v>5687</v>
      </c>
      <c r="E17" s="39">
        <v>4518.5285980170647</v>
      </c>
      <c r="F17" s="40" t="s">
        <v>224</v>
      </c>
      <c r="G17" s="41">
        <v>-31.08629796646882</v>
      </c>
      <c r="H17" s="33">
        <v>-20.546358396042478</v>
      </c>
    </row>
    <row r="18" spans="1:9">
      <c r="A18" s="34"/>
      <c r="B18" s="25" t="s">
        <v>127</v>
      </c>
      <c r="C18" s="26">
        <v>1435.4081399999998</v>
      </c>
      <c r="D18" s="26">
        <v>1297.1981800000001</v>
      </c>
      <c r="E18" s="26">
        <v>1016.46392</v>
      </c>
      <c r="F18" s="27"/>
      <c r="G18" s="28">
        <v>-29.186418017665687</v>
      </c>
      <c r="H18" s="29">
        <v>-21.641586021960038</v>
      </c>
    </row>
    <row r="19" spans="1:9">
      <c r="A19" s="30" t="s">
        <v>40</v>
      </c>
      <c r="B19" s="31" t="s">
        <v>3</v>
      </c>
      <c r="C19" s="20">
        <v>8686.7927200000013</v>
      </c>
      <c r="D19" s="20">
        <v>7114</v>
      </c>
      <c r="E19" s="21">
        <v>5614.024054119669</v>
      </c>
      <c r="F19" s="22" t="s">
        <v>224</v>
      </c>
      <c r="G19" s="23">
        <v>-35.372878862480007</v>
      </c>
      <c r="H19" s="24">
        <v>-21.084846020246431</v>
      </c>
    </row>
    <row r="20" spans="1:9">
      <c r="A20" s="30"/>
      <c r="B20" s="35" t="s">
        <v>127</v>
      </c>
      <c r="C20" s="21">
        <v>1840.4081399999998</v>
      </c>
      <c r="D20" s="21">
        <v>1718.1981800000001</v>
      </c>
      <c r="E20" s="21">
        <v>1295.4639199999999</v>
      </c>
      <c r="F20" s="36"/>
      <c r="G20" s="42">
        <v>-29.609965754661346</v>
      </c>
      <c r="H20" s="24">
        <v>-24.603346978286297</v>
      </c>
    </row>
    <row r="21" spans="1:9">
      <c r="A21" s="43" t="s">
        <v>41</v>
      </c>
      <c r="B21" s="38" t="s">
        <v>3</v>
      </c>
      <c r="C21" s="39">
        <v>215246.22008888889</v>
      </c>
      <c r="D21" s="39">
        <v>225336</v>
      </c>
      <c r="E21" s="39">
        <v>232338.85230320317</v>
      </c>
      <c r="F21" s="40" t="s">
        <v>224</v>
      </c>
      <c r="G21" s="41">
        <v>7.9409674219856896</v>
      </c>
      <c r="H21" s="33">
        <v>3.1077379128071669</v>
      </c>
    </row>
    <row r="22" spans="1:9">
      <c r="A22" s="34"/>
      <c r="B22" s="25" t="s">
        <v>127</v>
      </c>
      <c r="C22" s="26">
        <v>49288.126622222218</v>
      </c>
      <c r="D22" s="26">
        <v>58038.305022222223</v>
      </c>
      <c r="E22" s="26">
        <v>57451.883199999997</v>
      </c>
      <c r="F22" s="27"/>
      <c r="G22" s="28">
        <v>16.563333072791281</v>
      </c>
      <c r="H22" s="29">
        <v>-1.0104048042024942</v>
      </c>
    </row>
    <row r="23" spans="1:9">
      <c r="A23" s="43" t="s">
        <v>42</v>
      </c>
      <c r="B23" s="31" t="s">
        <v>3</v>
      </c>
      <c r="C23" s="20">
        <v>156499.91680000001</v>
      </c>
      <c r="D23" s="20">
        <v>140382</v>
      </c>
      <c r="E23" s="21">
        <v>143711.77104614716</v>
      </c>
      <c r="F23" s="22" t="s">
        <v>224</v>
      </c>
      <c r="G23" s="23">
        <v>-8.1713434839684567</v>
      </c>
      <c r="H23" s="24">
        <v>2.3719358935954631</v>
      </c>
    </row>
    <row r="24" spans="1:9">
      <c r="A24" s="34"/>
      <c r="B24" s="35" t="s">
        <v>127</v>
      </c>
      <c r="C24" s="21">
        <v>47188.321600000003</v>
      </c>
      <c r="D24" s="21">
        <v>40512.979200000002</v>
      </c>
      <c r="E24" s="21">
        <v>42075.444799999997</v>
      </c>
      <c r="F24" s="36"/>
      <c r="G24" s="42">
        <v>-10.835046949413012</v>
      </c>
      <c r="H24" s="24">
        <v>3.8567037795136798</v>
      </c>
    </row>
    <row r="25" spans="1:9">
      <c r="A25" s="30" t="s">
        <v>43</v>
      </c>
      <c r="B25" s="38" t="s">
        <v>3</v>
      </c>
      <c r="C25" s="39">
        <v>250548.34075</v>
      </c>
      <c r="D25" s="39">
        <v>228871</v>
      </c>
      <c r="E25" s="39">
        <v>231773.74061491564</v>
      </c>
      <c r="F25" s="40" t="s">
        <v>224</v>
      </c>
      <c r="G25" s="41">
        <v>-7.4934042983018117</v>
      </c>
      <c r="H25" s="33">
        <v>1.2682867706767809</v>
      </c>
    </row>
    <row r="26" spans="1:9">
      <c r="A26" s="34"/>
      <c r="B26" s="25" t="s">
        <v>127</v>
      </c>
      <c r="C26" s="26">
        <v>67473.178062499996</v>
      </c>
      <c r="D26" s="26">
        <v>63243.835187500001</v>
      </c>
      <c r="E26" s="26">
        <v>63493.648249999998</v>
      </c>
      <c r="F26" s="27"/>
      <c r="G26" s="28">
        <v>-5.8979433410025308</v>
      </c>
      <c r="H26" s="29">
        <v>0.39499986324260306</v>
      </c>
    </row>
    <row r="27" spans="1:9">
      <c r="A27" s="30" t="s">
        <v>26</v>
      </c>
      <c r="B27" s="31" t="s">
        <v>3</v>
      </c>
      <c r="C27" s="20">
        <v>159666.68351999999</v>
      </c>
      <c r="D27" s="20">
        <v>159968</v>
      </c>
      <c r="E27" s="21">
        <v>161940.21722311302</v>
      </c>
      <c r="F27" s="22" t="s">
        <v>224</v>
      </c>
      <c r="G27" s="23">
        <v>1.4239249247187189</v>
      </c>
      <c r="H27" s="24">
        <v>1.2328823409138323</v>
      </c>
    </row>
    <row r="28" spans="1:9" ht="13.5" thickBot="1">
      <c r="A28" s="60"/>
      <c r="B28" s="46" t="s">
        <v>127</v>
      </c>
      <c r="C28" s="47">
        <v>43528.53024</v>
      </c>
      <c r="D28" s="47">
        <v>40423.170879999998</v>
      </c>
      <c r="E28" s="47">
        <v>41943.422720000002</v>
      </c>
      <c r="F28" s="48"/>
      <c r="G28" s="61">
        <v>-3.6415369672725149</v>
      </c>
      <c r="H28" s="50">
        <v>3.7608426229427181</v>
      </c>
    </row>
    <row r="29" spans="1:9">
      <c r="A29" s="62"/>
      <c r="B29" s="62"/>
      <c r="C29" s="68"/>
      <c r="D29" s="68"/>
      <c r="E29" s="21"/>
      <c r="F29" s="63"/>
      <c r="G29" s="42"/>
      <c r="H29" s="64"/>
      <c r="I29" s="65"/>
    </row>
    <row r="30" spans="1:9">
      <c r="A30" s="69"/>
      <c r="B30" s="66"/>
      <c r="C30" s="21"/>
      <c r="D30" s="21"/>
      <c r="E30" s="21"/>
      <c r="F30" s="67"/>
      <c r="G30" s="42"/>
      <c r="H30" s="64"/>
      <c r="I30" s="65"/>
    </row>
    <row r="31" spans="1:9">
      <c r="A31" s="51"/>
      <c r="B31" s="52"/>
      <c r="C31" s="53"/>
      <c r="D31" s="59"/>
      <c r="E31" s="53"/>
      <c r="F31" s="53"/>
      <c r="G31" s="54"/>
      <c r="H31" s="55"/>
      <c r="I31" s="65"/>
    </row>
    <row r="32" spans="1:9" ht="16.5" thickBot="1">
      <c r="A32" s="4" t="s">
        <v>35</v>
      </c>
      <c r="B32" s="5"/>
      <c r="C32" s="5"/>
      <c r="D32" s="5"/>
      <c r="E32" s="5"/>
      <c r="F32" s="5"/>
      <c r="G32" s="5"/>
      <c r="H32" s="6"/>
    </row>
    <row r="33" spans="1:8">
      <c r="A33" s="7"/>
      <c r="B33" s="8"/>
      <c r="C33" s="159" t="s">
        <v>16</v>
      </c>
      <c r="D33" s="153"/>
      <c r="E33" s="153"/>
      <c r="F33" s="160"/>
      <c r="G33" s="153" t="s">
        <v>1</v>
      </c>
      <c r="H33" s="154"/>
    </row>
    <row r="34" spans="1:8">
      <c r="A34" s="12"/>
      <c r="B34" s="13"/>
      <c r="C34" s="14">
        <v>2011</v>
      </c>
      <c r="D34" s="15">
        <v>2012</v>
      </c>
      <c r="E34" s="15">
        <v>2013</v>
      </c>
      <c r="F34" s="16"/>
      <c r="G34" s="17" t="s">
        <v>222</v>
      </c>
      <c r="H34" s="18" t="s">
        <v>223</v>
      </c>
    </row>
    <row r="35" spans="1:8" ht="12.75" customHeight="1">
      <c r="A35" s="155" t="s">
        <v>28</v>
      </c>
      <c r="B35" s="19" t="s">
        <v>3</v>
      </c>
      <c r="C35" s="84">
        <v>11831.88347350243</v>
      </c>
      <c r="D35" s="84">
        <v>12032.813319939327</v>
      </c>
      <c r="E35" s="87">
        <v>12085.06241851969</v>
      </c>
      <c r="F35" s="22" t="s">
        <v>224</v>
      </c>
      <c r="G35" s="23">
        <v>2.1398025562392888</v>
      </c>
      <c r="H35" s="24">
        <v>0.43422179993252996</v>
      </c>
    </row>
    <row r="36" spans="1:8" ht="12.75" customHeight="1">
      <c r="A36" s="156"/>
      <c r="B36" s="25" t="s">
        <v>127</v>
      </c>
      <c r="C36" s="86">
        <v>3370.745096984364</v>
      </c>
      <c r="D36" s="86">
        <v>3391.995119191316</v>
      </c>
      <c r="E36" s="86">
        <v>3418.6887577656139</v>
      </c>
      <c r="F36" s="27"/>
      <c r="G36" s="28">
        <v>1.4223460808158563</v>
      </c>
      <c r="H36" s="29">
        <v>0.78695981675416249</v>
      </c>
    </row>
    <row r="37" spans="1:8">
      <c r="A37" s="30" t="s">
        <v>36</v>
      </c>
      <c r="B37" s="31" t="s">
        <v>3</v>
      </c>
      <c r="C37" s="88">
        <v>1837.1777580989037</v>
      </c>
      <c r="D37" s="88">
        <v>1889.2195069936358</v>
      </c>
      <c r="E37" s="87">
        <v>1866.0774396304273</v>
      </c>
      <c r="F37" s="22" t="s">
        <v>224</v>
      </c>
      <c r="G37" s="32">
        <v>1.5730476489890037</v>
      </c>
      <c r="H37" s="33">
        <v>-1.2249538646800744</v>
      </c>
    </row>
    <row r="38" spans="1:8">
      <c r="A38" s="34"/>
      <c r="B38" s="35" t="s">
        <v>127</v>
      </c>
      <c r="C38" s="87">
        <v>495.42633742916138</v>
      </c>
      <c r="D38" s="87">
        <v>528.21679898484263</v>
      </c>
      <c r="E38" s="87">
        <v>515.42106339135432</v>
      </c>
      <c r="F38" s="36"/>
      <c r="G38" s="37">
        <v>4.0358625393128023</v>
      </c>
      <c r="H38" s="29">
        <v>-2.4224401075618687</v>
      </c>
    </row>
    <row r="39" spans="1:8">
      <c r="A39" s="30" t="s">
        <v>37</v>
      </c>
      <c r="B39" s="38" t="s">
        <v>3</v>
      </c>
      <c r="C39" s="88">
        <v>72.064238875401728</v>
      </c>
      <c r="D39" s="88">
        <v>69.721654683047063</v>
      </c>
      <c r="E39" s="88">
        <v>65.009734659000586</v>
      </c>
      <c r="F39" s="40" t="s">
        <v>224</v>
      </c>
      <c r="G39" s="41">
        <v>-9.7891885441242295</v>
      </c>
      <c r="H39" s="33">
        <v>-6.7581873170778124</v>
      </c>
    </row>
    <row r="40" spans="1:8">
      <c r="A40" s="34"/>
      <c r="B40" s="25" t="s">
        <v>127</v>
      </c>
      <c r="C40" s="86">
        <v>25.928213379710119</v>
      </c>
      <c r="D40" s="86">
        <v>27.851553465235497</v>
      </c>
      <c r="E40" s="86">
        <v>25.048583513771231</v>
      </c>
      <c r="F40" s="27"/>
      <c r="G40" s="28">
        <v>-3.3925587276570184</v>
      </c>
      <c r="H40" s="29">
        <v>-10.063962697674839</v>
      </c>
    </row>
    <row r="41" spans="1:8">
      <c r="A41" s="30" t="s">
        <v>38</v>
      </c>
      <c r="B41" s="31" t="s">
        <v>3</v>
      </c>
      <c r="C41" s="84">
        <v>2507.6058830962279</v>
      </c>
      <c r="D41" s="84">
        <v>2382.3167539427764</v>
      </c>
      <c r="E41" s="87">
        <v>2373.5522098974752</v>
      </c>
      <c r="F41" s="22" t="s">
        <v>224</v>
      </c>
      <c r="G41" s="23">
        <v>-5.3458828639065104</v>
      </c>
      <c r="H41" s="24">
        <v>-0.36790002969989644</v>
      </c>
    </row>
    <row r="42" spans="1:8">
      <c r="A42" s="34"/>
      <c r="B42" s="35" t="s">
        <v>127</v>
      </c>
      <c r="C42" s="87">
        <v>736.98822786836854</v>
      </c>
      <c r="D42" s="87">
        <v>669.25233522339397</v>
      </c>
      <c r="E42" s="87">
        <v>676.74996969101574</v>
      </c>
      <c r="F42" s="36"/>
      <c r="G42" s="42">
        <v>-8.1735712864211223</v>
      </c>
      <c r="H42" s="24">
        <v>1.1203000830948326</v>
      </c>
    </row>
    <row r="43" spans="1:8">
      <c r="A43" s="30" t="s">
        <v>18</v>
      </c>
      <c r="B43" s="38" t="s">
        <v>3</v>
      </c>
      <c r="C43" s="88">
        <v>207.10335926659289</v>
      </c>
      <c r="D43" s="88">
        <v>203.49382550853093</v>
      </c>
      <c r="E43" s="88">
        <v>235.23247316037023</v>
      </c>
      <c r="F43" s="40" t="s">
        <v>224</v>
      </c>
      <c r="G43" s="41">
        <v>13.582162063131122</v>
      </c>
      <c r="H43" s="33">
        <v>15.596860284347414</v>
      </c>
    </row>
    <row r="44" spans="1:8">
      <c r="A44" s="34"/>
      <c r="B44" s="25" t="s">
        <v>127</v>
      </c>
      <c r="C44" s="86">
        <v>56.095324454495291</v>
      </c>
      <c r="D44" s="86">
        <v>48.199532509120779</v>
      </c>
      <c r="E44" s="86">
        <v>58.150059359065288</v>
      </c>
      <c r="F44" s="27"/>
      <c r="G44" s="28">
        <v>3.662934343550873</v>
      </c>
      <c r="H44" s="29">
        <v>20.644446806743559</v>
      </c>
    </row>
    <row r="45" spans="1:8">
      <c r="A45" s="30" t="s">
        <v>39</v>
      </c>
      <c r="B45" s="38" t="s">
        <v>3</v>
      </c>
      <c r="C45" s="88">
        <v>218.90757573435423</v>
      </c>
      <c r="D45" s="88">
        <v>214.17610738075018</v>
      </c>
      <c r="E45" s="88">
        <v>201.36930953039573</v>
      </c>
      <c r="F45" s="40" t="s">
        <v>224</v>
      </c>
      <c r="G45" s="41">
        <v>-8.0117219082638371</v>
      </c>
      <c r="H45" s="33">
        <v>-5.9795642039507442</v>
      </c>
    </row>
    <row r="46" spans="1:8">
      <c r="A46" s="34"/>
      <c r="B46" s="25" t="s">
        <v>127</v>
      </c>
      <c r="C46" s="86">
        <v>57.251185566768676</v>
      </c>
      <c r="D46" s="86">
        <v>47.452809924720036</v>
      </c>
      <c r="E46" s="86">
        <v>47.010302538550476</v>
      </c>
      <c r="F46" s="27"/>
      <c r="G46" s="28">
        <v>-17.887634861770437</v>
      </c>
      <c r="H46" s="29">
        <v>-0.93252093368457167</v>
      </c>
    </row>
    <row r="47" spans="1:8">
      <c r="A47" s="30" t="s">
        <v>40</v>
      </c>
      <c r="B47" s="31" t="s">
        <v>3</v>
      </c>
      <c r="C47" s="84">
        <v>115.174628952522</v>
      </c>
      <c r="D47" s="84">
        <v>98.41647849611067</v>
      </c>
      <c r="E47" s="87">
        <v>83.063068292897327</v>
      </c>
      <c r="F47" s="22" t="s">
        <v>224</v>
      </c>
      <c r="G47" s="23">
        <v>-27.880758941156998</v>
      </c>
      <c r="H47" s="24">
        <v>-15.600446630307033</v>
      </c>
    </row>
    <row r="48" spans="1:8">
      <c r="A48" s="30"/>
      <c r="B48" s="35" t="s">
        <v>127</v>
      </c>
      <c r="C48" s="87">
        <v>28.413706490763463</v>
      </c>
      <c r="D48" s="87">
        <v>26.765945435104122</v>
      </c>
      <c r="E48" s="87">
        <v>21.844625449656363</v>
      </c>
      <c r="F48" s="36"/>
      <c r="G48" s="42">
        <v>-23.119409089562225</v>
      </c>
      <c r="H48" s="24">
        <v>-18.38649786303958</v>
      </c>
    </row>
    <row r="49" spans="1:9">
      <c r="A49" s="43" t="s">
        <v>41</v>
      </c>
      <c r="B49" s="38" t="s">
        <v>3</v>
      </c>
      <c r="C49" s="88">
        <v>1188.0708117432146</v>
      </c>
      <c r="D49" s="88">
        <v>1311.8187471884346</v>
      </c>
      <c r="E49" s="88">
        <v>1411.8564588870549</v>
      </c>
      <c r="F49" s="40" t="s">
        <v>224</v>
      </c>
      <c r="G49" s="41">
        <v>18.836052946666328</v>
      </c>
      <c r="H49" s="33">
        <v>7.6258791020502628</v>
      </c>
    </row>
    <row r="50" spans="1:9">
      <c r="A50" s="34"/>
      <c r="B50" s="25" t="s">
        <v>127</v>
      </c>
      <c r="C50" s="86">
        <v>264.32654220265306</v>
      </c>
      <c r="D50" s="86">
        <v>306.52480016562163</v>
      </c>
      <c r="E50" s="86">
        <v>324.46505219135713</v>
      </c>
      <c r="F50" s="27"/>
      <c r="G50" s="28">
        <v>22.751597129658379</v>
      </c>
      <c r="H50" s="29">
        <v>5.8527897305673378</v>
      </c>
    </row>
    <row r="51" spans="1:9">
      <c r="A51" s="43" t="s">
        <v>42</v>
      </c>
      <c r="B51" s="31" t="s">
        <v>3</v>
      </c>
      <c r="C51" s="84">
        <v>566.5833594825724</v>
      </c>
      <c r="D51" s="84">
        <v>435.52404368788365</v>
      </c>
      <c r="E51" s="87">
        <v>474.90522437518348</v>
      </c>
      <c r="F51" s="22" t="s">
        <v>224</v>
      </c>
      <c r="G51" s="23">
        <v>-16.180873224217734</v>
      </c>
      <c r="H51" s="24">
        <v>9.0422518017219176</v>
      </c>
    </row>
    <row r="52" spans="1:9">
      <c r="A52" s="34"/>
      <c r="B52" s="35" t="s">
        <v>127</v>
      </c>
      <c r="C52" s="87">
        <v>152.20953571452964</v>
      </c>
      <c r="D52" s="87">
        <v>124.86292131967859</v>
      </c>
      <c r="E52" s="87">
        <v>133.17059323617053</v>
      </c>
      <c r="F52" s="36"/>
      <c r="G52" s="42">
        <v>-12.508376948252973</v>
      </c>
      <c r="H52" s="24">
        <v>6.6534338846857111</v>
      </c>
    </row>
    <row r="53" spans="1:9">
      <c r="A53" s="30" t="s">
        <v>43</v>
      </c>
      <c r="B53" s="38" t="s">
        <v>3</v>
      </c>
      <c r="C53" s="88">
        <v>4549.3950337029728</v>
      </c>
      <c r="D53" s="88">
        <v>4781.8764713961309</v>
      </c>
      <c r="E53" s="88">
        <v>4728.9791224187529</v>
      </c>
      <c r="F53" s="40" t="s">
        <v>224</v>
      </c>
      <c r="G53" s="41">
        <v>3.9474278972342347</v>
      </c>
      <c r="H53" s="33">
        <v>-1.1062048401667255</v>
      </c>
    </row>
    <row r="54" spans="1:9">
      <c r="A54" s="34"/>
      <c r="B54" s="25" t="s">
        <v>127</v>
      </c>
      <c r="C54" s="86">
        <v>1402.617625390722</v>
      </c>
      <c r="D54" s="86">
        <v>1464.1998386322152</v>
      </c>
      <c r="E54" s="86">
        <v>1451.3149522450994</v>
      </c>
      <c r="F54" s="27"/>
      <c r="G54" s="28">
        <v>3.4718889861955091</v>
      </c>
      <c r="H54" s="29">
        <v>-0.87999506946758288</v>
      </c>
    </row>
    <row r="55" spans="1:9">
      <c r="A55" s="30" t="s">
        <v>26</v>
      </c>
      <c r="B55" s="31" t="s">
        <v>3</v>
      </c>
      <c r="C55" s="84">
        <v>569.80082454966771</v>
      </c>
      <c r="D55" s="84">
        <v>644.67271366202499</v>
      </c>
      <c r="E55" s="87">
        <v>685.99657983780935</v>
      </c>
      <c r="F55" s="22" t="s">
        <v>224</v>
      </c>
      <c r="G55" s="23">
        <v>20.392345935963661</v>
      </c>
      <c r="H55" s="24">
        <v>6.4100535512115329</v>
      </c>
    </row>
    <row r="56" spans="1:9" ht="13.5" thickBot="1">
      <c r="A56" s="60"/>
      <c r="B56" s="46" t="s">
        <v>127</v>
      </c>
      <c r="C56" s="90">
        <v>151.48839848719123</v>
      </c>
      <c r="D56" s="90">
        <v>148.66858353138261</v>
      </c>
      <c r="E56" s="90">
        <v>165.51355614957458</v>
      </c>
      <c r="F56" s="48"/>
      <c r="G56" s="61">
        <v>9.2582387842520006</v>
      </c>
      <c r="H56" s="50">
        <v>11.330552977681492</v>
      </c>
    </row>
    <row r="57" spans="1:9">
      <c r="A57" s="62"/>
      <c r="B57" s="62"/>
      <c r="C57" s="68"/>
      <c r="D57" s="68"/>
      <c r="E57" s="21"/>
      <c r="F57" s="63"/>
      <c r="G57" s="42"/>
      <c r="H57" s="64"/>
      <c r="I57" s="65"/>
    </row>
    <row r="58" spans="1:9">
      <c r="A58" s="69"/>
      <c r="B58" s="66"/>
      <c r="C58" s="21"/>
      <c r="D58" s="21"/>
      <c r="E58" s="21"/>
      <c r="F58" s="67"/>
      <c r="G58" s="42"/>
      <c r="H58" s="64"/>
      <c r="I58" s="65"/>
    </row>
    <row r="59" spans="1:9">
      <c r="A59" s="51"/>
      <c r="B59" s="52"/>
      <c r="C59" s="53"/>
      <c r="D59" s="53"/>
      <c r="E59" s="53"/>
      <c r="F59" s="53"/>
      <c r="G59" s="54"/>
      <c r="H59" s="55"/>
      <c r="I59" s="65"/>
    </row>
    <row r="60" spans="1:9">
      <c r="A60" s="56"/>
      <c r="B60" s="56"/>
      <c r="C60" s="56"/>
      <c r="D60" s="56"/>
      <c r="E60" s="56"/>
      <c r="F60" s="56"/>
      <c r="G60" s="56"/>
      <c r="H60" s="56"/>
    </row>
    <row r="61" spans="1:9" ht="12.75" customHeight="1">
      <c r="A61" s="150">
        <v>12</v>
      </c>
      <c r="H61" s="57" t="s">
        <v>225</v>
      </c>
    </row>
    <row r="62" spans="1:9" ht="12.75" customHeight="1">
      <c r="A62" s="151"/>
      <c r="H62" s="57" t="s">
        <v>226</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baseColWidth="10"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6" t="s">
        <v>0</v>
      </c>
      <c r="B2" s="2"/>
      <c r="C2" s="2"/>
      <c r="D2" s="2"/>
      <c r="E2" s="2"/>
      <c r="F2" s="2"/>
      <c r="G2" s="2"/>
    </row>
    <row r="3" spans="1:8" ht="6" customHeight="1">
      <c r="A3" s="3"/>
      <c r="B3" s="2"/>
      <c r="C3" s="2"/>
      <c r="D3" s="2"/>
      <c r="E3" s="2"/>
      <c r="F3" s="2"/>
      <c r="G3" s="2"/>
    </row>
    <row r="4" spans="1:8" ht="16.5" thickBot="1">
      <c r="A4" s="4" t="s">
        <v>169</v>
      </c>
      <c r="B4" s="5"/>
      <c r="C4" s="5"/>
      <c r="D4" s="5"/>
      <c r="E4" s="5"/>
      <c r="F4" s="5"/>
      <c r="G4" s="5"/>
      <c r="H4" s="6"/>
    </row>
    <row r="5" spans="1:8">
      <c r="A5" s="7"/>
      <c r="B5" s="8"/>
      <c r="C5" s="9"/>
      <c r="D5" s="8"/>
      <c r="E5" s="10"/>
      <c r="F5" s="11"/>
      <c r="G5" s="153" t="s">
        <v>1</v>
      </c>
      <c r="H5" s="154"/>
    </row>
    <row r="6" spans="1:8">
      <c r="A6" s="12"/>
      <c r="B6" s="13"/>
      <c r="C6" s="14">
        <v>2011</v>
      </c>
      <c r="D6" s="15">
        <v>2012</v>
      </c>
      <c r="E6" s="15">
        <v>2013</v>
      </c>
      <c r="F6" s="16"/>
      <c r="G6" s="17" t="s">
        <v>222</v>
      </c>
      <c r="H6" s="18" t="s">
        <v>223</v>
      </c>
    </row>
    <row r="7" spans="1:8">
      <c r="A7" s="155" t="s">
        <v>17</v>
      </c>
      <c r="B7" s="19" t="s">
        <v>3</v>
      </c>
      <c r="C7" s="20">
        <v>263217.77142857143</v>
      </c>
      <c r="D7" s="20">
        <v>243389</v>
      </c>
      <c r="E7" s="21">
        <v>244423.22549796142</v>
      </c>
      <c r="F7" s="22" t="s">
        <v>224</v>
      </c>
      <c r="G7" s="23">
        <v>-7.1403028103329262</v>
      </c>
      <c r="H7" s="24">
        <v>0.4249269679243497</v>
      </c>
    </row>
    <row r="8" spans="1:8">
      <c r="A8" s="156"/>
      <c r="B8" s="25" t="s">
        <v>127</v>
      </c>
      <c r="C8" s="26">
        <v>56030.862857142856</v>
      </c>
      <c r="D8" s="26">
        <v>59852.942857142858</v>
      </c>
      <c r="E8" s="26">
        <v>57149.942857142858</v>
      </c>
      <c r="F8" s="27"/>
      <c r="G8" s="28">
        <v>1.9972564100132217</v>
      </c>
      <c r="H8" s="29">
        <v>-4.5160686692574501</v>
      </c>
    </row>
    <row r="9" spans="1:8">
      <c r="A9" s="30" t="s">
        <v>18</v>
      </c>
      <c r="B9" s="31" t="s">
        <v>3</v>
      </c>
      <c r="C9" s="20">
        <v>25302.583783783783</v>
      </c>
      <c r="D9" s="20">
        <v>18925</v>
      </c>
      <c r="E9" s="21">
        <v>18031.171477809912</v>
      </c>
      <c r="F9" s="22" t="s">
        <v>224</v>
      </c>
      <c r="G9" s="32">
        <v>-28.737825228086223</v>
      </c>
      <c r="H9" s="33">
        <v>-4.7230040802646727</v>
      </c>
    </row>
    <row r="10" spans="1:8">
      <c r="A10" s="34"/>
      <c r="B10" s="35" t="s">
        <v>127</v>
      </c>
      <c r="C10" s="21">
        <v>4550.1354054054054</v>
      </c>
      <c r="D10" s="21">
        <v>5285.6459459459456</v>
      </c>
      <c r="E10" s="21">
        <v>4252.0513513513515</v>
      </c>
      <c r="F10" s="36"/>
      <c r="G10" s="37">
        <v>-6.5511029342102773</v>
      </c>
      <c r="H10" s="29">
        <v>-19.554745156310645</v>
      </c>
    </row>
    <row r="11" spans="1:8">
      <c r="A11" s="30" t="s">
        <v>19</v>
      </c>
      <c r="B11" s="38" t="s">
        <v>3</v>
      </c>
      <c r="C11" s="39">
        <v>65970.238095238092</v>
      </c>
      <c r="D11" s="39">
        <v>54524</v>
      </c>
      <c r="E11" s="39">
        <v>61947.548152638818</v>
      </c>
      <c r="F11" s="40" t="s">
        <v>224</v>
      </c>
      <c r="G11" s="41">
        <v>-6.0977344613974367</v>
      </c>
      <c r="H11" s="33">
        <v>13.615193589316291</v>
      </c>
    </row>
    <row r="12" spans="1:8">
      <c r="A12" s="34"/>
      <c r="B12" s="25" t="s">
        <v>127</v>
      </c>
      <c r="C12" s="26">
        <v>19665.192857142858</v>
      </c>
      <c r="D12" s="26">
        <v>13871.309523809523</v>
      </c>
      <c r="E12" s="26">
        <v>16569.309523809523</v>
      </c>
      <c r="F12" s="27"/>
      <c r="G12" s="28">
        <v>-15.742959430010558</v>
      </c>
      <c r="H12" s="29">
        <v>19.450218419313586</v>
      </c>
    </row>
    <row r="13" spans="1:8">
      <c r="A13" s="30" t="s">
        <v>20</v>
      </c>
      <c r="B13" s="31" t="s">
        <v>3</v>
      </c>
      <c r="C13" s="20">
        <v>31291.967346938774</v>
      </c>
      <c r="D13" s="20">
        <v>32747</v>
      </c>
      <c r="E13" s="21">
        <v>27183.410815762792</v>
      </c>
      <c r="F13" s="22" t="s">
        <v>224</v>
      </c>
      <c r="G13" s="23">
        <v>-13.129748237379246</v>
      </c>
      <c r="H13" s="24">
        <v>-16.989614878423083</v>
      </c>
    </row>
    <row r="14" spans="1:8">
      <c r="A14" s="34"/>
      <c r="B14" s="35" t="s">
        <v>127</v>
      </c>
      <c r="C14" s="21">
        <v>5514.2661224489802</v>
      </c>
      <c r="D14" s="21">
        <v>6397.9918367346936</v>
      </c>
      <c r="E14" s="21">
        <v>5125.2775510204083</v>
      </c>
      <c r="F14" s="36"/>
      <c r="G14" s="42">
        <v>-7.0542219543045093</v>
      </c>
      <c r="H14" s="24">
        <v>-19.892402463017717</v>
      </c>
    </row>
    <row r="15" spans="1:8">
      <c r="A15" s="30" t="s">
        <v>21</v>
      </c>
      <c r="B15" s="38" t="s">
        <v>3</v>
      </c>
      <c r="C15" s="39">
        <v>4062.5142857142855</v>
      </c>
      <c r="D15" s="39">
        <v>4252</v>
      </c>
      <c r="E15" s="39">
        <v>4148.3925234931658</v>
      </c>
      <c r="F15" s="40" t="s">
        <v>224</v>
      </c>
      <c r="G15" s="41">
        <v>2.1139184194593099</v>
      </c>
      <c r="H15" s="33">
        <v>-2.4366763054288469</v>
      </c>
    </row>
    <row r="16" spans="1:8">
      <c r="A16" s="34"/>
      <c r="B16" s="25" t="s">
        <v>127</v>
      </c>
      <c r="C16" s="26">
        <v>901.48129870129867</v>
      </c>
      <c r="D16" s="26">
        <v>887.62857142857138</v>
      </c>
      <c r="E16" s="26">
        <v>883.44675324675325</v>
      </c>
      <c r="F16" s="27"/>
      <c r="G16" s="28">
        <v>-2.000545710768094</v>
      </c>
      <c r="H16" s="29">
        <v>-0.47112252989872161</v>
      </c>
    </row>
    <row r="17" spans="1:8">
      <c r="A17" s="30" t="s">
        <v>22</v>
      </c>
      <c r="B17" s="38" t="s">
        <v>3</v>
      </c>
      <c r="C17" s="39">
        <v>5448.3771428571426</v>
      </c>
      <c r="D17" s="39">
        <v>5756</v>
      </c>
      <c r="E17" s="39">
        <v>4731.4982387533428</v>
      </c>
      <c r="F17" s="40" t="s">
        <v>224</v>
      </c>
      <c r="G17" s="41">
        <v>-13.157659341619421</v>
      </c>
      <c r="H17" s="33">
        <v>-17.798849222492308</v>
      </c>
    </row>
    <row r="18" spans="1:8">
      <c r="A18" s="34"/>
      <c r="B18" s="25" t="s">
        <v>127</v>
      </c>
      <c r="C18" s="26">
        <v>816.08628571428574</v>
      </c>
      <c r="D18" s="26">
        <v>1368.5942857142857</v>
      </c>
      <c r="E18" s="26">
        <v>940.79428571428571</v>
      </c>
      <c r="F18" s="27"/>
      <c r="G18" s="28">
        <v>15.281227265184157</v>
      </c>
      <c r="H18" s="29">
        <v>-31.258350591221856</v>
      </c>
    </row>
    <row r="19" spans="1:8">
      <c r="A19" s="30" t="s">
        <v>23</v>
      </c>
      <c r="B19" s="31" t="s">
        <v>3</v>
      </c>
      <c r="C19" s="20">
        <v>70320.871428571423</v>
      </c>
      <c r="D19" s="20">
        <v>80838</v>
      </c>
      <c r="E19" s="21">
        <v>77156.212473864522</v>
      </c>
      <c r="F19" s="22" t="s">
        <v>224</v>
      </c>
      <c r="G19" s="23">
        <v>9.7202166390046898</v>
      </c>
      <c r="H19" s="24">
        <v>-4.5545257504335552</v>
      </c>
    </row>
    <row r="20" spans="1:8">
      <c r="A20" s="30"/>
      <c r="B20" s="35" t="s">
        <v>127</v>
      </c>
      <c r="C20" s="21">
        <v>16458.110357142858</v>
      </c>
      <c r="D20" s="21">
        <v>20100.467857142856</v>
      </c>
      <c r="E20" s="21">
        <v>18793.967857142856</v>
      </c>
      <c r="F20" s="36"/>
      <c r="G20" s="42">
        <v>14.192744180903063</v>
      </c>
      <c r="H20" s="24">
        <v>-6.4998487064355857</v>
      </c>
    </row>
    <row r="21" spans="1:8">
      <c r="A21" s="43" t="s">
        <v>12</v>
      </c>
      <c r="B21" s="38" t="s">
        <v>3</v>
      </c>
      <c r="C21" s="39">
        <v>2288</v>
      </c>
      <c r="D21" s="39">
        <v>1936</v>
      </c>
      <c r="E21" s="39">
        <v>1555.9108976924099</v>
      </c>
      <c r="F21" s="40" t="s">
        <v>224</v>
      </c>
      <c r="G21" s="41">
        <v>-31.996901324632432</v>
      </c>
      <c r="H21" s="33">
        <v>-19.63270156547469</v>
      </c>
    </row>
    <row r="22" spans="1:8">
      <c r="A22" s="34"/>
      <c r="B22" s="25" t="s">
        <v>127</v>
      </c>
      <c r="C22" s="26">
        <v>441</v>
      </c>
      <c r="D22" s="26">
        <v>408</v>
      </c>
      <c r="E22" s="26">
        <v>318</v>
      </c>
      <c r="F22" s="27"/>
      <c r="G22" s="28">
        <v>-27.89115646258503</v>
      </c>
      <c r="H22" s="29">
        <v>-22.058823529411768</v>
      </c>
    </row>
    <row r="23" spans="1:8">
      <c r="A23" s="43" t="s">
        <v>24</v>
      </c>
      <c r="B23" s="31" t="s">
        <v>3</v>
      </c>
      <c r="C23" s="20">
        <v>12075.666165413533</v>
      </c>
      <c r="D23" s="20">
        <v>11301</v>
      </c>
      <c r="E23" s="21">
        <v>9764.7357166376605</v>
      </c>
      <c r="F23" s="22" t="s">
        <v>224</v>
      </c>
      <c r="G23" s="23">
        <v>-19.137084589127795</v>
      </c>
      <c r="H23" s="24">
        <v>-13.594056130982565</v>
      </c>
    </row>
    <row r="24" spans="1:8">
      <c r="A24" s="34"/>
      <c r="B24" s="35" t="s">
        <v>127</v>
      </c>
      <c r="C24" s="21">
        <v>3078.3312781954887</v>
      </c>
      <c r="D24" s="21">
        <v>3145.4165413533833</v>
      </c>
      <c r="E24" s="21">
        <v>2637.1007518796991</v>
      </c>
      <c r="F24" s="36"/>
      <c r="G24" s="42">
        <v>-14.333432189092974</v>
      </c>
      <c r="H24" s="24">
        <v>-16.160523822227063</v>
      </c>
    </row>
    <row r="25" spans="1:8">
      <c r="A25" s="30" t="s">
        <v>25</v>
      </c>
      <c r="B25" s="38" t="s">
        <v>3</v>
      </c>
      <c r="C25" s="39">
        <v>2643</v>
      </c>
      <c r="D25" s="39">
        <v>3507</v>
      </c>
      <c r="E25" s="39">
        <v>3909.903973761845</v>
      </c>
      <c r="F25" s="40" t="s">
        <v>224</v>
      </c>
      <c r="G25" s="41">
        <v>47.934316071201096</v>
      </c>
      <c r="H25" s="33">
        <v>11.488564977526238</v>
      </c>
    </row>
    <row r="26" spans="1:8">
      <c r="A26" s="30"/>
      <c r="B26" s="25" t="s">
        <v>127</v>
      </c>
      <c r="C26" s="26">
        <v>562</v>
      </c>
      <c r="D26" s="26">
        <v>842</v>
      </c>
      <c r="E26" s="26">
        <v>900</v>
      </c>
      <c r="F26" s="27"/>
      <c r="G26" s="28">
        <v>60.142348754448392</v>
      </c>
      <c r="H26" s="29">
        <v>6.8883610451306367</v>
      </c>
    </row>
    <row r="27" spans="1:8">
      <c r="A27" s="43" t="s">
        <v>9</v>
      </c>
      <c r="B27" s="31" t="s">
        <v>3</v>
      </c>
      <c r="C27" s="20">
        <v>130</v>
      </c>
      <c r="D27" s="20">
        <v>177</v>
      </c>
      <c r="E27" s="21">
        <v>243.79629629629628</v>
      </c>
      <c r="F27" s="22" t="s">
        <v>224</v>
      </c>
      <c r="G27" s="23">
        <v>87.535612535612529</v>
      </c>
      <c r="H27" s="24">
        <v>37.738020506382099</v>
      </c>
    </row>
    <row r="28" spans="1:8">
      <c r="A28" s="34"/>
      <c r="B28" s="25" t="s">
        <v>127</v>
      </c>
      <c r="C28" s="26">
        <v>27</v>
      </c>
      <c r="D28" s="26">
        <v>48</v>
      </c>
      <c r="E28" s="26">
        <v>60</v>
      </c>
      <c r="F28" s="27"/>
      <c r="G28" s="28">
        <v>122.22222222222223</v>
      </c>
      <c r="H28" s="29">
        <v>25</v>
      </c>
    </row>
    <row r="29" spans="1:8">
      <c r="A29" s="30" t="s">
        <v>26</v>
      </c>
      <c r="B29" s="31" t="s">
        <v>3</v>
      </c>
      <c r="C29" s="44">
        <v>47080.647619047624</v>
      </c>
      <c r="D29" s="44">
        <v>32890</v>
      </c>
      <c r="E29" s="21">
        <v>42711.901725628079</v>
      </c>
      <c r="F29" s="22" t="s">
        <v>224</v>
      </c>
      <c r="G29" s="23">
        <v>-9.2792816461854812</v>
      </c>
      <c r="H29" s="24">
        <v>29.862881500845475</v>
      </c>
    </row>
    <row r="30" spans="1:8" ht="13.5" thickBot="1">
      <c r="A30" s="45"/>
      <c r="B30" s="46" t="s">
        <v>127</v>
      </c>
      <c r="C30" s="47">
        <v>5129.238571428571</v>
      </c>
      <c r="D30" s="47">
        <v>8167.6619047619051</v>
      </c>
      <c r="E30" s="47">
        <v>7435.6619047619051</v>
      </c>
      <c r="F30" s="48"/>
      <c r="G30" s="49">
        <v>44.96619334847901</v>
      </c>
      <c r="H30" s="50">
        <v>-8.9621731229255488</v>
      </c>
    </row>
    <row r="31" spans="1:8">
      <c r="A31" s="51"/>
      <c r="B31" s="52"/>
      <c r="C31" s="53"/>
      <c r="D31" s="59"/>
      <c r="E31" s="53"/>
      <c r="F31" s="53"/>
      <c r="G31" s="54"/>
      <c r="H31" s="55"/>
    </row>
    <row r="32" spans="1:8" ht="16.5" thickBot="1">
      <c r="A32" s="4" t="s">
        <v>27</v>
      </c>
      <c r="B32" s="5"/>
      <c r="C32" s="5"/>
      <c r="D32" s="5"/>
      <c r="E32" s="5"/>
      <c r="F32" s="5"/>
      <c r="G32" s="5"/>
      <c r="H32" s="6"/>
    </row>
    <row r="33" spans="1:8">
      <c r="A33" s="7"/>
      <c r="B33" s="8"/>
      <c r="C33" s="159" t="s">
        <v>16</v>
      </c>
      <c r="D33" s="153"/>
      <c r="E33" s="153"/>
      <c r="F33" s="160"/>
      <c r="G33" s="153" t="s">
        <v>1</v>
      </c>
      <c r="H33" s="154"/>
    </row>
    <row r="34" spans="1:8">
      <c r="A34" s="12"/>
      <c r="B34" s="13"/>
      <c r="C34" s="14">
        <v>2011</v>
      </c>
      <c r="D34" s="15">
        <v>2012</v>
      </c>
      <c r="E34" s="15">
        <v>2013</v>
      </c>
      <c r="F34" s="16"/>
      <c r="G34" s="17" t="s">
        <v>222</v>
      </c>
      <c r="H34" s="18" t="s">
        <v>223</v>
      </c>
    </row>
    <row r="35" spans="1:8">
      <c r="A35" s="155" t="s">
        <v>17</v>
      </c>
      <c r="B35" s="19" t="s">
        <v>3</v>
      </c>
      <c r="C35" s="84">
        <v>6670.83506606633</v>
      </c>
      <c r="D35" s="84">
        <v>5933.1488251145938</v>
      </c>
      <c r="E35" s="87">
        <v>6471.1380218795421</v>
      </c>
      <c r="F35" s="22" t="s">
        <v>224</v>
      </c>
      <c r="G35" s="23">
        <v>-2.9935838948053259</v>
      </c>
      <c r="H35" s="24">
        <v>9.0675156248850328</v>
      </c>
    </row>
    <row r="36" spans="1:8">
      <c r="A36" s="156"/>
      <c r="B36" s="25" t="s">
        <v>127</v>
      </c>
      <c r="C36" s="86">
        <v>1837.795880035093</v>
      </c>
      <c r="D36" s="86">
        <v>1641.1329101833539</v>
      </c>
      <c r="E36" s="86">
        <v>1787.5488480332388</v>
      </c>
      <c r="F36" s="27"/>
      <c r="G36" s="28">
        <v>-2.7340921017243005</v>
      </c>
      <c r="H36" s="29">
        <v>8.9216380307385776</v>
      </c>
    </row>
    <row r="37" spans="1:8">
      <c r="A37" s="30" t="s">
        <v>18</v>
      </c>
      <c r="B37" s="31" t="s">
        <v>3</v>
      </c>
      <c r="C37" s="84">
        <v>2504.1248880400008</v>
      </c>
      <c r="D37" s="84">
        <v>2197.32631618</v>
      </c>
      <c r="E37" s="87">
        <v>2219.0281326873856</v>
      </c>
      <c r="F37" s="22" t="s">
        <v>224</v>
      </c>
      <c r="G37" s="32">
        <v>-11.38508533317453</v>
      </c>
      <c r="H37" s="33">
        <v>0.98764650236900309</v>
      </c>
    </row>
    <row r="38" spans="1:8">
      <c r="A38" s="34"/>
      <c r="B38" s="35" t="s">
        <v>127</v>
      </c>
      <c r="C38" s="87">
        <v>736.57041495999988</v>
      </c>
      <c r="D38" s="87">
        <v>670.2694098799999</v>
      </c>
      <c r="E38" s="87">
        <v>668.6333515099999</v>
      </c>
      <c r="F38" s="36"/>
      <c r="G38" s="37">
        <v>-9.2234309266534069</v>
      </c>
      <c r="H38" s="29">
        <v>-0.24408966691362366</v>
      </c>
    </row>
    <row r="39" spans="1:8">
      <c r="A39" s="30" t="s">
        <v>19</v>
      </c>
      <c r="B39" s="38" t="s">
        <v>3</v>
      </c>
      <c r="C39" s="88">
        <v>2364.5897409822446</v>
      </c>
      <c r="D39" s="88">
        <v>2003.6507537793132</v>
      </c>
      <c r="E39" s="88">
        <v>2445.0999915947054</v>
      </c>
      <c r="F39" s="40" t="s">
        <v>224</v>
      </c>
      <c r="G39" s="41">
        <v>3.4048295658686669</v>
      </c>
      <c r="H39" s="33">
        <v>22.032244740393253</v>
      </c>
    </row>
    <row r="40" spans="1:8">
      <c r="A40" s="34"/>
      <c r="B40" s="25" t="s">
        <v>127</v>
      </c>
      <c r="C40" s="86">
        <v>693.60739177282301</v>
      </c>
      <c r="D40" s="86">
        <v>531.03096346661903</v>
      </c>
      <c r="E40" s="86">
        <v>669.56109690056985</v>
      </c>
      <c r="F40" s="27"/>
      <c r="G40" s="28">
        <v>-3.4668452437901749</v>
      </c>
      <c r="H40" s="29">
        <v>26.087016193860606</v>
      </c>
    </row>
    <row r="41" spans="1:8">
      <c r="A41" s="30" t="s">
        <v>20</v>
      </c>
      <c r="B41" s="31" t="s">
        <v>3</v>
      </c>
      <c r="C41" s="84">
        <v>490.11227493738011</v>
      </c>
      <c r="D41" s="84">
        <v>516.15671999114375</v>
      </c>
      <c r="E41" s="87">
        <v>469.90129432303542</v>
      </c>
      <c r="F41" s="22" t="s">
        <v>224</v>
      </c>
      <c r="G41" s="23">
        <v>-4.1237450371809103</v>
      </c>
      <c r="H41" s="24">
        <v>-8.961507983254009</v>
      </c>
    </row>
    <row r="42" spans="1:8">
      <c r="A42" s="34"/>
      <c r="B42" s="35" t="s">
        <v>127</v>
      </c>
      <c r="C42" s="87">
        <v>102.7508706441354</v>
      </c>
      <c r="D42" s="87">
        <v>120.53145130324059</v>
      </c>
      <c r="E42" s="87">
        <v>105.71782885644201</v>
      </c>
      <c r="F42" s="36"/>
      <c r="G42" s="42">
        <v>2.8875261043600347</v>
      </c>
      <c r="H42" s="24">
        <v>-12.290254773029758</v>
      </c>
    </row>
    <row r="43" spans="1:8">
      <c r="A43" s="30" t="s">
        <v>21</v>
      </c>
      <c r="B43" s="38" t="s">
        <v>3</v>
      </c>
      <c r="C43" s="88">
        <v>32.82850199406284</v>
      </c>
      <c r="D43" s="88">
        <v>29.915753725985144</v>
      </c>
      <c r="E43" s="88">
        <v>33.446301900885402</v>
      </c>
      <c r="F43" s="40" t="s">
        <v>224</v>
      </c>
      <c r="G43" s="41">
        <v>1.88190099851127</v>
      </c>
      <c r="H43" s="33">
        <v>11.801635376592841</v>
      </c>
    </row>
    <row r="44" spans="1:8">
      <c r="A44" s="34"/>
      <c r="B44" s="25" t="s">
        <v>127</v>
      </c>
      <c r="C44" s="86">
        <v>6.8051800479300972</v>
      </c>
      <c r="D44" s="86">
        <v>6.4962385022786648</v>
      </c>
      <c r="E44" s="86">
        <v>7.1495874167091067</v>
      </c>
      <c r="F44" s="27"/>
      <c r="G44" s="28">
        <v>5.060958951170818</v>
      </c>
      <c r="H44" s="29">
        <v>10.057341863314733</v>
      </c>
    </row>
    <row r="45" spans="1:8">
      <c r="A45" s="30" t="s">
        <v>22</v>
      </c>
      <c r="B45" s="38" t="s">
        <v>3</v>
      </c>
      <c r="C45" s="88">
        <v>32.52119862292033</v>
      </c>
      <c r="D45" s="88">
        <v>28.487465665934884</v>
      </c>
      <c r="E45" s="88">
        <v>31.111224187682669</v>
      </c>
      <c r="F45" s="40" t="s">
        <v>224</v>
      </c>
      <c r="G45" s="41">
        <v>-4.335554945517714</v>
      </c>
      <c r="H45" s="33">
        <v>9.2102209179149952</v>
      </c>
    </row>
    <row r="46" spans="1:8">
      <c r="A46" s="34"/>
      <c r="B46" s="25" t="s">
        <v>127</v>
      </c>
      <c r="C46" s="86">
        <v>5.6613896771808081</v>
      </c>
      <c r="D46" s="86">
        <v>6.2319204389077179</v>
      </c>
      <c r="E46" s="86">
        <v>6.2695506777401917</v>
      </c>
      <c r="F46" s="27"/>
      <c r="G46" s="28">
        <v>10.742256499507178</v>
      </c>
      <c r="H46" s="29">
        <v>0.60383053990126712</v>
      </c>
    </row>
    <row r="47" spans="1:8">
      <c r="A47" s="30" t="s">
        <v>23</v>
      </c>
      <c r="B47" s="31" t="s">
        <v>3</v>
      </c>
      <c r="C47" s="84">
        <v>576.07121590457825</v>
      </c>
      <c r="D47" s="84">
        <v>516.58043609507877</v>
      </c>
      <c r="E47" s="87">
        <v>535.40875482260299</v>
      </c>
      <c r="F47" s="22" t="s">
        <v>224</v>
      </c>
      <c r="G47" s="23">
        <v>-7.0585823348463776</v>
      </c>
      <c r="H47" s="24">
        <v>3.6447990306893558</v>
      </c>
    </row>
    <row r="48" spans="1:8">
      <c r="A48" s="30"/>
      <c r="B48" s="35" t="s">
        <v>127</v>
      </c>
      <c r="C48" s="87">
        <v>148.08076197456927</v>
      </c>
      <c r="D48" s="87">
        <v>146.58293222579996</v>
      </c>
      <c r="E48" s="87">
        <v>146.84083735309574</v>
      </c>
      <c r="F48" s="36"/>
      <c r="G48" s="42">
        <v>-0.83732998462451746</v>
      </c>
      <c r="H48" s="24">
        <v>0.17594485482013056</v>
      </c>
    </row>
    <row r="49" spans="1:8">
      <c r="A49" s="43" t="s">
        <v>12</v>
      </c>
      <c r="B49" s="38" t="s">
        <v>3</v>
      </c>
      <c r="C49" s="88">
        <v>29.803703518294668</v>
      </c>
      <c r="D49" s="88">
        <v>22.053326655314656</v>
      </c>
      <c r="E49" s="88">
        <v>66.373254033620043</v>
      </c>
      <c r="F49" s="40" t="s">
        <v>224</v>
      </c>
      <c r="G49" s="41">
        <v>122.70136324795195</v>
      </c>
      <c r="H49" s="33">
        <v>200.96708342922346</v>
      </c>
    </row>
    <row r="50" spans="1:8">
      <c r="A50" s="34"/>
      <c r="B50" s="25" t="s">
        <v>127</v>
      </c>
      <c r="C50" s="86">
        <v>5.3649923009807514</v>
      </c>
      <c r="D50" s="86">
        <v>4.4951009139535891</v>
      </c>
      <c r="E50" s="86">
        <v>12.957301280185362</v>
      </c>
      <c r="F50" s="27"/>
      <c r="G50" s="28">
        <v>141.51574789430163</v>
      </c>
      <c r="H50" s="29">
        <v>188.25384631440875</v>
      </c>
    </row>
    <row r="51" spans="1:8">
      <c r="A51" s="43" t="s">
        <v>24</v>
      </c>
      <c r="B51" s="31" t="s">
        <v>3</v>
      </c>
      <c r="C51" s="84">
        <v>271.56016455240734</v>
      </c>
      <c r="D51" s="84">
        <v>273.14489621899213</v>
      </c>
      <c r="E51" s="87">
        <v>284.94491077894685</v>
      </c>
      <c r="F51" s="22" t="s">
        <v>224</v>
      </c>
      <c r="G51" s="23">
        <v>4.9288327132223486</v>
      </c>
      <c r="H51" s="24">
        <v>4.320056762288587</v>
      </c>
    </row>
    <row r="52" spans="1:8">
      <c r="A52" s="34"/>
      <c r="B52" s="35" t="s">
        <v>127</v>
      </c>
      <c r="C52" s="87">
        <v>59.786812387955273</v>
      </c>
      <c r="D52" s="87">
        <v>70.994546552429341</v>
      </c>
      <c r="E52" s="87">
        <v>69.856817464737418</v>
      </c>
      <c r="F52" s="36"/>
      <c r="G52" s="42">
        <v>16.843187777662578</v>
      </c>
      <c r="H52" s="24">
        <v>-1.6025584258809431</v>
      </c>
    </row>
    <row r="53" spans="1:8">
      <c r="A53" s="30" t="s">
        <v>25</v>
      </c>
      <c r="B53" s="38" t="s">
        <v>3</v>
      </c>
      <c r="C53" s="88">
        <v>8.3960291636080164</v>
      </c>
      <c r="D53" s="88">
        <v>11.900460003256288</v>
      </c>
      <c r="E53" s="88">
        <v>15.237829618233544</v>
      </c>
      <c r="F53" s="40" t="s">
        <v>224</v>
      </c>
      <c r="G53" s="41">
        <v>81.488526555872625</v>
      </c>
      <c r="H53" s="33">
        <v>28.044038751981532</v>
      </c>
    </row>
    <row r="54" spans="1:8">
      <c r="A54" s="30"/>
      <c r="B54" s="25" t="s">
        <v>127</v>
      </c>
      <c r="C54" s="86">
        <v>1.3590325073250289</v>
      </c>
      <c r="D54" s="86">
        <v>2.5019236108103944</v>
      </c>
      <c r="E54" s="86">
        <v>2.9133583728732253</v>
      </c>
      <c r="F54" s="27"/>
      <c r="G54" s="28">
        <v>114.37002847029478</v>
      </c>
      <c r="H54" s="29">
        <v>16.444737172833328</v>
      </c>
    </row>
    <row r="55" spans="1:8">
      <c r="A55" s="43" t="s">
        <v>9</v>
      </c>
      <c r="B55" s="31" t="s">
        <v>3</v>
      </c>
      <c r="C55" s="84">
        <v>1.1300134021599173</v>
      </c>
      <c r="D55" s="84">
        <v>1.1152516141181583</v>
      </c>
      <c r="E55" s="87">
        <v>1.2256158822178214</v>
      </c>
      <c r="F55" s="22" t="s">
        <v>224</v>
      </c>
      <c r="G55" s="23">
        <v>8.4602961234945298</v>
      </c>
      <c r="H55" s="24">
        <v>9.8959074976931731</v>
      </c>
    </row>
    <row r="56" spans="1:8">
      <c r="A56" s="34"/>
      <c r="B56" s="25" t="s">
        <v>127</v>
      </c>
      <c r="C56" s="86">
        <v>0.31165000387809372</v>
      </c>
      <c r="D56" s="86">
        <v>0.37556077637984708</v>
      </c>
      <c r="E56" s="86">
        <v>0.38440513807533888</v>
      </c>
      <c r="F56" s="27"/>
      <c r="G56" s="28">
        <v>23.345141438119271</v>
      </c>
      <c r="H56" s="29">
        <v>2.3549748141287381</v>
      </c>
    </row>
    <row r="57" spans="1:8">
      <c r="A57" s="30" t="s">
        <v>26</v>
      </c>
      <c r="B57" s="31" t="s">
        <v>3</v>
      </c>
      <c r="C57" s="89">
        <v>359.69733494867432</v>
      </c>
      <c r="D57" s="89">
        <v>332.81744518545696</v>
      </c>
      <c r="E57" s="87">
        <v>414.8799779401308</v>
      </c>
      <c r="F57" s="22" t="s">
        <v>224</v>
      </c>
      <c r="G57" s="23">
        <v>15.341410021659058</v>
      </c>
      <c r="H57" s="24">
        <v>24.656920465495986</v>
      </c>
    </row>
    <row r="58" spans="1:8" ht="13.5" thickBot="1">
      <c r="A58" s="45"/>
      <c r="B58" s="46" t="s">
        <v>127</v>
      </c>
      <c r="C58" s="90">
        <v>77.497383758315536</v>
      </c>
      <c r="D58" s="90">
        <v>81.622862512934987</v>
      </c>
      <c r="E58" s="90">
        <v>97.2647130628105</v>
      </c>
      <c r="F58" s="48"/>
      <c r="G58" s="49">
        <v>25.507092427973618</v>
      </c>
      <c r="H58" s="50">
        <v>19.163565290786892</v>
      </c>
    </row>
    <row r="59" spans="1:8">
      <c r="A59" s="51"/>
      <c r="B59" s="52"/>
      <c r="C59" s="53"/>
      <c r="D59" s="53"/>
      <c r="E59" s="53"/>
      <c r="F59" s="53"/>
      <c r="G59" s="54"/>
      <c r="H59" s="55"/>
    </row>
    <row r="60" spans="1:8">
      <c r="A60" s="56"/>
      <c r="B60" s="56"/>
      <c r="C60" s="56"/>
      <c r="D60" s="56"/>
      <c r="E60" s="56"/>
      <c r="F60" s="56"/>
      <c r="G60" s="56"/>
      <c r="H60" s="56"/>
    </row>
    <row r="61" spans="1:8" ht="12.75" customHeight="1">
      <c r="A61" s="58" t="s">
        <v>225</v>
      </c>
      <c r="G61" s="57"/>
      <c r="H61" s="158">
        <v>13</v>
      </c>
    </row>
    <row r="62" spans="1:8" ht="12.75" customHeight="1">
      <c r="A62" s="58" t="s">
        <v>226</v>
      </c>
      <c r="G62" s="57"/>
      <c r="H62" s="149"/>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9" display="Tilbake til innholdsfortegnelsen"/>
  </hyperlinks>
  <pageMargins left="0.78740157480314965" right="0.78740157480314965" top="0.98425196850393704" bottom="0.31496062992125984" header="0.31496062992125984" footer="3.937007874015748E-2"/>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istikk" ma:contentTypeID="0x0101000C511E5DF31BAD48807550FE88829D9D0038FF55C83469DE4F9B7DCA1B89E318DA" ma:contentTypeVersion="4" ma:contentTypeDescription="" ma:contentTypeScope="" ma:versionID="ca25aed54c960d52022b61f452b943cb">
  <xsd:schema xmlns:xsd="http://www.w3.org/2001/XMLSchema" xmlns:xs="http://www.w3.org/2001/XMLSchema" xmlns:p="http://schemas.microsoft.com/office/2006/metadata/properties" xmlns:ns2="6edf9311-6556-4af2-85ff-d57844cfe120" xmlns:ns3="d35b3e2b-d440-44dd-b9dd-e54a3943adc2" targetNamespace="http://schemas.microsoft.com/office/2006/metadata/properties" ma:root="true" ma:fieldsID="6aaeb2f404abc7033daa625e0dd95337" ns2:_="" ns3:_="">
    <xsd:import namespace="6edf9311-6556-4af2-85ff-d57844cfe120"/>
    <xsd:import namespace="d35b3e2b-d440-44dd-b9dd-e54a3943adc2"/>
    <xsd:element name="properties">
      <xsd:complexType>
        <xsd:sequence>
          <xsd:element name="documentManagement">
            <xsd:complexType>
              <xsd:all>
                <xsd:element ref="ns2:a0e180d50ff4423da66c611fe0af74a4" minOccurs="0"/>
                <xsd:element ref="ns2:TaxCatchAll"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f9311-6556-4af2-85ff-d57844cfe120" elementFormDefault="qualified">
    <xsd:import namespace="http://schemas.microsoft.com/office/2006/documentManagement/types"/>
    <xsd:import namespace="http://schemas.microsoft.com/office/infopath/2007/PartnerControls"/>
    <xsd:element name="a0e180d50ff4423da66c611fe0af74a4" ma:index="8" ma:taxonomy="true" ma:internalName="a0e180d50ff4423da66c611fe0af74a4" ma:taxonomyFieldName="Statistikk" ma:displayName="Statistikk" ma:indexed="true" ma:default="" ma:fieldId="{a0e180d5-0ff4-423d-a66c-611fe0af74a4}" ma:sspId="dab2b8ef-c951-45bf-a0d0-9b3f2fbb5ccb" ma:termSetId="11bf6401-ff6f-43ab-90c7-9959af6e779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0ebe59-b68a-4ac7-afab-48fa3cf54c5c}" ma:internalName="TaxCatchAll" ma:showField="CatchAllData"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0ebe59-b68a-4ac7-afab-48fa3cf54c5c}" ma:internalName="TaxCatchAllLabel" ma:readOnly="true" ma:showField="CatchAllDataLabel"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kument-ID-verdi" ma:description="Verdien for dokument-IDen som er tilordnet elementet." ma:internalName="_dlc_DocId" ma:readOnly="true">
      <xsd:simpleType>
        <xsd:restriction base="dms:Text"/>
      </xsd:simpleType>
    </xsd:element>
    <xsd:element name="_dlc_DocIdUrl" ma:index="1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5b3e2b-d440-44dd-b9dd-e54a3943adc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0e180d50ff4423da66c611fe0af74a4 xmlns="6edf9311-6556-4af2-85ff-d57844cfe120">
      <Terms xmlns="http://schemas.microsoft.com/office/infopath/2007/PartnerControls"/>
    </a0e180d50ff4423da66c611fe0af74a4>
    <TaxCatchAll xmlns="6edf9311-6556-4af2-85ff-d57844cfe120" xsi:nil="true"/>
    <_dlc_DocId xmlns="6edf9311-6556-4af2-85ff-d57844cfe120">2020-123998358-314</_dlc_DocId>
    <_dlc_DocIdUrl xmlns="6edf9311-6556-4af2-85ff-d57844cfe120">
      <Url>https://finansnorge.sharepoint.com/sites/intranett/arkiv/_layouts/15/DocIdRedir.aspx?ID=2020-123998358-314</Url>
      <Description>2020-123998358-314</Description>
    </_dlc_DocIdUrl>
  </documentManagement>
</p:properties>
</file>

<file path=customXml/itemProps1.xml><?xml version="1.0" encoding="utf-8"?>
<ds:datastoreItem xmlns:ds="http://schemas.openxmlformats.org/officeDocument/2006/customXml" ds:itemID="{0E0A94D3-45FE-449E-93B7-05486630DD00}"/>
</file>

<file path=customXml/itemProps2.xml><?xml version="1.0" encoding="utf-8"?>
<ds:datastoreItem xmlns:ds="http://schemas.openxmlformats.org/officeDocument/2006/customXml" ds:itemID="{C431B064-BF0B-414C-890E-6CEC3375411A}"/>
</file>

<file path=customXml/itemProps3.xml><?xml version="1.0" encoding="utf-8"?>
<ds:datastoreItem xmlns:ds="http://schemas.openxmlformats.org/officeDocument/2006/customXml" ds:itemID="{6721F689-5B97-45EB-883C-510D278DD6F2}"/>
</file>

<file path=customXml/itemProps4.xml><?xml version="1.0" encoding="utf-8"?>
<ds:datastoreItem xmlns:ds="http://schemas.openxmlformats.org/officeDocument/2006/customXml" ds:itemID="{E2CD8A7F-CAB1-40A1-91BF-C6A72B7F95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Navngitte områder</vt:lpstr>
      </vt:variant>
      <vt:variant>
        <vt:i4>41</vt:i4>
      </vt:variant>
    </vt:vector>
  </HeadingPairs>
  <TitlesOfParts>
    <vt:vector size="62"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Forside!Utskriftsområde</vt:lpstr>
      <vt:lpstr>Innhold!Utskriftsområde</vt:lpstr>
      <vt:lpstr>'Tab1'!Utskriftsområde</vt:lpstr>
      <vt:lpstr>'Tab10'!Utskriftsområde</vt:lpstr>
      <vt:lpstr>'Tab11'!Utskriftsområde</vt:lpstr>
      <vt:lpstr>'Tab12'!Utskriftsområde</vt:lpstr>
      <vt:lpstr>'Tab13'!Utskriftsområde</vt:lpstr>
      <vt:lpstr>'Tab14'!Utskriftsområde</vt:lpstr>
      <vt:lpstr>'Tab15'!Utskriftsområde</vt:lpstr>
      <vt:lpstr>'Tab16'!Utskriftsområde</vt:lpstr>
      <vt:lpstr>'Tab17'!Utskriftsområde</vt:lpstr>
      <vt:lpstr>'Tab18'!Utskriftsområde</vt:lpstr>
      <vt:lpstr>'Tab19'!Utskriftsområde</vt:lpstr>
      <vt:lpstr>'Tab2'!Utskriftsområde</vt:lpstr>
      <vt:lpstr>'Tab3'!Utskriftsområde</vt:lpstr>
      <vt:lpstr>'Tab4'!Utskriftsområde</vt:lpstr>
      <vt:lpstr>'Tab5'!Utskriftsområde</vt:lpstr>
      <vt:lpstr>'Tab6'!Utskriftsområde</vt:lpstr>
      <vt:lpstr>'Tab7'!Utskriftsområde</vt:lpstr>
      <vt:lpstr>'Tab8'!Utskriftsområde</vt:lpstr>
      <vt:lpstr>'Tab9'!Utskriftsområde</vt:lpstr>
      <vt:lpstr>Innhold!ÅR_1årsiden</vt:lpstr>
      <vt:lpstr>'Tab1'!ÅR_1årsiden</vt:lpstr>
      <vt:lpstr>'Tab19'!ÅR_1årsiden</vt:lpstr>
      <vt:lpstr>'Tab2'!ÅR_1årsiden</vt:lpstr>
      <vt:lpstr>ÅR_1årsiden</vt:lpstr>
      <vt:lpstr>Innhold!ÅR_2årsiden</vt:lpstr>
      <vt:lpstr>'Tab1'!ÅR_2årsiden</vt:lpstr>
      <vt:lpstr>'Tab19'!ÅR_2årsiden</vt:lpstr>
      <vt:lpstr>'Tab2'!ÅR_2årsiden</vt:lpstr>
      <vt:lpstr>ÅR_2årsiden</vt:lpstr>
      <vt:lpstr>Innhold!ÅR_nå</vt:lpstr>
      <vt:lpstr>'Tab1'!ÅR_nå</vt:lpstr>
      <vt:lpstr>'Tab19'!ÅR_nå</vt:lpstr>
      <vt:lpstr>'Tab2'!ÅR_nå</vt:lpstr>
      <vt:lpstr>ÅR_nå</vt:lpstr>
      <vt:lpstr>Innhold!ÅR_pt</vt:lpstr>
      <vt:lpstr>'Tab1'!ÅR_pt</vt:lpstr>
      <vt:lpstr>'Tab19'!ÅR_pt</vt:lpstr>
      <vt:lpstr>'Tab2'!ÅR_pt</vt:lpstr>
      <vt:lpstr>ÅR_pt</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annha</cp:lastModifiedBy>
  <cp:lastPrinted>2013-05-24T12:38:36Z</cp:lastPrinted>
  <dcterms:created xsi:type="dcterms:W3CDTF">2002-02-09T09:48:14Z</dcterms:created>
  <dcterms:modified xsi:type="dcterms:W3CDTF">2013-05-30T08:57:46Z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0x0101000C511E5DF31BAD48807550FE88829D9D0038FF55C83469DE4F9B7DCA1B89E318DA</vt:lpwstr>
  </property>
  <property fmtid="{D5CDD505-2E9C-101B-9397-08002B2CF9AE}" pid="3" name="_dlc_DocIdItemGuid">
    <vt:lpwstr>05b31e03-667a-4016-bd15-667732678cd7</vt:lpwstr>
  </property>
</Properties>
</file>