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forsikringsdrift.sharepoint.com/sites/soa/Delte dokumenter/Liv-pensjon/Faste statistikker/MA/2025/Q4-2025/Publisert/"/>
    </mc:Choice>
  </mc:AlternateContent>
  <xr:revisionPtr revIDLastSave="0" documentId="8_{6F63BD15-5C15-4084-96DC-66028EA56914}" xr6:coauthVersionLast="47" xr6:coauthVersionMax="47" xr10:uidLastSave="{00000000-0000-0000-0000-000000000000}"/>
  <bookViews>
    <workbookView xWindow="-120" yWindow="-120" windowWidth="29040" windowHeight="17520" tabRatio="835" activeTab="1" xr2:uid="{00000000-000D-0000-FFFF-FFFF00000000}"/>
  </bookViews>
  <sheets>
    <sheet name="Forside" sheetId="80" r:id="rId1"/>
    <sheet name="Innhold" sheetId="7" r:id="rId2"/>
    <sheet name="Figurer" sheetId="8" r:id="rId3"/>
    <sheet name="Tabel 1.1" sheetId="9" r:id="rId4"/>
    <sheet name="Tabell 1.2" sheetId="10" r:id="rId5"/>
    <sheet name="Tabell 1.3" sheetId="58" r:id="rId6"/>
    <sheet name="Skjema total MA" sheetId="4" r:id="rId7"/>
    <sheet name="DNB Livsforsikring" sheetId="13" r:id="rId8"/>
    <sheet name="Euro Accident" sheetId="77" r:id="rId9"/>
    <sheet name="Fremtind Livsforsikring" sheetId="16" r:id="rId10"/>
    <sheet name="Frende Livsforsikring" sheetId="20" r:id="rId11"/>
    <sheet name="Frende Skadeforsikring" sheetId="21" r:id="rId12"/>
    <sheet name="Gjensidige Forsikring" sheetId="22" r:id="rId13"/>
    <sheet name="Gjensidige Pensjon" sheetId="23" r:id="rId14"/>
    <sheet name="If Skadeforsikring NUF" sheetId="25" r:id="rId15"/>
    <sheet name="KLP" sheetId="26" r:id="rId16"/>
    <sheet name="KLP Skadeforsikring AS" sheetId="51" r:id="rId17"/>
    <sheet name="Knif Trygghet Forsikring" sheetId="91" r:id="rId18"/>
    <sheet name="Landkreditt Forsikring" sheetId="40" r:id="rId19"/>
    <sheet name="Ly Forsikring" sheetId="78" r:id="rId20"/>
    <sheet name="Nordea Liv " sheetId="29" r:id="rId21"/>
    <sheet name="Oslo Forsikring" sheetId="81" r:id="rId22"/>
    <sheet name="Oslo Pensjonsforsikring" sheetId="34" r:id="rId23"/>
    <sheet name="Protector Forsikring" sheetId="72" r:id="rId24"/>
    <sheet name="Sparebank 1 Fors." sheetId="33" r:id="rId25"/>
    <sheet name="Storebrand Livsforsikring" sheetId="37" r:id="rId26"/>
    <sheet name="Telenor Forsikring" sheetId="38" r:id="rId27"/>
    <sheet name="Tryg Forsikring" sheetId="39" r:id="rId28"/>
    <sheet name="WaterCircles F" sheetId="74" r:id="rId29"/>
    <sheet name="Youplus Livsforsikring" sheetId="79" r:id="rId30"/>
    <sheet name="Tabell 4" sheetId="82" r:id="rId31"/>
    <sheet name="Tabell 5.1" sheetId="83" r:id="rId32"/>
    <sheet name="Tabell 5.2" sheetId="84" r:id="rId33"/>
    <sheet name="Tabell 5.3" sheetId="85" r:id="rId34"/>
    <sheet name="Tabell 6" sheetId="86" r:id="rId35"/>
    <sheet name="Tabell 7a" sheetId="87" r:id="rId36"/>
    <sheet name="Tabell 7b" sheetId="88" r:id="rId37"/>
    <sheet name="Tabell 8" sheetId="89" r:id="rId38"/>
    <sheet name="Noter og kommentarer" sheetId="3" r:id="rId39"/>
  </sheets>
  <externalReferences>
    <externalReference r:id="rId40"/>
  </externalReferences>
  <definedNames>
    <definedName name="Dag">#REF!</definedName>
    <definedName name="Dager">#REF!</definedName>
    <definedName name="dato">#REF!</definedName>
    <definedName name="Feilmelding">#REF!</definedName>
    <definedName name="FilNavn">[1]Oppslagstabeller!$N$5</definedName>
    <definedName name="Fjorårstall">#REF!</definedName>
    <definedName name="Koder2a">#REF!</definedName>
    <definedName name="kvartal">#REF!</definedName>
    <definedName name="Måned">#REF!</definedName>
    <definedName name="OppslagsKolonneDataVerdi">#REF!</definedName>
    <definedName name="OppslagsKolonneSelskapNavn">#REF!</definedName>
    <definedName name="Selskap">[1]Oppslagstabeller!$N$4</definedName>
    <definedName name="SelskapKolonneIndeks">[1]!Tabell3[#All]</definedName>
    <definedName name="SelskapListe">#REF!</definedName>
    <definedName name="Selskapsliste">[1]Oppslagstabeller!$A$1:$G$36</definedName>
    <definedName name="UtfylteTall">#REF!</definedName>
    <definedName name="_xlnm.Print_Area" localSheetId="9">'Fremtind Livsforsikring'!$A$1:$M$137</definedName>
    <definedName name="_xlnm.Print_Area" localSheetId="38">'Noter og kommentarer'!$A$1:$L$43</definedName>
    <definedName name="_xlnm.Print_Area" localSheetId="6">'Skjema total MA'!$A$1:$J$138</definedName>
    <definedName name="_xlnm.Print_Area" localSheetId="31">'Tabell 5.1'!$A$2:$AK$109</definedName>
    <definedName name="_xlnm.Print_Area" localSheetId="32">'Tabell 5.2'!$A$2:$AK$145</definedName>
    <definedName name="_xlnm.Print_Area" localSheetId="35">'Tabell 7a'!$A$2:$AH$62</definedName>
    <definedName name="_xlnm.Print_Area" localSheetId="36">'Tabell 7b'!$A$2:$Y$44</definedName>
    <definedName name="_xlnm.Print_Area" localSheetId="37">'Tabell 8'!$A$2:$AE$34</definedName>
    <definedName name="_xlnm.Print_Titles" localSheetId="31">'Tabell 5.1'!$A:$A,'Tabell 5.1'!$2:$9</definedName>
    <definedName name="_xlnm.Print_Titles" localSheetId="32">'Tabell 5.2'!$A:$A,'Tabell 5.2'!$2:$9</definedName>
    <definedName name="_xlnm.Print_Titles" localSheetId="35">'Tabell 7a'!$A:$A</definedName>
    <definedName name="_xlnm.Print_Titles" localSheetId="36">'Tabell 7b'!$A:$A</definedName>
    <definedName name="_xlnm.Print_Titles" localSheetId="37">'Tabell 8'!$A:$A</definedName>
    <definedName name="år">#REF!</definedName>
    <definedName name="ÅrFratrek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88" l="1"/>
  <c r="T25" i="88"/>
  <c r="U25" i="88"/>
  <c r="M33" i="23" l="1"/>
  <c r="I33" i="23"/>
  <c r="E51" i="77"/>
  <c r="I25" i="4" l="1"/>
  <c r="J25" i="88" l="1"/>
  <c r="I40" i="88"/>
  <c r="I31" i="88"/>
  <c r="H31" i="88"/>
  <c r="I21" i="88"/>
  <c r="H21" i="88"/>
  <c r="J21" i="88" s="1"/>
  <c r="I16" i="88"/>
  <c r="H16" i="88"/>
  <c r="I11" i="88"/>
  <c r="H11" i="88"/>
  <c r="O57" i="87"/>
  <c r="P44" i="87"/>
  <c r="N46" i="87"/>
  <c r="N40" i="87"/>
  <c r="P40" i="87" s="1"/>
  <c r="N23" i="87"/>
  <c r="N11" i="87"/>
  <c r="N20" i="85"/>
  <c r="P140" i="84"/>
  <c r="U26" i="88" l="1"/>
  <c r="P19" i="88"/>
  <c r="P18" i="88"/>
  <c r="P17" i="88"/>
  <c r="AF44" i="87"/>
  <c r="AF41" i="87"/>
  <c r="AE34" i="87"/>
  <c r="AE22" i="87"/>
  <c r="AB44" i="87"/>
  <c r="Y47" i="87"/>
  <c r="V44" i="87"/>
  <c r="G24" i="87"/>
  <c r="G30" i="87"/>
  <c r="G34" i="87"/>
  <c r="AJ83" i="86"/>
  <c r="AG83" i="86"/>
  <c r="AJ75" i="86"/>
  <c r="AJ74" i="86"/>
  <c r="AG75" i="86"/>
  <c r="AG74" i="86"/>
  <c r="AB53" i="86"/>
  <c r="V77" i="86"/>
  <c r="V21" i="86"/>
  <c r="S18" i="86"/>
  <c r="S17" i="86"/>
  <c r="S15" i="86"/>
  <c r="S25" i="86"/>
  <c r="S49" i="86"/>
  <c r="S56" i="86"/>
  <c r="S58" i="86"/>
  <c r="D38" i="86"/>
  <c r="Y13" i="85"/>
  <c r="AJ85" i="84"/>
  <c r="AI85" i="84"/>
  <c r="AK85" i="84" s="1"/>
  <c r="AG85" i="84"/>
  <c r="AF85" i="84"/>
  <c r="AH85" i="84" s="1"/>
  <c r="AJ61" i="84"/>
  <c r="AI61" i="84"/>
  <c r="AK61" i="84" s="1"/>
  <c r="AG61" i="84"/>
  <c r="AF61" i="84"/>
  <c r="AJ37" i="84"/>
  <c r="AI37" i="84"/>
  <c r="AK37" i="84" s="1"/>
  <c r="AG37" i="84"/>
  <c r="AF37" i="84"/>
  <c r="AH37" i="84" s="1"/>
  <c r="AJ13" i="84"/>
  <c r="AI13" i="84"/>
  <c r="AK13" i="84" s="1"/>
  <c r="AG13" i="84"/>
  <c r="AF13" i="84"/>
  <c r="AB103" i="84"/>
  <c r="AB85" i="84"/>
  <c r="AB57" i="84"/>
  <c r="Y13" i="84"/>
  <c r="S85" i="84"/>
  <c r="S13" i="84"/>
  <c r="D85" i="84"/>
  <c r="D13" i="84"/>
  <c r="AH13" i="84" l="1"/>
  <c r="AB68" i="83"/>
  <c r="AB63" i="83"/>
  <c r="Y63" i="83"/>
  <c r="Y13" i="83"/>
  <c r="S105" i="83"/>
  <c r="S95" i="83"/>
  <c r="S75" i="83"/>
  <c r="S57" i="83"/>
  <c r="S48" i="83"/>
  <c r="AI83" i="83"/>
  <c r="Y75" i="83"/>
  <c r="AJ75" i="83"/>
  <c r="AI75" i="83"/>
  <c r="AK75" i="83" s="1"/>
  <c r="AG75" i="83"/>
  <c r="AH75" i="83" s="1"/>
  <c r="AF75" i="83"/>
  <c r="AJ63" i="83"/>
  <c r="AI63" i="83"/>
  <c r="AG63" i="83"/>
  <c r="AF63" i="83"/>
  <c r="AH63" i="83" s="1"/>
  <c r="AG68" i="83"/>
  <c r="AG67" i="83"/>
  <c r="AG64" i="83"/>
  <c r="AG62" i="83"/>
  <c r="AK63" i="83" l="1"/>
  <c r="G90" i="86" l="1"/>
  <c r="G89" i="86"/>
  <c r="G71" i="86"/>
  <c r="G36" i="86"/>
  <c r="G34" i="86"/>
  <c r="G23" i="86"/>
  <c r="G18" i="86"/>
  <c r="G17" i="86"/>
  <c r="D49" i="86"/>
  <c r="D46" i="86"/>
  <c r="D19" i="86"/>
  <c r="D18" i="86"/>
  <c r="D17" i="86"/>
  <c r="J26" i="82"/>
  <c r="M97" i="79" l="1"/>
  <c r="E97" i="79"/>
  <c r="E52" i="39"/>
  <c r="E51" i="39"/>
  <c r="M33" i="37"/>
  <c r="I33" i="37"/>
  <c r="E52" i="37"/>
  <c r="D52" i="37"/>
  <c r="E51" i="37"/>
  <c r="D51" i="37"/>
  <c r="I33" i="33"/>
  <c r="M33" i="33"/>
  <c r="E104" i="33"/>
  <c r="E83" i="33"/>
  <c r="D83" i="33"/>
  <c r="E72" i="33"/>
  <c r="D72" i="33"/>
  <c r="I92" i="29" l="1"/>
  <c r="H92" i="29"/>
  <c r="K92" i="29"/>
  <c r="J92" i="29"/>
  <c r="M92" i="29"/>
  <c r="L92" i="29"/>
  <c r="M71" i="29"/>
  <c r="L71" i="29"/>
  <c r="M69" i="29"/>
  <c r="L69" i="29"/>
  <c r="K71" i="29"/>
  <c r="J71" i="29"/>
  <c r="K69" i="29"/>
  <c r="J69" i="29"/>
  <c r="I71" i="29"/>
  <c r="H71" i="29"/>
  <c r="I69" i="29"/>
  <c r="H69" i="29"/>
  <c r="E83" i="29"/>
  <c r="D83" i="29"/>
  <c r="E72" i="29"/>
  <c r="D72" i="29"/>
  <c r="E69" i="29"/>
  <c r="D69" i="29"/>
  <c r="E50" i="26"/>
  <c r="D50" i="26"/>
  <c r="K106" i="23"/>
  <c r="J106" i="23"/>
  <c r="K104" i="23"/>
  <c r="J104" i="23"/>
  <c r="K95" i="23"/>
  <c r="J95" i="23"/>
  <c r="K93" i="23"/>
  <c r="J93" i="23"/>
  <c r="K85" i="23" l="1"/>
  <c r="J85" i="23"/>
  <c r="K83" i="23"/>
  <c r="J83" i="23"/>
  <c r="K74" i="23"/>
  <c r="J74" i="23"/>
  <c r="K72" i="23"/>
  <c r="J72" i="23"/>
  <c r="E52" i="22"/>
  <c r="D52" i="22"/>
  <c r="E51" i="22"/>
  <c r="D51" i="22"/>
  <c r="E52" i="16"/>
  <c r="E51" i="16"/>
  <c r="L74" i="23" l="1"/>
  <c r="L74" i="29"/>
  <c r="L74" i="33"/>
  <c r="L74" i="37"/>
  <c r="L74" i="13"/>
  <c r="L72" i="23"/>
  <c r="L72" i="29"/>
  <c r="L72" i="33"/>
  <c r="L72" i="37"/>
  <c r="L72" i="13"/>
  <c r="L85" i="23"/>
  <c r="L85" i="29"/>
  <c r="L85" i="33"/>
  <c r="L85" i="37"/>
  <c r="L85" i="13"/>
  <c r="L83" i="23"/>
  <c r="L83" i="29"/>
  <c r="L83" i="33"/>
  <c r="L83" i="37"/>
  <c r="L83" i="13"/>
  <c r="L90" i="29"/>
  <c r="L90" i="13"/>
  <c r="L91" i="13"/>
  <c r="L93" i="23"/>
  <c r="L93" i="29"/>
  <c r="L93" i="33"/>
  <c r="L93" i="37"/>
  <c r="L93" i="13"/>
  <c r="L95" i="23"/>
  <c r="L95" i="29"/>
  <c r="L95" i="33"/>
  <c r="L95" i="37"/>
  <c r="L95" i="13"/>
  <c r="L104" i="23"/>
  <c r="L104" i="29"/>
  <c r="L104" i="33"/>
  <c r="L104" i="37"/>
  <c r="L104" i="13"/>
  <c r="L106" i="23"/>
  <c r="L106" i="29"/>
  <c r="L106" i="33"/>
  <c r="L106" i="37"/>
  <c r="L106" i="13"/>
  <c r="K106" i="29"/>
  <c r="J106" i="29"/>
  <c r="K106" i="33"/>
  <c r="J106" i="33"/>
  <c r="K106" i="37"/>
  <c r="J106" i="37"/>
  <c r="K106" i="13"/>
  <c r="J106" i="13"/>
  <c r="K104" i="29"/>
  <c r="J104" i="29"/>
  <c r="K104" i="33"/>
  <c r="J104" i="33"/>
  <c r="K104" i="37"/>
  <c r="J104" i="37"/>
  <c r="K104" i="13"/>
  <c r="J104" i="13"/>
  <c r="K95" i="29"/>
  <c r="J95" i="29"/>
  <c r="K95" i="33"/>
  <c r="J95" i="33"/>
  <c r="K95" i="37"/>
  <c r="J95" i="37"/>
  <c r="K95" i="13"/>
  <c r="J95" i="13"/>
  <c r="K93" i="29"/>
  <c r="J93" i="29"/>
  <c r="K93" i="33"/>
  <c r="J93" i="33"/>
  <c r="K93" i="37"/>
  <c r="J93" i="37"/>
  <c r="K93" i="13"/>
  <c r="J93" i="13"/>
  <c r="K91" i="13"/>
  <c r="J91" i="13"/>
  <c r="K90" i="29"/>
  <c r="J90" i="29"/>
  <c r="K90" i="13"/>
  <c r="J90" i="13"/>
  <c r="K85" i="29"/>
  <c r="J85" i="29"/>
  <c r="K85" i="33"/>
  <c r="J85" i="33"/>
  <c r="K85" i="37"/>
  <c r="J85" i="37"/>
  <c r="K85" i="13"/>
  <c r="J85" i="13"/>
  <c r="K83" i="29"/>
  <c r="J83" i="29"/>
  <c r="K83" i="33"/>
  <c r="J83" i="33"/>
  <c r="K83" i="37"/>
  <c r="J83" i="37"/>
  <c r="K83" i="13"/>
  <c r="J83" i="13"/>
  <c r="K72" i="29"/>
  <c r="J72" i="29"/>
  <c r="K72" i="33"/>
  <c r="J72" i="33"/>
  <c r="K72" i="37"/>
  <c r="J72" i="37"/>
  <c r="K72" i="13"/>
  <c r="J72" i="13"/>
  <c r="K74" i="29"/>
  <c r="J74" i="29"/>
  <c r="K74" i="33"/>
  <c r="J74" i="33"/>
  <c r="K74" i="37"/>
  <c r="J74" i="37"/>
  <c r="K74" i="13"/>
  <c r="J74" i="13"/>
  <c r="E93" i="29"/>
  <c r="E93" i="33"/>
  <c r="E93" i="37"/>
  <c r="E93" i="13"/>
  <c r="D93" i="29"/>
  <c r="D93" i="33"/>
  <c r="D93" i="37"/>
  <c r="D93" i="13"/>
  <c r="D104" i="29"/>
  <c r="D104" i="33"/>
  <c r="D104" i="37"/>
  <c r="D104" i="13"/>
  <c r="E104" i="23"/>
  <c r="E104" i="29"/>
  <c r="E104" i="37"/>
  <c r="E104" i="13"/>
  <c r="E105" i="23"/>
  <c r="E105" i="29"/>
  <c r="E105" i="37"/>
  <c r="E105" i="13"/>
  <c r="E106" i="23"/>
  <c r="E106" i="29"/>
  <c r="E106" i="37"/>
  <c r="E106" i="13"/>
  <c r="H106" i="23"/>
  <c r="H106" i="29"/>
  <c r="H106" i="33"/>
  <c r="H106" i="37"/>
  <c r="H106" i="13"/>
  <c r="H104" i="23"/>
  <c r="H104" i="29"/>
  <c r="H104" i="33"/>
  <c r="H104" i="37"/>
  <c r="H104" i="13"/>
  <c r="H95" i="23"/>
  <c r="H95" i="29"/>
  <c r="H95" i="33"/>
  <c r="H95" i="37"/>
  <c r="H95" i="13"/>
  <c r="H93" i="23"/>
  <c r="H93" i="29"/>
  <c r="H93" i="33"/>
  <c r="H93" i="37"/>
  <c r="H93" i="13"/>
  <c r="H91" i="13"/>
  <c r="H90" i="29"/>
  <c r="H90" i="13"/>
  <c r="H85" i="23"/>
  <c r="H85" i="29"/>
  <c r="H85" i="33"/>
  <c r="H85" i="37"/>
  <c r="H85" i="13"/>
  <c r="H83" i="23"/>
  <c r="H83" i="29"/>
  <c r="H83" i="33"/>
  <c r="H83" i="37"/>
  <c r="H83" i="13"/>
  <c r="H74" i="23"/>
  <c r="H74" i="29"/>
  <c r="H74" i="33"/>
  <c r="H74" i="37"/>
  <c r="H74" i="13"/>
  <c r="H72" i="23"/>
  <c r="H72" i="29"/>
  <c r="H72" i="33"/>
  <c r="H72" i="37"/>
  <c r="H72" i="13"/>
  <c r="O1" i="77"/>
  <c r="O1" i="16"/>
  <c r="O1" i="20"/>
  <c r="O1" i="21"/>
  <c r="O1" i="22"/>
  <c r="O1" i="23"/>
  <c r="O1" i="25"/>
  <c r="O1" i="26"/>
  <c r="O1" i="51"/>
  <c r="O1" i="91"/>
  <c r="O1" i="40"/>
  <c r="O1" i="78"/>
  <c r="O1" i="29"/>
  <c r="O1" i="81"/>
  <c r="O1" i="34"/>
  <c r="O1" i="72"/>
  <c r="O1" i="33"/>
  <c r="O1" i="37"/>
  <c r="O1" i="38"/>
  <c r="O1" i="39"/>
  <c r="O1" i="74"/>
  <c r="O1" i="79"/>
  <c r="AA17" i="89"/>
  <c r="AB12" i="89" l="1"/>
  <c r="V12" i="89"/>
  <c r="Y12" i="89"/>
  <c r="X17" i="89"/>
  <c r="U17" i="89" l="1"/>
  <c r="S12" i="89" l="1"/>
  <c r="P12" i="89"/>
  <c r="R17" i="89"/>
  <c r="M13" i="89" l="1"/>
  <c r="M12" i="89"/>
  <c r="L17" i="89"/>
  <c r="F17" i="89" l="1"/>
  <c r="D12" i="89" l="1"/>
  <c r="C17" i="89"/>
  <c r="P84" i="86" l="1"/>
  <c r="P52" i="86"/>
  <c r="P43" i="82"/>
  <c r="P28" i="82"/>
  <c r="O17" i="89" l="1"/>
  <c r="AD13" i="89"/>
  <c r="AC13" i="89"/>
  <c r="Y13" i="89"/>
  <c r="S13" i="89"/>
  <c r="P13" i="89"/>
  <c r="D13" i="89"/>
  <c r="AD12" i="89"/>
  <c r="AC12" i="89"/>
  <c r="AD11" i="89"/>
  <c r="AC11" i="89"/>
  <c r="AE11" i="89" s="1"/>
  <c r="AE13" i="89" l="1"/>
  <c r="AE12" i="89"/>
  <c r="F31" i="88" l="1"/>
  <c r="E31" i="88"/>
  <c r="F16" i="88"/>
  <c r="E16" i="88"/>
  <c r="F11" i="88"/>
  <c r="E11" i="88"/>
  <c r="L46" i="87"/>
  <c r="K46" i="87"/>
  <c r="L40" i="87"/>
  <c r="K40" i="87"/>
  <c r="M40" i="87" s="1"/>
  <c r="L23" i="87"/>
  <c r="K23" i="87"/>
  <c r="L11" i="87"/>
  <c r="K11" i="87"/>
  <c r="M71" i="86"/>
  <c r="M77" i="86"/>
  <c r="M61" i="86"/>
  <c r="M49" i="86"/>
  <c r="M46" i="86"/>
  <c r="M40" i="86"/>
  <c r="M34" i="86"/>
  <c r="M14" i="86"/>
  <c r="M19" i="86"/>
  <c r="L87" i="86"/>
  <c r="K87" i="86"/>
  <c r="L80" i="86"/>
  <c r="L93" i="86" s="1"/>
  <c r="K80" i="86"/>
  <c r="K93" i="86" s="1"/>
  <c r="L54" i="86"/>
  <c r="K54" i="86"/>
  <c r="K60" i="86" s="1"/>
  <c r="L60" i="86"/>
  <c r="L39" i="86"/>
  <c r="K39" i="86"/>
  <c r="L35" i="86"/>
  <c r="K35" i="86"/>
  <c r="L20" i="86"/>
  <c r="K20" i="86"/>
  <c r="L16" i="86"/>
  <c r="L27" i="86" s="1"/>
  <c r="L29" i="86" s="1"/>
  <c r="K16" i="86"/>
  <c r="K27" i="86" s="1"/>
  <c r="K29" i="86" s="1"/>
  <c r="M52" i="84"/>
  <c r="M51" i="84"/>
  <c r="L92" i="84"/>
  <c r="K92" i="84"/>
  <c r="L56" i="84"/>
  <c r="K56" i="84"/>
  <c r="L106" i="83"/>
  <c r="K106" i="83"/>
  <c r="L94" i="83"/>
  <c r="K94" i="83"/>
  <c r="M17" i="82"/>
  <c r="M26" i="82"/>
  <c r="L41" i="82"/>
  <c r="K41" i="82"/>
  <c r="L30" i="82"/>
  <c r="K30" i="82"/>
  <c r="L21" i="82"/>
  <c r="K21" i="82"/>
  <c r="L14" i="82"/>
  <c r="K14" i="82"/>
  <c r="K45" i="86" l="1"/>
  <c r="L45" i="86"/>
  <c r="L35" i="82"/>
  <c r="L42" i="82" s="1"/>
  <c r="L44" i="82" s="1"/>
  <c r="L46" i="82" s="1"/>
  <c r="M16" i="86"/>
  <c r="K35" i="82"/>
  <c r="K42" i="82" s="1"/>
  <c r="K44" i="82" s="1"/>
  <c r="K46" i="82" s="1"/>
  <c r="K62" i="86"/>
  <c r="K64" i="86" s="1"/>
  <c r="L62" i="86"/>
  <c r="L64" i="86" s="1"/>
  <c r="O31" i="88" l="1"/>
  <c r="N31" i="88"/>
  <c r="O16" i="88"/>
  <c r="N16" i="88"/>
  <c r="P16" i="88" s="1"/>
  <c r="O11" i="88"/>
  <c r="N11" i="88"/>
  <c r="X46" i="87"/>
  <c r="W46" i="87"/>
  <c r="X40" i="87"/>
  <c r="W40" i="87"/>
  <c r="Y40" i="87" s="1"/>
  <c r="X23" i="87"/>
  <c r="W23" i="87"/>
  <c r="X11" i="87"/>
  <c r="W11" i="87"/>
  <c r="Y79" i="86"/>
  <c r="Y58" i="86"/>
  <c r="Y57" i="86"/>
  <c r="Y49" i="86"/>
  <c r="Y42" i="86"/>
  <c r="Y24" i="86"/>
  <c r="X87" i="86"/>
  <c r="W87" i="86"/>
  <c r="X80" i="86"/>
  <c r="X93" i="86" s="1"/>
  <c r="W80" i="86"/>
  <c r="X54" i="86"/>
  <c r="W54" i="86"/>
  <c r="W60" i="86" s="1"/>
  <c r="X39" i="86"/>
  <c r="W39" i="86"/>
  <c r="X35" i="86"/>
  <c r="W35" i="86"/>
  <c r="X20" i="86"/>
  <c r="W20" i="86"/>
  <c r="X16" i="86"/>
  <c r="W16" i="86"/>
  <c r="X20" i="85"/>
  <c r="W20" i="85"/>
  <c r="Y118" i="84"/>
  <c r="Y113" i="84"/>
  <c r="Y112" i="84"/>
  <c r="Y110" i="84"/>
  <c r="Y109" i="84"/>
  <c r="Y37" i="84"/>
  <c r="X116" i="84"/>
  <c r="W116" i="84"/>
  <c r="X92" i="84"/>
  <c r="W92" i="84"/>
  <c r="X80" i="84"/>
  <c r="W80" i="84"/>
  <c r="X68" i="84"/>
  <c r="W68" i="84"/>
  <c r="X56" i="84"/>
  <c r="W56" i="84"/>
  <c r="X44" i="84"/>
  <c r="W44" i="84"/>
  <c r="X20" i="84"/>
  <c r="W20" i="84"/>
  <c r="X106" i="83"/>
  <c r="W106" i="83"/>
  <c r="X82" i="83"/>
  <c r="W82" i="83"/>
  <c r="X70" i="83"/>
  <c r="W70" i="83"/>
  <c r="X56" i="83"/>
  <c r="W56" i="83"/>
  <c r="X32" i="83"/>
  <c r="W32" i="83"/>
  <c r="X20" i="83"/>
  <c r="W20" i="83"/>
  <c r="X57" i="82"/>
  <c r="W57" i="82"/>
  <c r="W58" i="82" s="1"/>
  <c r="X58" i="82"/>
  <c r="X41" i="82"/>
  <c r="W41" i="82"/>
  <c r="X30" i="82"/>
  <c r="W30" i="82"/>
  <c r="X21" i="82"/>
  <c r="W21" i="82"/>
  <c r="X14" i="82"/>
  <c r="W14" i="82"/>
  <c r="AD46" i="87"/>
  <c r="AC46" i="87"/>
  <c r="AD40" i="87"/>
  <c r="AC40" i="87"/>
  <c r="AE40" i="87" s="1"/>
  <c r="AD23" i="87"/>
  <c r="AC23" i="87"/>
  <c r="AD11" i="87"/>
  <c r="AC11" i="87"/>
  <c r="AD80" i="86"/>
  <c r="AC80" i="86"/>
  <c r="AC93" i="86" s="1"/>
  <c r="AD69" i="86"/>
  <c r="AD39" i="86"/>
  <c r="AD45" i="86" s="1"/>
  <c r="AD62" i="86" s="1"/>
  <c r="AC39" i="86"/>
  <c r="AC45" i="86" s="1"/>
  <c r="AC62" i="86" s="1"/>
  <c r="AD20" i="86"/>
  <c r="AD27" i="86" s="1"/>
  <c r="AD29" i="86" s="1"/>
  <c r="AC20" i="86"/>
  <c r="AC27" i="86" s="1"/>
  <c r="AC29" i="86" s="1"/>
  <c r="AD57" i="82"/>
  <c r="AD58" i="82" s="1"/>
  <c r="AC57" i="82"/>
  <c r="AC58" i="82" s="1"/>
  <c r="AD41" i="82"/>
  <c r="AC41" i="82"/>
  <c r="AD30" i="82"/>
  <c r="AC30" i="82"/>
  <c r="AD21" i="82"/>
  <c r="AC21" i="82"/>
  <c r="AD14" i="82"/>
  <c r="AC14" i="82"/>
  <c r="W93" i="86" l="1"/>
  <c r="X45" i="86"/>
  <c r="X62" i="86" s="1"/>
  <c r="X35" i="82"/>
  <c r="AC35" i="82"/>
  <c r="AC42" i="82" s="1"/>
  <c r="AC44" i="82" s="1"/>
  <c r="AC46" i="82" s="1"/>
  <c r="W35" i="82"/>
  <c r="W42" i="82" s="1"/>
  <c r="W44" i="82" s="1"/>
  <c r="W46" i="82" s="1"/>
  <c r="W27" i="86"/>
  <c r="W29" i="86" s="1"/>
  <c r="X27" i="86"/>
  <c r="X29" i="86" s="1"/>
  <c r="X64" i="86" s="1"/>
  <c r="AD93" i="86"/>
  <c r="X42" i="82"/>
  <c r="X44" i="82" s="1"/>
  <c r="X46" i="82" s="1"/>
  <c r="W45" i="86"/>
  <c r="W62" i="86" s="1"/>
  <c r="W64" i="86" s="1"/>
  <c r="AD35" i="82"/>
  <c r="AD42" i="82" s="1"/>
  <c r="AD44" i="82" s="1"/>
  <c r="AD46" i="82" s="1"/>
  <c r="AC64" i="86"/>
  <c r="AD64" i="86"/>
  <c r="R16" i="88" l="1"/>
  <c r="Q16" i="88"/>
  <c r="R11" i="88"/>
  <c r="Q11" i="88"/>
  <c r="AA46" i="87"/>
  <c r="Z46" i="87"/>
  <c r="AA40" i="87"/>
  <c r="Z40" i="87"/>
  <c r="AA23" i="87"/>
  <c r="Z23" i="87"/>
  <c r="AA11" i="87"/>
  <c r="Z11" i="87"/>
  <c r="AB46" i="86"/>
  <c r="AA87" i="86"/>
  <c r="Z87" i="86"/>
  <c r="AA80" i="86"/>
  <c r="Z80" i="86"/>
  <c r="AA54" i="86"/>
  <c r="Z54" i="86"/>
  <c r="AA50" i="86"/>
  <c r="Z50" i="86"/>
  <c r="AB50" i="86" s="1"/>
  <c r="AA39" i="86"/>
  <c r="Z39" i="86"/>
  <c r="AA35" i="86"/>
  <c r="Z35" i="86"/>
  <c r="AA20" i="86"/>
  <c r="Z20" i="86"/>
  <c r="AA16" i="86"/>
  <c r="Z16" i="86"/>
  <c r="AA32" i="85"/>
  <c r="Z32" i="85"/>
  <c r="AA20" i="85"/>
  <c r="Z20" i="85"/>
  <c r="AB114" i="84"/>
  <c r="AB113" i="84"/>
  <c r="AB109" i="84"/>
  <c r="AB105" i="84"/>
  <c r="AB88" i="84"/>
  <c r="AB82" i="84"/>
  <c r="AB74" i="84"/>
  <c r="AB72" i="84"/>
  <c r="AB70" i="84"/>
  <c r="AB69" i="84"/>
  <c r="AB67" i="84"/>
  <c r="AB66" i="84"/>
  <c r="AB65" i="84"/>
  <c r="AB64" i="84"/>
  <c r="AB63" i="84"/>
  <c r="AB62" i="84"/>
  <c r="AB61" i="84"/>
  <c r="AB60" i="84"/>
  <c r="AB46" i="84"/>
  <c r="AB45" i="84"/>
  <c r="AB41" i="84"/>
  <c r="AB38" i="84"/>
  <c r="AB37" i="84"/>
  <c r="AB36" i="84"/>
  <c r="AB13" i="84"/>
  <c r="AA130" i="84"/>
  <c r="Z130" i="84"/>
  <c r="AA116" i="84"/>
  <c r="Z116" i="84"/>
  <c r="AA104" i="84"/>
  <c r="Z104" i="84"/>
  <c r="AA92" i="84"/>
  <c r="Z92" i="84"/>
  <c r="AA80" i="84"/>
  <c r="Z80" i="84"/>
  <c r="AA68" i="84"/>
  <c r="Z68" i="84"/>
  <c r="AA56" i="84"/>
  <c r="Z56" i="84"/>
  <c r="AA44" i="84"/>
  <c r="Z44" i="84"/>
  <c r="AA20" i="84"/>
  <c r="Z20" i="84"/>
  <c r="AB98" i="83"/>
  <c r="AB96" i="83"/>
  <c r="AB91" i="83"/>
  <c r="AB88" i="83"/>
  <c r="AB86" i="83"/>
  <c r="AB57" i="83"/>
  <c r="AB48" i="83"/>
  <c r="AA106" i="83"/>
  <c r="Z106" i="83"/>
  <c r="AA94" i="83"/>
  <c r="Z94" i="83"/>
  <c r="AA70" i="83"/>
  <c r="Z70" i="83"/>
  <c r="AA56" i="83"/>
  <c r="Z56" i="83"/>
  <c r="AA44" i="83"/>
  <c r="Z44" i="83"/>
  <c r="AA20" i="83"/>
  <c r="Z20" i="83"/>
  <c r="AA57" i="82"/>
  <c r="Z57" i="82"/>
  <c r="Z58" i="82" s="1"/>
  <c r="AA52" i="82"/>
  <c r="AA41" i="82"/>
  <c r="Z41" i="82"/>
  <c r="AA30" i="82"/>
  <c r="Z30" i="82"/>
  <c r="AA21" i="82"/>
  <c r="Z21" i="82"/>
  <c r="AA14" i="82"/>
  <c r="Z14" i="82"/>
  <c r="AB68" i="84" l="1"/>
  <c r="AB80" i="84"/>
  <c r="AB40" i="87"/>
  <c r="AB44" i="84"/>
  <c r="AB94" i="83"/>
  <c r="AA27" i="86"/>
  <c r="AA29" i="86" s="1"/>
  <c r="Z45" i="86"/>
  <c r="AA45" i="86"/>
  <c r="Z35" i="82"/>
  <c r="Z42" i="82" s="1"/>
  <c r="Z44" i="82" s="1"/>
  <c r="Z46" i="82" s="1"/>
  <c r="Z60" i="86"/>
  <c r="AA58" i="82"/>
  <c r="AA35" i="82"/>
  <c r="AA42" i="82" s="1"/>
  <c r="AA44" i="82" s="1"/>
  <c r="AA46" i="82" s="1"/>
  <c r="AA60" i="86"/>
  <c r="Z27" i="86"/>
  <c r="Z29" i="86" s="1"/>
  <c r="Z93" i="86"/>
  <c r="AA93" i="86"/>
  <c r="J37" i="87"/>
  <c r="J34" i="87"/>
  <c r="J30" i="87"/>
  <c r="J24" i="87"/>
  <c r="I35" i="87"/>
  <c r="H35" i="87"/>
  <c r="I23" i="87"/>
  <c r="H23" i="87"/>
  <c r="I11" i="87"/>
  <c r="H11" i="87"/>
  <c r="J90" i="86"/>
  <c r="J37" i="86"/>
  <c r="J36" i="86"/>
  <c r="I80" i="86"/>
  <c r="I93" i="86" s="1"/>
  <c r="H80" i="86"/>
  <c r="H93" i="86" s="1"/>
  <c r="I39" i="86"/>
  <c r="H39" i="86"/>
  <c r="I35" i="86"/>
  <c r="H35" i="86"/>
  <c r="I20" i="86"/>
  <c r="I27" i="86" s="1"/>
  <c r="I29" i="86" s="1"/>
  <c r="H20" i="86"/>
  <c r="H27" i="86" s="1"/>
  <c r="H29" i="86" s="1"/>
  <c r="I32" i="85"/>
  <c r="H32" i="85"/>
  <c r="I22" i="85"/>
  <c r="I20" i="85"/>
  <c r="H20" i="85"/>
  <c r="I94" i="83"/>
  <c r="H94" i="83"/>
  <c r="I44" i="83"/>
  <c r="H44" i="83"/>
  <c r="I41" i="82"/>
  <c r="H41" i="82"/>
  <c r="I30" i="82"/>
  <c r="H30" i="82"/>
  <c r="I21" i="82"/>
  <c r="H21" i="82"/>
  <c r="I14" i="82"/>
  <c r="H14" i="82"/>
  <c r="H35" i="82" s="1"/>
  <c r="H42" i="82" s="1"/>
  <c r="H44" i="82" s="1"/>
  <c r="H46" i="82" s="1"/>
  <c r="J35" i="86" l="1"/>
  <c r="Z62" i="86"/>
  <c r="AA62" i="86"/>
  <c r="AA64" i="86" s="1"/>
  <c r="Z64" i="86"/>
  <c r="I35" i="82"/>
  <c r="I42" i="82" s="1"/>
  <c r="I44" i="82" s="1"/>
  <c r="I46" i="82" s="1"/>
  <c r="I45" i="86"/>
  <c r="I62" i="86" s="1"/>
  <c r="H45" i="86"/>
  <c r="H62" i="86" s="1"/>
  <c r="H64" i="86" s="1"/>
  <c r="I64" i="86"/>
  <c r="C31" i="88" l="1"/>
  <c r="B31" i="88"/>
  <c r="C11" i="88"/>
  <c r="B11" i="88"/>
  <c r="B59" i="87"/>
  <c r="C46" i="87"/>
  <c r="B46" i="87"/>
  <c r="C41" i="87"/>
  <c r="C40" i="87"/>
  <c r="B40" i="87"/>
  <c r="D40" i="87" s="1"/>
  <c r="C23" i="87"/>
  <c r="B23" i="87"/>
  <c r="C18" i="87"/>
  <c r="C11" i="87" s="1"/>
  <c r="B11" i="87"/>
  <c r="C87" i="86"/>
  <c r="B87" i="86"/>
  <c r="C80" i="86"/>
  <c r="B80" i="86"/>
  <c r="C54" i="86"/>
  <c r="B54" i="86"/>
  <c r="B60" i="86" s="1"/>
  <c r="C39" i="86"/>
  <c r="B39" i="86"/>
  <c r="C35" i="86"/>
  <c r="C45" i="86" s="1"/>
  <c r="B35" i="86"/>
  <c r="C20" i="86"/>
  <c r="B20" i="86"/>
  <c r="C16" i="86"/>
  <c r="C27" i="86" s="1"/>
  <c r="C29" i="86" s="1"/>
  <c r="B16" i="86"/>
  <c r="D16" i="86" s="1"/>
  <c r="C32" i="85"/>
  <c r="B32" i="85"/>
  <c r="C20" i="85"/>
  <c r="B20" i="85"/>
  <c r="B93" i="86" l="1"/>
  <c r="B45" i="86"/>
  <c r="B62" i="86" s="1"/>
  <c r="B27" i="86"/>
  <c r="B29" i="86" s="1"/>
  <c r="C60" i="86"/>
  <c r="C62" i="86" s="1"/>
  <c r="C64" i="86" s="1"/>
  <c r="C93" i="86"/>
  <c r="C92" i="84"/>
  <c r="B92" i="84"/>
  <c r="C56" i="84"/>
  <c r="B56" i="84"/>
  <c r="C20" i="84"/>
  <c r="B20" i="84"/>
  <c r="C106" i="83"/>
  <c r="B106" i="83"/>
  <c r="C82" i="83"/>
  <c r="B82" i="83"/>
  <c r="C70" i="83"/>
  <c r="B70" i="83"/>
  <c r="C56" i="83"/>
  <c r="B56" i="83"/>
  <c r="C32" i="83"/>
  <c r="B32" i="83"/>
  <c r="C20" i="83"/>
  <c r="B20" i="83"/>
  <c r="C41" i="82"/>
  <c r="B41" i="82"/>
  <c r="C30" i="82"/>
  <c r="B30" i="82"/>
  <c r="C21" i="82"/>
  <c r="B21" i="82"/>
  <c r="C14" i="82"/>
  <c r="B14" i="82"/>
  <c r="B64" i="86" l="1"/>
  <c r="B35" i="82"/>
  <c r="B42" i="82" s="1"/>
  <c r="B44" i="82" s="1"/>
  <c r="B46" i="82" s="1"/>
  <c r="C35" i="82"/>
  <c r="C42" i="82" s="1"/>
  <c r="C44" i="82" s="1"/>
  <c r="C46" i="82" s="1"/>
  <c r="F58" i="87"/>
  <c r="E58" i="87"/>
  <c r="F55" i="87"/>
  <c r="E55" i="87"/>
  <c r="F54" i="87"/>
  <c r="E54" i="87"/>
  <c r="F53" i="87"/>
  <c r="E53" i="87"/>
  <c r="F23" i="87"/>
  <c r="E23" i="87"/>
  <c r="F11" i="87"/>
  <c r="E11" i="87"/>
  <c r="E52" i="87" s="1"/>
  <c r="F80" i="86"/>
  <c r="E80" i="86"/>
  <c r="E93" i="86" s="1"/>
  <c r="F39" i="86"/>
  <c r="E39" i="86"/>
  <c r="F35" i="86"/>
  <c r="E35" i="86"/>
  <c r="G35" i="86" s="1"/>
  <c r="F20" i="86"/>
  <c r="E20" i="86"/>
  <c r="F16" i="86"/>
  <c r="E16" i="86"/>
  <c r="F32" i="85"/>
  <c r="F34" i="85" s="1"/>
  <c r="E32" i="85"/>
  <c r="F20" i="85"/>
  <c r="F22" i="85" s="1"/>
  <c r="E20" i="85"/>
  <c r="F44" i="83"/>
  <c r="E44" i="83"/>
  <c r="F41" i="82"/>
  <c r="E41" i="82"/>
  <c r="F30" i="82"/>
  <c r="E30" i="82"/>
  <c r="F21" i="82"/>
  <c r="E21" i="82"/>
  <c r="F14" i="82"/>
  <c r="E14" i="82"/>
  <c r="G16" i="86" l="1"/>
  <c r="F93" i="86"/>
  <c r="E27" i="86"/>
  <c r="E29" i="86" s="1"/>
  <c r="F52" i="87"/>
  <c r="F35" i="82"/>
  <c r="F42" i="82" s="1"/>
  <c r="F44" i="82" s="1"/>
  <c r="F46" i="82" s="1"/>
  <c r="E35" i="82"/>
  <c r="E42" i="82" s="1"/>
  <c r="E44" i="82" s="1"/>
  <c r="E46" i="82" s="1"/>
  <c r="F45" i="86"/>
  <c r="E45" i="86"/>
  <c r="E62" i="86" s="1"/>
  <c r="F27" i="86"/>
  <c r="F29" i="86" s="1"/>
  <c r="L16" i="88"/>
  <c r="K16" i="88"/>
  <c r="L11" i="88"/>
  <c r="K11" i="88"/>
  <c r="R58" i="87"/>
  <c r="Q58" i="87"/>
  <c r="R56" i="87"/>
  <c r="Q56" i="87"/>
  <c r="R54" i="87"/>
  <c r="Q54" i="87"/>
  <c r="R53" i="87"/>
  <c r="Q53" i="87"/>
  <c r="R46" i="87"/>
  <c r="Q46" i="87"/>
  <c r="R40" i="87"/>
  <c r="Q40" i="87"/>
  <c r="S40" i="87" s="1"/>
  <c r="R23" i="87"/>
  <c r="Q23" i="87"/>
  <c r="R11" i="87"/>
  <c r="Q11" i="87"/>
  <c r="R87" i="86"/>
  <c r="Q87" i="86"/>
  <c r="R80" i="86"/>
  <c r="R93" i="86" s="1"/>
  <c r="Q80" i="86"/>
  <c r="R54" i="86"/>
  <c r="Q54" i="86"/>
  <c r="Q60" i="86" s="1"/>
  <c r="R39" i="86"/>
  <c r="Q39" i="86"/>
  <c r="R35" i="86"/>
  <c r="Q35" i="86"/>
  <c r="R20" i="86"/>
  <c r="Q20" i="86"/>
  <c r="R16" i="86"/>
  <c r="Q16" i="86"/>
  <c r="R32" i="85"/>
  <c r="Q32" i="85"/>
  <c r="R104" i="84"/>
  <c r="Q104" i="84"/>
  <c r="R92" i="84"/>
  <c r="Q92" i="84"/>
  <c r="R56" i="84"/>
  <c r="Q56" i="84"/>
  <c r="R20" i="84"/>
  <c r="Q20" i="84"/>
  <c r="R106" i="83"/>
  <c r="Q106" i="83"/>
  <c r="R94" i="83"/>
  <c r="Q94" i="83"/>
  <c r="R82" i="83"/>
  <c r="Q82" i="83"/>
  <c r="R70" i="83"/>
  <c r="AG70" i="83" s="1"/>
  <c r="Q70" i="83"/>
  <c r="R56" i="83"/>
  <c r="Q56" i="83"/>
  <c r="R44" i="83"/>
  <c r="Q44" i="83"/>
  <c r="R20" i="83"/>
  <c r="Q20" i="83"/>
  <c r="R57" i="82"/>
  <c r="Q57" i="82"/>
  <c r="Q58" i="82" s="1"/>
  <c r="R41" i="82"/>
  <c r="Q41" i="82"/>
  <c r="R30" i="82"/>
  <c r="Q30" i="82"/>
  <c r="R21" i="82"/>
  <c r="Q21" i="82"/>
  <c r="R14" i="82"/>
  <c r="Q14" i="82"/>
  <c r="S16" i="86" l="1"/>
  <c r="F62" i="86"/>
  <c r="F64" i="86" s="1"/>
  <c r="Q45" i="86"/>
  <c r="Q35" i="82"/>
  <c r="Q42" i="82" s="1"/>
  <c r="Q44" i="82" s="1"/>
  <c r="Q46" i="82" s="1"/>
  <c r="R45" i="86"/>
  <c r="Q62" i="86"/>
  <c r="E64" i="86"/>
  <c r="Q27" i="86"/>
  <c r="Q29" i="86" s="1"/>
  <c r="R27" i="86"/>
  <c r="R29" i="86" s="1"/>
  <c r="R35" i="82"/>
  <c r="R42" i="82" s="1"/>
  <c r="R44" i="82" s="1"/>
  <c r="R46" i="82" s="1"/>
  <c r="R52" i="87"/>
  <c r="Q52" i="87"/>
  <c r="R60" i="86"/>
  <c r="R62" i="86" s="1"/>
  <c r="R58" i="82"/>
  <c r="Q93" i="86"/>
  <c r="Q64" i="86" l="1"/>
  <c r="R64" i="86"/>
  <c r="D52" i="39"/>
  <c r="D51" i="39"/>
  <c r="D58" i="39" l="1"/>
  <c r="U57" i="87" l="1"/>
  <c r="T57" i="87"/>
  <c r="U46" i="87"/>
  <c r="T46" i="87"/>
  <c r="U40" i="87"/>
  <c r="T40" i="87"/>
  <c r="V40" i="87" s="1"/>
  <c r="U11" i="87"/>
  <c r="T11" i="87"/>
  <c r="U88" i="86"/>
  <c r="T88" i="86"/>
  <c r="U80" i="86"/>
  <c r="T80" i="86"/>
  <c r="T93" i="86" s="1"/>
  <c r="U39" i="86"/>
  <c r="T39" i="86"/>
  <c r="U35" i="86"/>
  <c r="U45" i="86" s="1"/>
  <c r="T35" i="86"/>
  <c r="T45" i="86" s="1"/>
  <c r="T62" i="86" s="1"/>
  <c r="U28" i="86"/>
  <c r="T28" i="86"/>
  <c r="U20" i="86"/>
  <c r="T20" i="86"/>
  <c r="U16" i="86"/>
  <c r="T16" i="86"/>
  <c r="V126" i="84"/>
  <c r="V122" i="84"/>
  <c r="T127" i="84"/>
  <c r="T130" i="84" s="1"/>
  <c r="U130" i="84"/>
  <c r="U41" i="82"/>
  <c r="T41" i="82"/>
  <c r="U30" i="82"/>
  <c r="T30" i="82"/>
  <c r="U21" i="82"/>
  <c r="T21" i="82"/>
  <c r="U14" i="82"/>
  <c r="T14" i="82"/>
  <c r="U93" i="86" l="1"/>
  <c r="U62" i="86"/>
  <c r="T27" i="86"/>
  <c r="T29" i="86" s="1"/>
  <c r="T64" i="86" s="1"/>
  <c r="U27" i="86"/>
  <c r="U29" i="86" s="1"/>
  <c r="U35" i="82"/>
  <c r="U42" i="82" s="1"/>
  <c r="U44" i="82" s="1"/>
  <c r="U46" i="82" s="1"/>
  <c r="T52" i="87"/>
  <c r="U52" i="87"/>
  <c r="T35" i="82"/>
  <c r="T42" i="82" s="1"/>
  <c r="T44" i="82" s="1"/>
  <c r="T46" i="82" s="1"/>
  <c r="U64" i="86" l="1"/>
  <c r="D55" i="77"/>
  <c r="D54" i="77"/>
  <c r="D53" i="77"/>
  <c r="D51" i="77"/>
  <c r="D10" i="91" l="1"/>
  <c r="D9" i="91"/>
  <c r="J7" i="91"/>
  <c r="K7" i="91"/>
  <c r="J9" i="91"/>
  <c r="K9" i="91"/>
  <c r="D7" i="91"/>
  <c r="K10" i="91"/>
  <c r="D48" i="91"/>
  <c r="J10" i="91"/>
  <c r="C19" i="9" l="1"/>
  <c r="L9" i="91"/>
  <c r="L7" i="91"/>
  <c r="D47" i="91"/>
  <c r="L10" i="91"/>
  <c r="H19" i="9" l="1"/>
  <c r="N62" i="8" s="1"/>
  <c r="B19" i="9"/>
  <c r="B55" i="9" s="1"/>
  <c r="G19" i="9"/>
  <c r="M62" i="8" s="1"/>
  <c r="N18" i="8"/>
  <c r="C55" i="9"/>
  <c r="AD48" i="85"/>
  <c r="AC48" i="85"/>
  <c r="AE48" i="85" s="1"/>
  <c r="AA48" i="85"/>
  <c r="X48" i="85"/>
  <c r="W48" i="85"/>
  <c r="U48" i="85"/>
  <c r="T48" i="85"/>
  <c r="R48" i="85"/>
  <c r="Q48" i="85"/>
  <c r="O48" i="85"/>
  <c r="N48" i="85"/>
  <c r="L48" i="85"/>
  <c r="K48" i="85"/>
  <c r="I48" i="85"/>
  <c r="H48" i="85"/>
  <c r="F48" i="85"/>
  <c r="E48" i="85"/>
  <c r="G48" i="85" s="1"/>
  <c r="AD47" i="85"/>
  <c r="AC47" i="85"/>
  <c r="AE47" i="85" s="1"/>
  <c r="AA47" i="85"/>
  <c r="X47" i="85"/>
  <c r="W47" i="85"/>
  <c r="U47" i="85"/>
  <c r="T47" i="85"/>
  <c r="R47" i="85"/>
  <c r="Q47" i="85"/>
  <c r="O47" i="85"/>
  <c r="N47" i="85"/>
  <c r="L47" i="85"/>
  <c r="K47" i="85"/>
  <c r="AC46" i="85"/>
  <c r="AE46" i="85" s="1"/>
  <c r="N46" i="85"/>
  <c r="E46" i="85"/>
  <c r="AD45" i="85"/>
  <c r="AC45" i="85"/>
  <c r="AE45" i="85" s="1"/>
  <c r="AA45" i="85"/>
  <c r="Z45" i="85"/>
  <c r="R45" i="85"/>
  <c r="Q45" i="85"/>
  <c r="AD44" i="85"/>
  <c r="AC44" i="85"/>
  <c r="AE44" i="85" s="1"/>
  <c r="AA44" i="85"/>
  <c r="Z44" i="85"/>
  <c r="U44" i="85"/>
  <c r="T44" i="85"/>
  <c r="V44" i="85" s="1"/>
  <c r="R44" i="85"/>
  <c r="Q44" i="85"/>
  <c r="O44" i="85"/>
  <c r="N44" i="85"/>
  <c r="AD43" i="85"/>
  <c r="AC43" i="85"/>
  <c r="AE43" i="85" s="1"/>
  <c r="AA43" i="85"/>
  <c r="X43" i="85"/>
  <c r="W43" i="85"/>
  <c r="U43" i="85"/>
  <c r="T43" i="85"/>
  <c r="R43" i="85"/>
  <c r="Q43" i="85"/>
  <c r="O43" i="85"/>
  <c r="N43" i="85"/>
  <c r="L43" i="85"/>
  <c r="K43" i="85"/>
  <c r="I43" i="85"/>
  <c r="H43" i="85"/>
  <c r="F43" i="85"/>
  <c r="E43" i="85"/>
  <c r="AD42" i="85"/>
  <c r="AC42" i="85"/>
  <c r="AE42" i="85" s="1"/>
  <c r="AA42" i="85"/>
  <c r="Z42" i="85"/>
  <c r="X42" i="85"/>
  <c r="W42" i="85"/>
  <c r="U42" i="85"/>
  <c r="T42" i="85"/>
  <c r="R42" i="85"/>
  <c r="Q42" i="85"/>
  <c r="O42" i="85"/>
  <c r="N42" i="85"/>
  <c r="L42" i="85"/>
  <c r="K42" i="85"/>
  <c r="AD41" i="85"/>
  <c r="AC41" i="85"/>
  <c r="AE41" i="85" s="1"/>
  <c r="AA41" i="85"/>
  <c r="Z41" i="85"/>
  <c r="R41" i="85"/>
  <c r="Q41" i="85"/>
  <c r="L41" i="85"/>
  <c r="K41" i="85"/>
  <c r="AD40" i="85"/>
  <c r="AC40" i="85"/>
  <c r="AE40" i="85" s="1"/>
  <c r="AA40" i="85"/>
  <c r="X40" i="85"/>
  <c r="W40" i="85"/>
  <c r="U40" i="85"/>
  <c r="T40" i="85"/>
  <c r="R40" i="85"/>
  <c r="Q40" i="85"/>
  <c r="O40" i="85"/>
  <c r="N40" i="85"/>
  <c r="L40" i="85"/>
  <c r="K40" i="85"/>
  <c r="I40" i="85"/>
  <c r="H40" i="85"/>
  <c r="F40" i="85"/>
  <c r="E40" i="85"/>
  <c r="AD39" i="85"/>
  <c r="AC39" i="85"/>
  <c r="AE39" i="85" s="1"/>
  <c r="AA39" i="85"/>
  <c r="Z39" i="85"/>
  <c r="X39" i="85"/>
  <c r="W39" i="85"/>
  <c r="Y39" i="85" s="1"/>
  <c r="R39" i="85"/>
  <c r="Q39" i="85"/>
  <c r="AD38" i="85"/>
  <c r="AC38" i="85"/>
  <c r="AE38" i="85" s="1"/>
  <c r="AA38" i="85"/>
  <c r="X38" i="85"/>
  <c r="W38" i="85"/>
  <c r="U38" i="85"/>
  <c r="T38" i="85"/>
  <c r="R38" i="85"/>
  <c r="Q38" i="85"/>
  <c r="O38" i="85"/>
  <c r="N38" i="85"/>
  <c r="L38" i="85"/>
  <c r="K38" i="85"/>
  <c r="I38" i="85"/>
  <c r="H38" i="85"/>
  <c r="F38" i="85"/>
  <c r="E38" i="85"/>
  <c r="C48" i="85"/>
  <c r="C47" i="85"/>
  <c r="C43" i="85"/>
  <c r="C42" i="85"/>
  <c r="C41" i="85"/>
  <c r="C40" i="85"/>
  <c r="C39" i="85"/>
  <c r="C38" i="85"/>
  <c r="B42" i="85"/>
  <c r="B41" i="85"/>
  <c r="B39" i="85"/>
  <c r="G65" i="9"/>
  <c r="P44" i="85" l="1"/>
  <c r="P38" i="85"/>
  <c r="P42" i="85"/>
  <c r="P47" i="85"/>
  <c r="AB45" i="85"/>
  <c r="G43" i="85"/>
  <c r="G40" i="85"/>
  <c r="G38" i="85"/>
  <c r="H55" i="9"/>
  <c r="G55" i="9"/>
  <c r="I55" i="9" s="1"/>
  <c r="D55" i="9"/>
  <c r="D19" i="9"/>
  <c r="M18" i="8"/>
  <c r="I19" i="9"/>
  <c r="M38" i="85"/>
  <c r="M41" i="85"/>
  <c r="V42" i="85"/>
  <c r="Y38" i="85"/>
  <c r="S41" i="85"/>
  <c r="M43" i="85"/>
  <c r="Y43" i="85"/>
  <c r="Y47" i="85"/>
  <c r="M40" i="85"/>
  <c r="AB44" i="85"/>
  <c r="J40" i="85"/>
  <c r="S39" i="85"/>
  <c r="S48" i="85"/>
  <c r="V38" i="85"/>
  <c r="Y48" i="85"/>
  <c r="P40" i="85"/>
  <c r="S44" i="85"/>
  <c r="V47" i="85"/>
  <c r="S42" i="85"/>
  <c r="P43" i="85"/>
  <c r="V48" i="85"/>
  <c r="M48" i="85"/>
  <c r="M42" i="85"/>
  <c r="Y42" i="85"/>
  <c r="J43" i="85"/>
  <c r="S47" i="85"/>
  <c r="P48" i="85"/>
  <c r="J38" i="85"/>
  <c r="V40" i="85"/>
  <c r="AB41" i="85"/>
  <c r="S43" i="85"/>
  <c r="AB39" i="85"/>
  <c r="Y40" i="85"/>
  <c r="AB42" i="85"/>
  <c r="V43" i="85"/>
  <c r="M47" i="85"/>
  <c r="J48" i="85"/>
  <c r="S38" i="85"/>
  <c r="S40" i="85"/>
  <c r="S45" i="85"/>
  <c r="AI39" i="85"/>
  <c r="AJ39" i="85"/>
  <c r="AG50" i="87" l="1"/>
  <c r="AF50" i="87"/>
  <c r="AG49" i="87"/>
  <c r="AF49" i="87"/>
  <c r="AG48" i="87"/>
  <c r="AG47" i="87"/>
  <c r="AF47" i="87"/>
  <c r="AG45" i="87"/>
  <c r="AF45" i="87"/>
  <c r="AG44" i="87"/>
  <c r="AG43" i="87"/>
  <c r="AF43" i="87"/>
  <c r="AG42" i="87"/>
  <c r="AF42" i="87"/>
  <c r="AG41" i="87"/>
  <c r="AG39" i="87"/>
  <c r="AF39" i="87"/>
  <c r="AG38" i="87"/>
  <c r="AG37" i="87"/>
  <c r="AF37" i="87"/>
  <c r="AG36" i="87"/>
  <c r="AF36" i="87"/>
  <c r="AG34" i="87"/>
  <c r="AF34" i="87"/>
  <c r="AG33" i="87"/>
  <c r="AF33" i="87"/>
  <c r="AG32" i="87"/>
  <c r="AF32" i="87"/>
  <c r="AG31" i="87"/>
  <c r="AF31" i="87"/>
  <c r="AG30" i="87"/>
  <c r="AF30" i="87"/>
  <c r="AG29" i="87"/>
  <c r="AF29" i="87"/>
  <c r="AG28" i="87"/>
  <c r="AG27" i="87"/>
  <c r="AF27" i="87"/>
  <c r="AG26" i="87"/>
  <c r="AF26" i="87"/>
  <c r="AG25" i="87"/>
  <c r="AF25" i="87"/>
  <c r="AG24" i="87"/>
  <c r="AG22" i="87"/>
  <c r="AF22" i="87"/>
  <c r="AG21" i="87"/>
  <c r="AF21" i="87"/>
  <c r="AG20" i="87"/>
  <c r="AF20" i="87"/>
  <c r="AG19" i="87"/>
  <c r="AF19" i="87"/>
  <c r="AG18" i="87"/>
  <c r="AF18" i="87"/>
  <c r="AG17" i="87"/>
  <c r="AF17" i="87"/>
  <c r="AG16" i="87"/>
  <c r="AG15" i="87"/>
  <c r="AF15" i="87"/>
  <c r="AG14" i="87"/>
  <c r="AF14" i="87"/>
  <c r="AG13" i="87"/>
  <c r="AF13" i="87"/>
  <c r="AG12" i="87"/>
  <c r="AD58" i="87"/>
  <c r="AC58" i="87"/>
  <c r="AD56" i="87"/>
  <c r="AC56" i="87"/>
  <c r="AD55" i="87"/>
  <c r="AC55" i="87"/>
  <c r="AD54" i="87"/>
  <c r="AC54" i="87"/>
  <c r="AD53" i="87"/>
  <c r="AC53" i="87"/>
  <c r="AE48" i="87"/>
  <c r="AE43" i="87"/>
  <c r="AE31" i="87"/>
  <c r="AE30" i="87"/>
  <c r="AE27" i="87"/>
  <c r="AE24" i="87"/>
  <c r="AE19" i="87"/>
  <c r="AE18" i="87"/>
  <c r="AE15" i="87"/>
  <c r="AE12" i="87"/>
  <c r="U40" i="88"/>
  <c r="U34" i="88"/>
  <c r="T34" i="88"/>
  <c r="U33" i="88"/>
  <c r="T33" i="88"/>
  <c r="U20" i="88"/>
  <c r="T20" i="88"/>
  <c r="U19" i="88"/>
  <c r="T19" i="88"/>
  <c r="U18" i="88"/>
  <c r="T18" i="88"/>
  <c r="U17" i="88"/>
  <c r="T17" i="88"/>
  <c r="U15" i="88"/>
  <c r="T15" i="88"/>
  <c r="U14" i="88"/>
  <c r="T14" i="88"/>
  <c r="U13" i="88"/>
  <c r="T13" i="88"/>
  <c r="U12" i="88"/>
  <c r="T12" i="88"/>
  <c r="T26" i="88"/>
  <c r="R39" i="88"/>
  <c r="R37" i="88"/>
  <c r="R36" i="88"/>
  <c r="O39" i="88"/>
  <c r="O37" i="88"/>
  <c r="O36" i="88"/>
  <c r="L39" i="88"/>
  <c r="L37" i="88"/>
  <c r="L36" i="88"/>
  <c r="F39" i="88"/>
  <c r="F37" i="88"/>
  <c r="F36" i="88"/>
  <c r="AE58" i="87" l="1"/>
  <c r="AE56" i="87"/>
  <c r="T31" i="88"/>
  <c r="U16" i="88"/>
  <c r="AE55" i="87"/>
  <c r="T11" i="88"/>
  <c r="T16" i="88"/>
  <c r="AE54" i="87"/>
  <c r="AE46" i="87"/>
  <c r="AE53" i="87"/>
  <c r="AE11" i="87"/>
  <c r="AC52" i="87"/>
  <c r="AD52" i="87"/>
  <c r="AE23" i="87"/>
  <c r="O35" i="88"/>
  <c r="F35" i="88"/>
  <c r="R35" i="88"/>
  <c r="L35" i="88"/>
  <c r="I35" i="88"/>
  <c r="AE52" i="87" l="1"/>
  <c r="AG35" i="87" l="1"/>
  <c r="AA57" i="87" l="1"/>
  <c r="Z57" i="87"/>
  <c r="AA56" i="87"/>
  <c r="Z56" i="87"/>
  <c r="AA55" i="87"/>
  <c r="Z55" i="87"/>
  <c r="AA54" i="87"/>
  <c r="Z54" i="87"/>
  <c r="AA53" i="87"/>
  <c r="Z53" i="87"/>
  <c r="X56" i="87"/>
  <c r="W56" i="87"/>
  <c r="X55" i="87"/>
  <c r="W55" i="87"/>
  <c r="X54" i="87"/>
  <c r="W54" i="87"/>
  <c r="X53" i="87"/>
  <c r="W53" i="87"/>
  <c r="N57" i="87"/>
  <c r="O55" i="87"/>
  <c r="N55" i="87"/>
  <c r="L56" i="87"/>
  <c r="K56" i="87"/>
  <c r="L54" i="87"/>
  <c r="K54" i="87"/>
  <c r="I58" i="87"/>
  <c r="H58" i="87"/>
  <c r="I55" i="87"/>
  <c r="H55" i="87"/>
  <c r="I54" i="87"/>
  <c r="H54" i="87"/>
  <c r="I53" i="87"/>
  <c r="H53" i="87"/>
  <c r="C59" i="87"/>
  <c r="AG59" i="87" s="1"/>
  <c r="C56" i="87"/>
  <c r="C55" i="87"/>
  <c r="C54" i="87"/>
  <c r="C53" i="87"/>
  <c r="B54" i="87"/>
  <c r="AF38" i="87"/>
  <c r="AF28" i="87"/>
  <c r="AF16" i="87"/>
  <c r="AG53" i="87" l="1"/>
  <c r="AF54" i="87"/>
  <c r="AG54" i="87"/>
  <c r="AG56" i="87"/>
  <c r="AG58" i="87"/>
  <c r="AG55" i="87"/>
  <c r="B53" i="87"/>
  <c r="AF53" i="87" s="1"/>
  <c r="AF12" i="87"/>
  <c r="AG57" i="87"/>
  <c r="AF24" i="87"/>
  <c r="AF48" i="87"/>
  <c r="AF11" i="87"/>
  <c r="H40" i="88"/>
  <c r="Q39" i="88"/>
  <c r="N39" i="88"/>
  <c r="K39" i="88"/>
  <c r="E39" i="88"/>
  <c r="C39" i="88"/>
  <c r="U39" i="88" s="1"/>
  <c r="B39" i="88"/>
  <c r="N37" i="88"/>
  <c r="K37" i="88"/>
  <c r="E37" i="88"/>
  <c r="C37" i="88"/>
  <c r="U37" i="88" s="1"/>
  <c r="B37" i="88"/>
  <c r="Q36" i="88"/>
  <c r="N36" i="88"/>
  <c r="K36" i="88"/>
  <c r="E36" i="88"/>
  <c r="C36" i="88"/>
  <c r="U36" i="88" s="1"/>
  <c r="B36" i="88"/>
  <c r="Q35" i="88"/>
  <c r="N35" i="88"/>
  <c r="K35" i="88"/>
  <c r="H35" i="88"/>
  <c r="E35" i="88"/>
  <c r="B35" i="88"/>
  <c r="V34" i="88"/>
  <c r="J34" i="88"/>
  <c r="V33" i="88"/>
  <c r="P33" i="88"/>
  <c r="G33" i="88"/>
  <c r="D33" i="88"/>
  <c r="P31" i="88"/>
  <c r="G31" i="88"/>
  <c r="V20" i="88"/>
  <c r="J20" i="88"/>
  <c r="V19" i="88"/>
  <c r="S19" i="88"/>
  <c r="M19" i="88"/>
  <c r="G19" i="88"/>
  <c r="V18" i="88"/>
  <c r="S18" i="88"/>
  <c r="M18" i="88"/>
  <c r="G18" i="88"/>
  <c r="V17" i="88"/>
  <c r="S17" i="88"/>
  <c r="M17" i="88"/>
  <c r="G17" i="88"/>
  <c r="V16" i="88"/>
  <c r="S16" i="88"/>
  <c r="J16" i="88"/>
  <c r="V15" i="88"/>
  <c r="J15" i="88"/>
  <c r="V14" i="88"/>
  <c r="S14" i="88"/>
  <c r="P14" i="88"/>
  <c r="M14" i="88"/>
  <c r="G14" i="88"/>
  <c r="D14" i="88"/>
  <c r="Q37" i="88"/>
  <c r="P13" i="88"/>
  <c r="M13" i="88"/>
  <c r="G13" i="88"/>
  <c r="D13" i="88"/>
  <c r="V12" i="88"/>
  <c r="S12" i="88"/>
  <c r="P12" i="88"/>
  <c r="M12" i="88"/>
  <c r="G12" i="88"/>
  <c r="D12" i="88"/>
  <c r="P11" i="88"/>
  <c r="J11" i="88"/>
  <c r="U11" i="88"/>
  <c r="AF58" i="87"/>
  <c r="AF57" i="87"/>
  <c r="B56" i="87"/>
  <c r="AF56" i="87" s="1"/>
  <c r="G55" i="87"/>
  <c r="B55" i="87"/>
  <c r="AF55" i="87" s="1"/>
  <c r="AB54" i="87"/>
  <c r="G53" i="87"/>
  <c r="D50" i="87"/>
  <c r="AB49" i="87"/>
  <c r="V49" i="87"/>
  <c r="P49" i="87"/>
  <c r="AB48" i="87"/>
  <c r="Y48" i="87"/>
  <c r="S48" i="87"/>
  <c r="M48" i="87"/>
  <c r="D48" i="87"/>
  <c r="S47" i="87"/>
  <c r="M47" i="87"/>
  <c r="D47" i="87"/>
  <c r="AH44" i="87"/>
  <c r="AH43" i="87"/>
  <c r="AB43" i="87"/>
  <c r="Y43" i="87"/>
  <c r="S43" i="87"/>
  <c r="M43" i="87"/>
  <c r="D43" i="87"/>
  <c r="AH42" i="87"/>
  <c r="AB42" i="87"/>
  <c r="Y42" i="87"/>
  <c r="S42" i="87"/>
  <c r="M42" i="87"/>
  <c r="D42" i="87"/>
  <c r="AH41" i="87"/>
  <c r="AB41" i="87"/>
  <c r="Y41" i="87"/>
  <c r="S41" i="87"/>
  <c r="D41" i="87"/>
  <c r="Z52" i="87"/>
  <c r="N52" i="87"/>
  <c r="K52" i="87"/>
  <c r="H52" i="87"/>
  <c r="J35" i="87"/>
  <c r="S34" i="87"/>
  <c r="AB33" i="87"/>
  <c r="P33" i="87"/>
  <c r="AB32" i="87"/>
  <c r="Y32" i="87"/>
  <c r="S32" i="87"/>
  <c r="M32" i="87"/>
  <c r="D32" i="87"/>
  <c r="AB31" i="87"/>
  <c r="Y31" i="87"/>
  <c r="S31" i="87"/>
  <c r="M31" i="87"/>
  <c r="D31" i="87"/>
  <c r="AB30" i="87"/>
  <c r="Y30" i="87"/>
  <c r="D30" i="87"/>
  <c r="Y29" i="87"/>
  <c r="S29" i="87"/>
  <c r="M29" i="87"/>
  <c r="G29" i="87"/>
  <c r="D29" i="87"/>
  <c r="AB28" i="87"/>
  <c r="Y28" i="87"/>
  <c r="S28" i="87"/>
  <c r="D28" i="87"/>
  <c r="AB27" i="87"/>
  <c r="Y27" i="87"/>
  <c r="S27" i="87"/>
  <c r="M27" i="87"/>
  <c r="J27" i="87"/>
  <c r="G27" i="87"/>
  <c r="D27" i="87"/>
  <c r="Y26" i="87"/>
  <c r="D26" i="87"/>
  <c r="AB25" i="87"/>
  <c r="Y25" i="87"/>
  <c r="S25" i="87"/>
  <c r="D25" i="87"/>
  <c r="AB24" i="87"/>
  <c r="Y24" i="87"/>
  <c r="S24" i="87"/>
  <c r="D24" i="87"/>
  <c r="S22" i="87"/>
  <c r="J22" i="87"/>
  <c r="G22" i="87"/>
  <c r="AB21" i="87"/>
  <c r="V21" i="87"/>
  <c r="P21" i="87"/>
  <c r="AB20" i="87"/>
  <c r="Y20" i="87"/>
  <c r="S20" i="87"/>
  <c r="M20" i="87"/>
  <c r="D20" i="87"/>
  <c r="AB19" i="87"/>
  <c r="Y19" i="87"/>
  <c r="S19" i="87"/>
  <c r="M19" i="87"/>
  <c r="D19" i="87"/>
  <c r="AB18" i="87"/>
  <c r="Y18" i="87"/>
  <c r="P18" i="87"/>
  <c r="J18" i="87"/>
  <c r="G18" i="87"/>
  <c r="D18" i="87"/>
  <c r="Y17" i="87"/>
  <c r="S17" i="87"/>
  <c r="M17" i="87"/>
  <c r="G17" i="87"/>
  <c r="D17" i="87"/>
  <c r="AB16" i="87"/>
  <c r="Y16" i="87"/>
  <c r="S16" i="87"/>
  <c r="D16" i="87"/>
  <c r="AB15" i="87"/>
  <c r="Y15" i="87"/>
  <c r="S15" i="87"/>
  <c r="M15" i="87"/>
  <c r="J15" i="87"/>
  <c r="G15" i="87"/>
  <c r="D15" i="87"/>
  <c r="Y14" i="87"/>
  <c r="D14" i="87"/>
  <c r="AB13" i="87"/>
  <c r="Y13" i="87"/>
  <c r="S13" i="87"/>
  <c r="D13" i="87"/>
  <c r="AB12" i="87"/>
  <c r="Y12" i="87"/>
  <c r="S12" i="87"/>
  <c r="J12" i="87"/>
  <c r="G12" i="87"/>
  <c r="D12" i="87"/>
  <c r="AI93" i="86"/>
  <c r="AF93" i="86"/>
  <c r="G93" i="86"/>
  <c r="AJ91" i="86"/>
  <c r="AI91" i="86"/>
  <c r="AG91" i="86"/>
  <c r="AF91" i="86"/>
  <c r="AE91" i="86"/>
  <c r="AB91" i="86"/>
  <c r="Y91" i="86"/>
  <c r="S91" i="86"/>
  <c r="P91" i="86"/>
  <c r="M91" i="86"/>
  <c r="J91" i="86"/>
  <c r="D91" i="86"/>
  <c r="AJ90" i="86"/>
  <c r="AI90" i="86"/>
  <c r="AG90" i="86"/>
  <c r="AF90" i="86"/>
  <c r="AE90" i="86"/>
  <c r="AB90" i="86"/>
  <c r="Y90" i="86"/>
  <c r="S90" i="86"/>
  <c r="P90" i="86"/>
  <c r="M90" i="86"/>
  <c r="D90" i="86"/>
  <c r="AJ89" i="86"/>
  <c r="AI89" i="86"/>
  <c r="AG89" i="86"/>
  <c r="AF89" i="86"/>
  <c r="Y89" i="86"/>
  <c r="AJ88" i="86"/>
  <c r="AI88" i="86"/>
  <c r="AG88" i="86"/>
  <c r="AF88" i="86"/>
  <c r="AB88" i="86"/>
  <c r="Y88" i="86"/>
  <c r="V88" i="86"/>
  <c r="S88" i="86"/>
  <c r="P88" i="86"/>
  <c r="M88" i="86"/>
  <c r="J88" i="86"/>
  <c r="G88" i="86"/>
  <c r="D88" i="86"/>
  <c r="AJ86" i="86"/>
  <c r="AI86" i="86"/>
  <c r="AG86" i="86"/>
  <c r="AF86" i="86"/>
  <c r="AJ85" i="86"/>
  <c r="AI85" i="86"/>
  <c r="AG85" i="86"/>
  <c r="AF85" i="86"/>
  <c r="Y85" i="86"/>
  <c r="P85" i="86"/>
  <c r="M85" i="86"/>
  <c r="D85" i="86"/>
  <c r="AJ84" i="86"/>
  <c r="AI84" i="86"/>
  <c r="AG84" i="86"/>
  <c r="AF84" i="86"/>
  <c r="AI83" i="86"/>
  <c r="AK83" i="86" s="1"/>
  <c r="AF83" i="86"/>
  <c r="AH83" i="86" s="1"/>
  <c r="AJ82" i="86"/>
  <c r="AI82" i="86"/>
  <c r="AG82" i="86"/>
  <c r="AF82" i="86"/>
  <c r="AB82" i="86"/>
  <c r="Y82" i="86"/>
  <c r="S82" i="86"/>
  <c r="P82" i="86"/>
  <c r="M82" i="86"/>
  <c r="D82" i="86"/>
  <c r="G80" i="86"/>
  <c r="AJ79" i="86"/>
  <c r="AI79" i="86"/>
  <c r="AG79" i="86"/>
  <c r="AF79" i="86"/>
  <c r="AJ78" i="86"/>
  <c r="AI78" i="86"/>
  <c r="AG78" i="86"/>
  <c r="AF78" i="86"/>
  <c r="AB78" i="86"/>
  <c r="J78" i="86"/>
  <c r="D78" i="86"/>
  <c r="AJ77" i="86"/>
  <c r="AI77" i="86"/>
  <c r="AG77" i="86"/>
  <c r="AF77" i="86"/>
  <c r="AE77" i="86"/>
  <c r="AB77" i="86"/>
  <c r="Y77" i="86"/>
  <c r="S77" i="86"/>
  <c r="P77" i="86"/>
  <c r="D77" i="86"/>
  <c r="AJ76" i="86"/>
  <c r="AI76" i="86"/>
  <c r="AG76" i="86"/>
  <c r="AF76" i="86"/>
  <c r="AE76" i="86"/>
  <c r="AB76" i="86"/>
  <c r="Y76" i="86"/>
  <c r="V76" i="86"/>
  <c r="S76" i="86"/>
  <c r="P76" i="86"/>
  <c r="M76" i="86"/>
  <c r="G76" i="86"/>
  <c r="D76" i="86"/>
  <c r="AI75" i="86"/>
  <c r="AK75" i="86" s="1"/>
  <c r="AF75" i="86"/>
  <c r="AH75" i="86" s="1"/>
  <c r="AB75" i="86"/>
  <c r="P75" i="86"/>
  <c r="AI74" i="86"/>
  <c r="AK74" i="86" s="1"/>
  <c r="AF74" i="86"/>
  <c r="AH74" i="86" s="1"/>
  <c r="AJ73" i="86"/>
  <c r="AI73" i="86"/>
  <c r="AG73" i="86"/>
  <c r="AF73" i="86"/>
  <c r="AE73" i="86"/>
  <c r="AB73" i="86"/>
  <c r="Y73" i="86"/>
  <c r="V73" i="86"/>
  <c r="S73" i="86"/>
  <c r="P73" i="86"/>
  <c r="M73" i="86"/>
  <c r="J73" i="86"/>
  <c r="G73" i="86"/>
  <c r="D73" i="86"/>
  <c r="AJ71" i="86"/>
  <c r="AI71" i="86"/>
  <c r="AG71" i="86"/>
  <c r="AF71" i="86"/>
  <c r="AB71" i="86"/>
  <c r="S71" i="86"/>
  <c r="P71" i="86"/>
  <c r="D71" i="86"/>
  <c r="AJ70" i="86"/>
  <c r="AI70" i="86"/>
  <c r="AG70" i="86"/>
  <c r="AF70" i="86"/>
  <c r="AE70" i="86"/>
  <c r="AB70" i="86"/>
  <c r="Y70" i="86"/>
  <c r="S70" i="86"/>
  <c r="P70" i="86"/>
  <c r="M70" i="86"/>
  <c r="D70" i="86"/>
  <c r="AJ69" i="86"/>
  <c r="AI69" i="86"/>
  <c r="AG69" i="86"/>
  <c r="AF69" i="86"/>
  <c r="AE69" i="86"/>
  <c r="AB69" i="86"/>
  <c r="Y69" i="86"/>
  <c r="V69" i="86"/>
  <c r="S69" i="86"/>
  <c r="P69" i="86"/>
  <c r="M69" i="86"/>
  <c r="J69" i="86"/>
  <c r="G69" i="86"/>
  <c r="D69" i="86"/>
  <c r="AJ68" i="86"/>
  <c r="AI68" i="86"/>
  <c r="AG68" i="86"/>
  <c r="AF68" i="86"/>
  <c r="AE68" i="86"/>
  <c r="AB68" i="86"/>
  <c r="Y68" i="86"/>
  <c r="V68" i="86"/>
  <c r="S68" i="86"/>
  <c r="P68" i="86"/>
  <c r="M68" i="86"/>
  <c r="J68" i="86"/>
  <c r="G68" i="86"/>
  <c r="D68" i="86"/>
  <c r="AI64" i="86"/>
  <c r="AF64" i="86"/>
  <c r="G64" i="86"/>
  <c r="G62" i="86"/>
  <c r="AJ61" i="86"/>
  <c r="AI61" i="86"/>
  <c r="AG61" i="86"/>
  <c r="AF61" i="86"/>
  <c r="AJ59" i="86"/>
  <c r="AG59" i="86"/>
  <c r="Y59" i="86"/>
  <c r="S59" i="86"/>
  <c r="P59" i="86"/>
  <c r="AJ58" i="86"/>
  <c r="AI58" i="86"/>
  <c r="AG58" i="86"/>
  <c r="AF58" i="86"/>
  <c r="AB58" i="86"/>
  <c r="P58" i="86"/>
  <c r="AJ57" i="86"/>
  <c r="AI57" i="86"/>
  <c r="AG57" i="86"/>
  <c r="AF57" i="86"/>
  <c r="P57" i="86"/>
  <c r="M57" i="86"/>
  <c r="D57" i="86"/>
  <c r="AJ56" i="86"/>
  <c r="AG56" i="86"/>
  <c r="Y56" i="86"/>
  <c r="P56" i="86"/>
  <c r="M56" i="86"/>
  <c r="D56" i="86"/>
  <c r="AJ55" i="86"/>
  <c r="AG55" i="86"/>
  <c r="AB55" i="86"/>
  <c r="Y55" i="86"/>
  <c r="S55" i="86"/>
  <c r="P55" i="86"/>
  <c r="M55" i="86"/>
  <c r="AF55" i="86"/>
  <c r="D55" i="86"/>
  <c r="AJ53" i="86"/>
  <c r="AI53" i="86"/>
  <c r="AG53" i="86"/>
  <c r="AF53" i="86"/>
  <c r="AJ52" i="86"/>
  <c r="AI52" i="86"/>
  <c r="AG52" i="86"/>
  <c r="AF52" i="86"/>
  <c r="AJ51" i="86"/>
  <c r="AI51" i="86"/>
  <c r="AG51" i="86"/>
  <c r="AF51" i="86"/>
  <c r="P51" i="86"/>
  <c r="AJ49" i="86"/>
  <c r="AI49" i="86"/>
  <c r="AG49" i="86"/>
  <c r="AF49" i="86"/>
  <c r="AB49" i="86"/>
  <c r="P49" i="86"/>
  <c r="AJ48" i="86"/>
  <c r="AI48" i="86"/>
  <c r="AG48" i="86"/>
  <c r="AF48" i="86"/>
  <c r="AH48" i="86" s="1"/>
  <c r="AJ46" i="86"/>
  <c r="AI46" i="86"/>
  <c r="AG46" i="86"/>
  <c r="AF46" i="86"/>
  <c r="Y46" i="86"/>
  <c r="S46" i="86"/>
  <c r="J46" i="86"/>
  <c r="G46" i="86"/>
  <c r="G45" i="86"/>
  <c r="AJ44" i="86"/>
  <c r="AI44" i="86"/>
  <c r="AG44" i="86"/>
  <c r="AF44" i="86"/>
  <c r="Y44" i="86"/>
  <c r="S44" i="86"/>
  <c r="P44" i="86"/>
  <c r="M44" i="86"/>
  <c r="J44" i="86"/>
  <c r="G44" i="86"/>
  <c r="D44" i="86"/>
  <c r="AJ43" i="86"/>
  <c r="AI43" i="86"/>
  <c r="AG43" i="86"/>
  <c r="AF43" i="86"/>
  <c r="AB43" i="86"/>
  <c r="Y43" i="86"/>
  <c r="V43" i="86"/>
  <c r="S43" i="86"/>
  <c r="P43" i="86"/>
  <c r="D43" i="86"/>
  <c r="AJ42" i="86"/>
  <c r="AI42" i="86"/>
  <c r="AG42" i="86"/>
  <c r="AF42" i="86"/>
  <c r="AE42" i="86"/>
  <c r="V42" i="86"/>
  <c r="P42" i="86"/>
  <c r="D42" i="86"/>
  <c r="AJ41" i="86"/>
  <c r="AI41" i="86"/>
  <c r="AG41" i="86"/>
  <c r="AF41" i="86"/>
  <c r="AE41" i="86"/>
  <c r="AB41" i="86"/>
  <c r="Y41" i="86"/>
  <c r="V41" i="86"/>
  <c r="S41" i="86"/>
  <c r="P41" i="86"/>
  <c r="M41" i="86"/>
  <c r="J41" i="86"/>
  <c r="G41" i="86"/>
  <c r="D41" i="86"/>
  <c r="AJ40" i="86"/>
  <c r="AI40" i="86"/>
  <c r="AG40" i="86"/>
  <c r="AF40" i="86"/>
  <c r="AB40" i="86"/>
  <c r="Y40" i="86"/>
  <c r="V40" i="86"/>
  <c r="S40" i="86"/>
  <c r="P40" i="86"/>
  <c r="J40" i="86"/>
  <c r="G40" i="86"/>
  <c r="D40" i="86"/>
  <c r="G39" i="86"/>
  <c r="AJ38" i="86"/>
  <c r="AG38" i="86"/>
  <c r="V38" i="86"/>
  <c r="P38" i="86"/>
  <c r="M38" i="86"/>
  <c r="AJ37" i="86"/>
  <c r="AI37" i="86"/>
  <c r="AG37" i="86"/>
  <c r="AF37" i="86"/>
  <c r="Y37" i="86"/>
  <c r="S37" i="86"/>
  <c r="D37" i="86"/>
  <c r="AJ36" i="86"/>
  <c r="AI36" i="86"/>
  <c r="AG36" i="86"/>
  <c r="AF36" i="86"/>
  <c r="Y36" i="86"/>
  <c r="V36" i="86"/>
  <c r="S36" i="86"/>
  <c r="D36" i="86"/>
  <c r="AJ34" i="86"/>
  <c r="AI34" i="86"/>
  <c r="AG34" i="86"/>
  <c r="AF34" i="86"/>
  <c r="AB34" i="86"/>
  <c r="Y34" i="86"/>
  <c r="V34" i="86"/>
  <c r="S34" i="86"/>
  <c r="P34" i="86"/>
  <c r="D34" i="86"/>
  <c r="AJ33" i="86"/>
  <c r="AI33" i="86"/>
  <c r="AG33" i="86"/>
  <c r="AF33" i="86"/>
  <c r="D33" i="86"/>
  <c r="G29" i="86"/>
  <c r="AJ28" i="86"/>
  <c r="AG28" i="86"/>
  <c r="AE28" i="86"/>
  <c r="AB28" i="86"/>
  <c r="Y28" i="86"/>
  <c r="V28" i="86"/>
  <c r="S28" i="86"/>
  <c r="P28" i="86"/>
  <c r="M28" i="86"/>
  <c r="J28" i="86"/>
  <c r="G28" i="86"/>
  <c r="G27" i="86"/>
  <c r="AJ26" i="86"/>
  <c r="AI26" i="86"/>
  <c r="AK26" i="86" s="1"/>
  <c r="AG26" i="86"/>
  <c r="AF26" i="86"/>
  <c r="AH26" i="86" s="1"/>
  <c r="AJ25" i="86"/>
  <c r="AI25" i="86"/>
  <c r="AG25" i="86"/>
  <c r="AF25" i="86"/>
  <c r="Y25" i="86"/>
  <c r="P25" i="86"/>
  <c r="J25" i="86"/>
  <c r="G25" i="86"/>
  <c r="D25" i="86"/>
  <c r="AJ24" i="86"/>
  <c r="AI24" i="86"/>
  <c r="AG24" i="86"/>
  <c r="AF24" i="86"/>
  <c r="AB24" i="86"/>
  <c r="P24" i="86"/>
  <c r="D24" i="86"/>
  <c r="AJ23" i="86"/>
  <c r="AI23" i="86"/>
  <c r="AG23" i="86"/>
  <c r="AF23" i="86"/>
  <c r="AE23" i="86"/>
  <c r="Y23" i="86"/>
  <c r="V23" i="86"/>
  <c r="S23" i="86"/>
  <c r="P23" i="86"/>
  <c r="D23" i="86"/>
  <c r="AJ22" i="86"/>
  <c r="AI22" i="86"/>
  <c r="AG22" i="86"/>
  <c r="AF22" i="86"/>
  <c r="AE22" i="86"/>
  <c r="AB22" i="86"/>
  <c r="Y22" i="86"/>
  <c r="V22" i="86"/>
  <c r="S22" i="86"/>
  <c r="P22" i="86"/>
  <c r="M22" i="86"/>
  <c r="J22" i="86"/>
  <c r="G22" i="86"/>
  <c r="D22" i="86"/>
  <c r="AJ21" i="86"/>
  <c r="AI21" i="86"/>
  <c r="AG21" i="86"/>
  <c r="AF21" i="86"/>
  <c r="AB21" i="86"/>
  <c r="Y21" i="86"/>
  <c r="S21" i="86"/>
  <c r="P21" i="86"/>
  <c r="M21" i="86"/>
  <c r="J21" i="86"/>
  <c r="D21" i="86"/>
  <c r="G20" i="86"/>
  <c r="AJ19" i="86"/>
  <c r="AG19" i="86"/>
  <c r="V19" i="86"/>
  <c r="P19" i="86"/>
  <c r="AJ18" i="86"/>
  <c r="AI18" i="86"/>
  <c r="AG18" i="86"/>
  <c r="AF18" i="86"/>
  <c r="Y18" i="86"/>
  <c r="P18" i="86"/>
  <c r="AJ17" i="86"/>
  <c r="AI17" i="86"/>
  <c r="AG17" i="86"/>
  <c r="AF17" i="86"/>
  <c r="Y17" i="86"/>
  <c r="V17" i="86"/>
  <c r="P17" i="86"/>
  <c r="AJ15" i="86"/>
  <c r="AG15" i="86"/>
  <c r="AB15" i="86"/>
  <c r="Y15" i="86"/>
  <c r="V15" i="86"/>
  <c r="P15" i="86"/>
  <c r="AJ14" i="86"/>
  <c r="AI14" i="86"/>
  <c r="AG14" i="86"/>
  <c r="AF14" i="86"/>
  <c r="P14" i="86"/>
  <c r="F8" i="86"/>
  <c r="I8" i="86" s="1"/>
  <c r="L8" i="86" s="1"/>
  <c r="O8" i="86" s="1"/>
  <c r="R8" i="86" s="1"/>
  <c r="U8" i="86" s="1"/>
  <c r="X8" i="86" s="1"/>
  <c r="AA8" i="86" s="1"/>
  <c r="AD8" i="86" s="1"/>
  <c r="AG8" i="86" s="1"/>
  <c r="AJ8" i="86" s="1"/>
  <c r="E8" i="86"/>
  <c r="H8" i="86" s="1"/>
  <c r="K8" i="86" s="1"/>
  <c r="N8" i="86" s="1"/>
  <c r="Q8" i="86" s="1"/>
  <c r="T8" i="86" s="1"/>
  <c r="W8" i="86" s="1"/>
  <c r="Z8" i="86" s="1"/>
  <c r="AC8" i="86" s="1"/>
  <c r="AF8" i="86" s="1"/>
  <c r="AI8" i="86" s="1"/>
  <c r="AJ34" i="85"/>
  <c r="AI34" i="85"/>
  <c r="AG34" i="85"/>
  <c r="AF34" i="85"/>
  <c r="AB34" i="85"/>
  <c r="S34" i="85"/>
  <c r="J34" i="85"/>
  <c r="G34" i="85"/>
  <c r="D34" i="85"/>
  <c r="AJ33" i="85"/>
  <c r="AI33" i="85"/>
  <c r="AK33" i="85" s="1"/>
  <c r="AG33" i="85"/>
  <c r="AF33" i="85"/>
  <c r="AH33" i="85" s="1"/>
  <c r="AI32" i="85"/>
  <c r="AF32" i="85"/>
  <c r="AB32" i="85"/>
  <c r="S32" i="85"/>
  <c r="G32" i="85"/>
  <c r="AJ31" i="85"/>
  <c r="AI31" i="85"/>
  <c r="AG31" i="85"/>
  <c r="AF31" i="85"/>
  <c r="J31" i="85"/>
  <c r="AJ30" i="85"/>
  <c r="AI30" i="85"/>
  <c r="AK30" i="85" s="1"/>
  <c r="AG30" i="85"/>
  <c r="AF30" i="85"/>
  <c r="AH30" i="85" s="1"/>
  <c r="AJ29" i="85"/>
  <c r="AI29" i="85"/>
  <c r="AG29" i="85"/>
  <c r="AF29" i="85"/>
  <c r="AB29" i="85"/>
  <c r="S29" i="85"/>
  <c r="J29" i="85"/>
  <c r="G29" i="85"/>
  <c r="D29" i="85"/>
  <c r="AJ28" i="85"/>
  <c r="AI28" i="85"/>
  <c r="AK28" i="85" s="1"/>
  <c r="AG28" i="85"/>
  <c r="AF28" i="85"/>
  <c r="AH28" i="85" s="1"/>
  <c r="AJ27" i="85"/>
  <c r="AI27" i="85"/>
  <c r="AK27" i="85" s="1"/>
  <c r="AG27" i="85"/>
  <c r="AF27" i="85"/>
  <c r="AH27" i="85" s="1"/>
  <c r="AJ26" i="85"/>
  <c r="AI26" i="85"/>
  <c r="AG26" i="85"/>
  <c r="AF26" i="85"/>
  <c r="AB26" i="85"/>
  <c r="S26" i="85"/>
  <c r="J26" i="85"/>
  <c r="G26" i="85"/>
  <c r="D26" i="85"/>
  <c r="AJ25" i="85"/>
  <c r="AI25" i="85"/>
  <c r="AK25" i="85" s="1"/>
  <c r="AG25" i="85"/>
  <c r="AF25" i="85"/>
  <c r="AH25" i="85" s="1"/>
  <c r="AJ24" i="85"/>
  <c r="AI24" i="85"/>
  <c r="AG24" i="85"/>
  <c r="AF24" i="85"/>
  <c r="AB24" i="85"/>
  <c r="S24" i="85"/>
  <c r="J24" i="85"/>
  <c r="G24" i="85"/>
  <c r="D24" i="85"/>
  <c r="AJ22" i="85"/>
  <c r="AI22" i="85"/>
  <c r="AG22" i="85"/>
  <c r="AF22" i="85"/>
  <c r="AB22" i="85"/>
  <c r="Y22" i="85"/>
  <c r="P22" i="85"/>
  <c r="J22" i="85"/>
  <c r="G22" i="85"/>
  <c r="D22" i="85"/>
  <c r="AJ21" i="85"/>
  <c r="AI21" i="85"/>
  <c r="AG21" i="85"/>
  <c r="AF21" i="85"/>
  <c r="AI20" i="85"/>
  <c r="AF20" i="85"/>
  <c r="AB20" i="85"/>
  <c r="Y20" i="85"/>
  <c r="G20" i="85"/>
  <c r="AJ19" i="85"/>
  <c r="AI19" i="85"/>
  <c r="AG19" i="85"/>
  <c r="AF19" i="85"/>
  <c r="J19" i="85"/>
  <c r="AJ18" i="85"/>
  <c r="AI18" i="85"/>
  <c r="AK18" i="85" s="1"/>
  <c r="AG18" i="85"/>
  <c r="AF18" i="85"/>
  <c r="AH18" i="85" s="1"/>
  <c r="AJ17" i="85"/>
  <c r="AI17" i="85"/>
  <c r="AG17" i="85"/>
  <c r="AF17" i="85"/>
  <c r="AB17" i="85"/>
  <c r="Y17" i="85"/>
  <c r="P17" i="85"/>
  <c r="J17" i="85"/>
  <c r="G17" i="85"/>
  <c r="D17" i="85"/>
  <c r="AJ16" i="85"/>
  <c r="AI16" i="85"/>
  <c r="AK16" i="85" s="1"/>
  <c r="AG16" i="85"/>
  <c r="AF16" i="85"/>
  <c r="AH16" i="85" s="1"/>
  <c r="AJ15" i="85"/>
  <c r="AI15" i="85"/>
  <c r="AK15" i="85" s="1"/>
  <c r="AG15" i="85"/>
  <c r="AF15" i="85"/>
  <c r="AH15" i="85" s="1"/>
  <c r="AJ14" i="85"/>
  <c r="AI14" i="85"/>
  <c r="AG14" i="85"/>
  <c r="AF14" i="85"/>
  <c r="AB14" i="85"/>
  <c r="Y14" i="85"/>
  <c r="P14" i="85"/>
  <c r="J14" i="85"/>
  <c r="G14" i="85"/>
  <c r="D14" i="85"/>
  <c r="AJ13" i="85"/>
  <c r="AI13" i="85"/>
  <c r="AG13" i="85"/>
  <c r="AF13" i="85"/>
  <c r="AJ12" i="85"/>
  <c r="AI12" i="85"/>
  <c r="AG12" i="85"/>
  <c r="AF12" i="85"/>
  <c r="AB12" i="85"/>
  <c r="Y12" i="85"/>
  <c r="J12" i="85"/>
  <c r="G12" i="85"/>
  <c r="D12" i="85"/>
  <c r="AJ9" i="85"/>
  <c r="AI9" i="85"/>
  <c r="AG9" i="85"/>
  <c r="AF9" i="85"/>
  <c r="AD9" i="85"/>
  <c r="AC9" i="85"/>
  <c r="AA9" i="85"/>
  <c r="Z9" i="85"/>
  <c r="X9" i="85"/>
  <c r="W9" i="85"/>
  <c r="U9" i="85"/>
  <c r="T9" i="85"/>
  <c r="R9" i="85"/>
  <c r="Q9" i="85"/>
  <c r="O9" i="85"/>
  <c r="N9" i="85"/>
  <c r="L9" i="85"/>
  <c r="K9" i="85"/>
  <c r="I9" i="85"/>
  <c r="H9" i="85"/>
  <c r="F9" i="85"/>
  <c r="E9" i="85"/>
  <c r="AJ144" i="84"/>
  <c r="AI144" i="84"/>
  <c r="AK144" i="84" s="1"/>
  <c r="AG144" i="84"/>
  <c r="AF144" i="84"/>
  <c r="AH144" i="84" s="1"/>
  <c r="P144" i="84"/>
  <c r="AJ143" i="84"/>
  <c r="AI143" i="84"/>
  <c r="AK143" i="84" s="1"/>
  <c r="AG143" i="84"/>
  <c r="AF143" i="84"/>
  <c r="AH143" i="84" s="1"/>
  <c r="P143" i="84"/>
  <c r="AI142" i="84"/>
  <c r="AF142" i="84"/>
  <c r="P142" i="84"/>
  <c r="AJ141" i="84"/>
  <c r="AI141" i="84"/>
  <c r="AK141" i="84" s="1"/>
  <c r="AG141" i="84"/>
  <c r="AF141" i="84"/>
  <c r="AH141" i="84" s="1"/>
  <c r="AJ140" i="84"/>
  <c r="AI140" i="84"/>
  <c r="AK140" i="84" s="1"/>
  <c r="AG140" i="84"/>
  <c r="AF140" i="84"/>
  <c r="AH140" i="84" s="1"/>
  <c r="AJ139" i="84"/>
  <c r="AI139" i="84"/>
  <c r="AG139" i="84"/>
  <c r="AF139" i="84"/>
  <c r="AH139" i="84" s="1"/>
  <c r="P139" i="84"/>
  <c r="AJ138" i="84"/>
  <c r="AI138" i="84"/>
  <c r="AG138" i="84"/>
  <c r="AF138" i="84"/>
  <c r="P138" i="84"/>
  <c r="AJ137" i="84"/>
  <c r="AI137" i="84"/>
  <c r="AK137" i="84" s="1"/>
  <c r="AG137" i="84"/>
  <c r="AF137" i="84"/>
  <c r="AH137" i="84" s="1"/>
  <c r="AJ136" i="84"/>
  <c r="AI136" i="84"/>
  <c r="AK136" i="84" s="1"/>
  <c r="AG136" i="84"/>
  <c r="AF136" i="84"/>
  <c r="P136" i="84"/>
  <c r="AJ135" i="84"/>
  <c r="AI135" i="84"/>
  <c r="AK135" i="84" s="1"/>
  <c r="AG135" i="84"/>
  <c r="AF135" i="84"/>
  <c r="AH135" i="84" s="1"/>
  <c r="AJ134" i="84"/>
  <c r="AI134" i="84"/>
  <c r="AK134" i="84" s="1"/>
  <c r="AG134" i="84"/>
  <c r="AF134" i="84"/>
  <c r="P134" i="84"/>
  <c r="AJ132" i="84"/>
  <c r="AI132" i="84"/>
  <c r="AG132" i="84"/>
  <c r="AF132" i="84"/>
  <c r="AB132" i="84"/>
  <c r="V132" i="84"/>
  <c r="P132" i="84"/>
  <c r="AJ131" i="84"/>
  <c r="AI131" i="84"/>
  <c r="AG131" i="84"/>
  <c r="AF131" i="84"/>
  <c r="AB131" i="84"/>
  <c r="V131" i="84"/>
  <c r="P131" i="84"/>
  <c r="T46" i="85"/>
  <c r="P130" i="84"/>
  <c r="AJ129" i="84"/>
  <c r="AI129" i="84"/>
  <c r="AK129" i="84" s="1"/>
  <c r="AG129" i="84"/>
  <c r="AF129" i="84"/>
  <c r="AH129" i="84" s="1"/>
  <c r="AJ128" i="84"/>
  <c r="AI128" i="84"/>
  <c r="AG128" i="84"/>
  <c r="AF128" i="84"/>
  <c r="AB128" i="84"/>
  <c r="V128" i="84"/>
  <c r="P128" i="84"/>
  <c r="AJ127" i="84"/>
  <c r="AI127" i="84"/>
  <c r="AG127" i="84"/>
  <c r="AF127" i="84"/>
  <c r="AB127" i="84"/>
  <c r="V127" i="84"/>
  <c r="P127" i="84"/>
  <c r="AJ126" i="84"/>
  <c r="AI126" i="84"/>
  <c r="AG126" i="84"/>
  <c r="AF126" i="84"/>
  <c r="AB126" i="84"/>
  <c r="P126" i="84"/>
  <c r="AJ125" i="84"/>
  <c r="AI125" i="84"/>
  <c r="AG125" i="84"/>
  <c r="AF125" i="84"/>
  <c r="AB125" i="84"/>
  <c r="AJ124" i="84"/>
  <c r="AI124" i="84"/>
  <c r="AG124" i="84"/>
  <c r="AF124" i="84"/>
  <c r="AB124" i="84"/>
  <c r="V124" i="84"/>
  <c r="P124" i="84"/>
  <c r="AJ123" i="84"/>
  <c r="AI123" i="84"/>
  <c r="AG123" i="84"/>
  <c r="AF123" i="84"/>
  <c r="AB123" i="84"/>
  <c r="AJ122" i="84"/>
  <c r="AI122" i="84"/>
  <c r="AG122" i="84"/>
  <c r="AF122" i="84"/>
  <c r="AB122" i="84"/>
  <c r="P122" i="84"/>
  <c r="AJ118" i="84"/>
  <c r="AI118" i="84"/>
  <c r="AG118" i="84"/>
  <c r="AF118" i="84"/>
  <c r="AB118" i="84"/>
  <c r="AJ117" i="84"/>
  <c r="AI117" i="84"/>
  <c r="AG117" i="84"/>
  <c r="AF117" i="84"/>
  <c r="AB117" i="84"/>
  <c r="Y117" i="84"/>
  <c r="Y116" i="84"/>
  <c r="AJ115" i="84"/>
  <c r="AI115" i="84"/>
  <c r="AK115" i="84" s="1"/>
  <c r="AG115" i="84"/>
  <c r="AF115" i="84"/>
  <c r="AH115" i="84" s="1"/>
  <c r="AJ114" i="84"/>
  <c r="AI114" i="84"/>
  <c r="AG114" i="84"/>
  <c r="AF114" i="84"/>
  <c r="AJ113" i="84"/>
  <c r="AI113" i="84"/>
  <c r="AG113" i="84"/>
  <c r="AF113" i="84"/>
  <c r="AJ112" i="84"/>
  <c r="AI112" i="84"/>
  <c r="AG112" i="84"/>
  <c r="AF112" i="84"/>
  <c r="AJ111" i="84"/>
  <c r="AI111" i="84"/>
  <c r="AK111" i="84" s="1"/>
  <c r="AG111" i="84"/>
  <c r="AF111" i="84"/>
  <c r="AH111" i="84" s="1"/>
  <c r="AJ110" i="84"/>
  <c r="AI110" i="84"/>
  <c r="AG110" i="84"/>
  <c r="AF110" i="84"/>
  <c r="AB110" i="84"/>
  <c r="AJ109" i="84"/>
  <c r="AI109" i="84"/>
  <c r="AG109" i="84"/>
  <c r="AF109" i="84"/>
  <c r="AJ108" i="84"/>
  <c r="AI108" i="84"/>
  <c r="AG108" i="84"/>
  <c r="AF108" i="84"/>
  <c r="AB108" i="84"/>
  <c r="Y108" i="84"/>
  <c r="AJ106" i="84"/>
  <c r="AI106" i="84"/>
  <c r="AG106" i="84"/>
  <c r="AF106" i="84"/>
  <c r="AB106" i="84"/>
  <c r="S106" i="84"/>
  <c r="AJ105" i="84"/>
  <c r="AI105" i="84"/>
  <c r="AG105" i="84"/>
  <c r="AF105" i="84"/>
  <c r="AJ103" i="84"/>
  <c r="AI103" i="84"/>
  <c r="AG103" i="84"/>
  <c r="AF103" i="84"/>
  <c r="AJ102" i="84"/>
  <c r="AI102" i="84"/>
  <c r="AK102" i="84" s="1"/>
  <c r="AG102" i="84"/>
  <c r="AF102" i="84"/>
  <c r="AH102" i="84" s="1"/>
  <c r="AJ101" i="84"/>
  <c r="AI101" i="84"/>
  <c r="AG101" i="84"/>
  <c r="AF101" i="84"/>
  <c r="AB101" i="84"/>
  <c r="S101" i="84"/>
  <c r="AJ100" i="84"/>
  <c r="AI100" i="84"/>
  <c r="AG100" i="84"/>
  <c r="AF100" i="84"/>
  <c r="AJ99" i="84"/>
  <c r="AI99" i="84"/>
  <c r="AG99" i="84"/>
  <c r="AF99" i="84"/>
  <c r="AB99" i="84"/>
  <c r="AJ98" i="84"/>
  <c r="AI98" i="84"/>
  <c r="AG98" i="84"/>
  <c r="AF98" i="84"/>
  <c r="AB98" i="84"/>
  <c r="S98" i="84"/>
  <c r="AJ97" i="84"/>
  <c r="AI97" i="84"/>
  <c r="AG97" i="84"/>
  <c r="AF97" i="84"/>
  <c r="AJ96" i="84"/>
  <c r="AI96" i="84"/>
  <c r="AG96" i="84"/>
  <c r="AF96" i="84"/>
  <c r="AB96" i="84"/>
  <c r="S96" i="84"/>
  <c r="AJ94" i="84"/>
  <c r="AG94" i="84"/>
  <c r="Y94" i="84"/>
  <c r="S94" i="84"/>
  <c r="M94" i="84"/>
  <c r="D94" i="84"/>
  <c r="AJ93" i="84"/>
  <c r="AG93" i="84"/>
  <c r="AB93" i="84"/>
  <c r="Y93" i="84"/>
  <c r="S93" i="84"/>
  <c r="M93" i="84"/>
  <c r="D93" i="84"/>
  <c r="AJ91" i="84"/>
  <c r="AI91" i="84"/>
  <c r="AG91" i="84"/>
  <c r="AF91" i="84"/>
  <c r="AB91" i="84"/>
  <c r="AJ90" i="84"/>
  <c r="AI90" i="84"/>
  <c r="AG90" i="84"/>
  <c r="AF90" i="84"/>
  <c r="AB90" i="84"/>
  <c r="S90" i="84"/>
  <c r="AJ89" i="84"/>
  <c r="AG89" i="84"/>
  <c r="Z43" i="85"/>
  <c r="AB43" i="85" s="1"/>
  <c r="Y89" i="84"/>
  <c r="S89" i="84"/>
  <c r="M89" i="84"/>
  <c r="D89" i="84"/>
  <c r="AJ88" i="84"/>
  <c r="AI88" i="84"/>
  <c r="AG88" i="84"/>
  <c r="AF88" i="84"/>
  <c r="AJ87" i="84"/>
  <c r="AI87" i="84"/>
  <c r="AK87" i="84" s="1"/>
  <c r="AG87" i="84"/>
  <c r="AF87" i="84"/>
  <c r="AH87" i="84" s="1"/>
  <c r="AJ86" i="84"/>
  <c r="AG86" i="84"/>
  <c r="AI86" i="84"/>
  <c r="Y86" i="84"/>
  <c r="S86" i="84"/>
  <c r="M86" i="84"/>
  <c r="D86" i="84"/>
  <c r="AJ84" i="84"/>
  <c r="AI84" i="84"/>
  <c r="AG84" i="84"/>
  <c r="AF84" i="84"/>
  <c r="AB84" i="84"/>
  <c r="Y84" i="84"/>
  <c r="S84" i="84"/>
  <c r="M84" i="84"/>
  <c r="D84" i="84"/>
  <c r="AJ82" i="84"/>
  <c r="AI82" i="84"/>
  <c r="AG82" i="84"/>
  <c r="AF82" i="84"/>
  <c r="Y82" i="84"/>
  <c r="AJ81" i="84"/>
  <c r="AI81" i="84"/>
  <c r="AG81" i="84"/>
  <c r="AF81" i="84"/>
  <c r="AJ79" i="84"/>
  <c r="AI79" i="84"/>
  <c r="AK79" i="84" s="1"/>
  <c r="AG79" i="84"/>
  <c r="AF79" i="84"/>
  <c r="AJ78" i="84"/>
  <c r="AI78" i="84"/>
  <c r="AK78" i="84" s="1"/>
  <c r="AG78" i="84"/>
  <c r="AF78" i="84"/>
  <c r="AJ77" i="84"/>
  <c r="AI77" i="84"/>
  <c r="AG77" i="84"/>
  <c r="AF77" i="84"/>
  <c r="AJ76" i="84"/>
  <c r="AI76" i="84"/>
  <c r="AK76" i="84" s="1"/>
  <c r="AG76" i="84"/>
  <c r="AF76" i="84"/>
  <c r="AJ75" i="84"/>
  <c r="AI75" i="84"/>
  <c r="AK75" i="84" s="1"/>
  <c r="AG75" i="84"/>
  <c r="AF75" i="84"/>
  <c r="AJ74" i="84"/>
  <c r="AI74" i="84"/>
  <c r="AG74" i="84"/>
  <c r="AF74" i="84"/>
  <c r="Y74" i="84"/>
  <c r="AJ73" i="84"/>
  <c r="AI73" i="84"/>
  <c r="AK73" i="84" s="1"/>
  <c r="AG73" i="84"/>
  <c r="AF73" i="84"/>
  <c r="AJ72" i="84"/>
  <c r="AI72" i="84"/>
  <c r="AG72" i="84"/>
  <c r="AF72" i="84"/>
  <c r="AJ70" i="84"/>
  <c r="AI70" i="84"/>
  <c r="AG70" i="84"/>
  <c r="AF70" i="84"/>
  <c r="Y70" i="84"/>
  <c r="AJ69" i="84"/>
  <c r="AI69" i="84"/>
  <c r="AG69" i="84"/>
  <c r="AF69" i="84"/>
  <c r="Y69" i="84"/>
  <c r="AJ67" i="84"/>
  <c r="AI67" i="84"/>
  <c r="AG67" i="84"/>
  <c r="AF67" i="84"/>
  <c r="AJ66" i="84"/>
  <c r="AI66" i="84"/>
  <c r="AG66" i="84"/>
  <c r="AF66" i="84"/>
  <c r="AJ65" i="84"/>
  <c r="AI65" i="84"/>
  <c r="AG65" i="84"/>
  <c r="AF65" i="84"/>
  <c r="Y65" i="84"/>
  <c r="AJ64" i="84"/>
  <c r="AI64" i="84"/>
  <c r="AG64" i="84"/>
  <c r="AF64" i="84"/>
  <c r="Y64" i="84"/>
  <c r="AJ63" i="84"/>
  <c r="AI63" i="84"/>
  <c r="AG63" i="84"/>
  <c r="AF63" i="84"/>
  <c r="AJ62" i="84"/>
  <c r="AI62" i="84"/>
  <c r="AG62" i="84"/>
  <c r="AF62" i="84"/>
  <c r="Y62" i="84"/>
  <c r="AJ60" i="84"/>
  <c r="AI60" i="84"/>
  <c r="AG60" i="84"/>
  <c r="AF60" i="84"/>
  <c r="Y60" i="84"/>
  <c r="AJ59" i="84"/>
  <c r="AI59" i="84"/>
  <c r="AK59" i="84" s="1"/>
  <c r="AJ58" i="84"/>
  <c r="AI58" i="84"/>
  <c r="AG58" i="84"/>
  <c r="AF58" i="84"/>
  <c r="AB58" i="84"/>
  <c r="Y58" i="84"/>
  <c r="S58" i="84"/>
  <c r="M58" i="84"/>
  <c r="D58" i="84"/>
  <c r="AJ57" i="84"/>
  <c r="AI57" i="84"/>
  <c r="AG57" i="84"/>
  <c r="AF57" i="84"/>
  <c r="M57" i="84"/>
  <c r="D57" i="84"/>
  <c r="AJ55" i="84"/>
  <c r="AI55" i="84"/>
  <c r="AG55" i="84"/>
  <c r="AF55" i="84"/>
  <c r="S55" i="84"/>
  <c r="AJ54" i="84"/>
  <c r="AI54" i="84"/>
  <c r="AK54" i="84" s="1"/>
  <c r="AG54" i="84"/>
  <c r="AF54" i="84"/>
  <c r="AH54" i="84" s="1"/>
  <c r="AJ53" i="84"/>
  <c r="AI53" i="84"/>
  <c r="AG53" i="84"/>
  <c r="AF53" i="84"/>
  <c r="AB53" i="84"/>
  <c r="Y53" i="84"/>
  <c r="S53" i="84"/>
  <c r="M53" i="84"/>
  <c r="D53" i="84"/>
  <c r="AJ52" i="84"/>
  <c r="AI52" i="84"/>
  <c r="AG52" i="84"/>
  <c r="AF52" i="84"/>
  <c r="AJ51" i="84"/>
  <c r="AI51" i="84"/>
  <c r="AG51" i="84"/>
  <c r="AF51" i="84"/>
  <c r="AJ50" i="84"/>
  <c r="AG50" i="84"/>
  <c r="Y50" i="84"/>
  <c r="S50" i="84"/>
  <c r="M50" i="84"/>
  <c r="D50" i="84"/>
  <c r="AJ48" i="84"/>
  <c r="AI48" i="84"/>
  <c r="AG48" i="84"/>
  <c r="AF48" i="84"/>
  <c r="AB48" i="84"/>
  <c r="M48" i="84"/>
  <c r="D48" i="84"/>
  <c r="AJ46" i="84"/>
  <c r="AI46" i="84"/>
  <c r="AG46" i="84"/>
  <c r="AF46" i="84"/>
  <c r="Y46" i="84"/>
  <c r="AJ45" i="84"/>
  <c r="AI45" i="84"/>
  <c r="AG45" i="84"/>
  <c r="AF45" i="84"/>
  <c r="Y45" i="84"/>
  <c r="AJ43" i="84"/>
  <c r="AI43" i="84"/>
  <c r="AK43" i="84" s="1"/>
  <c r="AG43" i="84"/>
  <c r="AF43" i="84"/>
  <c r="AH43" i="84" s="1"/>
  <c r="AJ42" i="84"/>
  <c r="AI42" i="84"/>
  <c r="AK42" i="84" s="1"/>
  <c r="AG42" i="84"/>
  <c r="AF42" i="84"/>
  <c r="AH42" i="84" s="1"/>
  <c r="AJ41" i="84"/>
  <c r="AI41" i="84"/>
  <c r="AG41" i="84"/>
  <c r="AF41" i="84"/>
  <c r="AJ40" i="84"/>
  <c r="AI40" i="84"/>
  <c r="AG40" i="84"/>
  <c r="AF40" i="84"/>
  <c r="Y40" i="84"/>
  <c r="AJ39" i="84"/>
  <c r="AI39" i="84"/>
  <c r="AK39" i="84" s="1"/>
  <c r="AG39" i="84"/>
  <c r="AF39" i="84"/>
  <c r="AH39" i="84" s="1"/>
  <c r="AJ38" i="84"/>
  <c r="AI38" i="84"/>
  <c r="AG38" i="84"/>
  <c r="AF38" i="84"/>
  <c r="Y38" i="84"/>
  <c r="AJ36" i="84"/>
  <c r="AG36" i="84"/>
  <c r="Z38" i="85"/>
  <c r="AB38" i="85" s="1"/>
  <c r="Y36" i="84"/>
  <c r="AJ34" i="84"/>
  <c r="AI34" i="84"/>
  <c r="AK34" i="84" s="1"/>
  <c r="AG34" i="84"/>
  <c r="AF34" i="84"/>
  <c r="AH34" i="84" s="1"/>
  <c r="AJ33" i="84"/>
  <c r="AI33" i="84"/>
  <c r="AK33" i="84" s="1"/>
  <c r="AG33" i="84"/>
  <c r="AF33" i="84"/>
  <c r="AH33" i="84" s="1"/>
  <c r="AI32" i="84"/>
  <c r="AF32" i="84"/>
  <c r="AH32" i="84" s="1"/>
  <c r="AJ31" i="84"/>
  <c r="AI31" i="84"/>
  <c r="AK31" i="84" s="1"/>
  <c r="AG31" i="84"/>
  <c r="AF31" i="84"/>
  <c r="AH31" i="84" s="1"/>
  <c r="AJ30" i="84"/>
  <c r="AI30" i="84"/>
  <c r="AK30" i="84" s="1"/>
  <c r="AG30" i="84"/>
  <c r="AF30" i="84"/>
  <c r="AH30" i="84" s="1"/>
  <c r="AJ29" i="84"/>
  <c r="AI29" i="84"/>
  <c r="AK29" i="84" s="1"/>
  <c r="AG29" i="84"/>
  <c r="AF29" i="84"/>
  <c r="AH29" i="84" s="1"/>
  <c r="AJ28" i="84"/>
  <c r="AI28" i="84"/>
  <c r="AK28" i="84" s="1"/>
  <c r="AG28" i="84"/>
  <c r="AF28" i="84"/>
  <c r="AH28" i="84" s="1"/>
  <c r="AJ27" i="84"/>
  <c r="AI27" i="84"/>
  <c r="AK27" i="84" s="1"/>
  <c r="AG27" i="84"/>
  <c r="AF27" i="84"/>
  <c r="AH27" i="84" s="1"/>
  <c r="AJ26" i="84"/>
  <c r="AI26" i="84"/>
  <c r="AK26" i="84" s="1"/>
  <c r="AG26" i="84"/>
  <c r="AF26" i="84"/>
  <c r="AH26" i="84" s="1"/>
  <c r="AJ24" i="84"/>
  <c r="AI24" i="84"/>
  <c r="AK24" i="84" s="1"/>
  <c r="AG24" i="84"/>
  <c r="AF24" i="84"/>
  <c r="AH24" i="84" s="1"/>
  <c r="AJ22" i="84"/>
  <c r="AG22" i="84"/>
  <c r="AB22" i="84"/>
  <c r="Y22" i="84"/>
  <c r="S22" i="84"/>
  <c r="AJ21" i="84"/>
  <c r="AG21" i="84"/>
  <c r="AB21" i="84"/>
  <c r="Y21" i="84"/>
  <c r="S21" i="84"/>
  <c r="B47" i="85"/>
  <c r="AJ19" i="84"/>
  <c r="AI19" i="84"/>
  <c r="AG19" i="84"/>
  <c r="AF19" i="84"/>
  <c r="AB19" i="84"/>
  <c r="AJ18" i="84"/>
  <c r="AI18" i="84"/>
  <c r="AG18" i="84"/>
  <c r="AF18" i="84"/>
  <c r="AB18" i="84"/>
  <c r="S18" i="84"/>
  <c r="AJ17" i="84"/>
  <c r="AG17" i="84"/>
  <c r="AB17" i="84"/>
  <c r="Y17" i="84"/>
  <c r="S17" i="84"/>
  <c r="AJ16" i="84"/>
  <c r="AI16" i="84"/>
  <c r="AG16" i="84"/>
  <c r="AF16" i="84"/>
  <c r="AB16" i="84"/>
  <c r="Y16" i="84"/>
  <c r="S16" i="84"/>
  <c r="D16" i="84"/>
  <c r="AJ15" i="84"/>
  <c r="AI15" i="84"/>
  <c r="AG15" i="84"/>
  <c r="AF15" i="84"/>
  <c r="AB15" i="84"/>
  <c r="S15" i="84"/>
  <c r="D15" i="84"/>
  <c r="AJ14" i="84"/>
  <c r="AG14" i="84"/>
  <c r="AB14" i="84"/>
  <c r="Y14" i="84"/>
  <c r="S14" i="84"/>
  <c r="B40" i="85"/>
  <c r="AJ12" i="84"/>
  <c r="AG12" i="84"/>
  <c r="AB12" i="84"/>
  <c r="Y12" i="84"/>
  <c r="S12" i="84"/>
  <c r="AJ9" i="84"/>
  <c r="AI9" i="84"/>
  <c r="AG9" i="84"/>
  <c r="AF9" i="84"/>
  <c r="AD9" i="84"/>
  <c r="AC9" i="84"/>
  <c r="AA9" i="84"/>
  <c r="Z9" i="84"/>
  <c r="X9" i="84"/>
  <c r="W9" i="84"/>
  <c r="U9" i="84"/>
  <c r="T9" i="84"/>
  <c r="R9" i="84"/>
  <c r="Q9" i="84"/>
  <c r="O9" i="84"/>
  <c r="N9" i="84"/>
  <c r="L9" i="84"/>
  <c r="K9" i="84"/>
  <c r="I9" i="84"/>
  <c r="H9" i="84"/>
  <c r="F9" i="84"/>
  <c r="E9" i="84"/>
  <c r="AJ108" i="83"/>
  <c r="AI108" i="83"/>
  <c r="AG108" i="83"/>
  <c r="AF108" i="83"/>
  <c r="AB108" i="83"/>
  <c r="Y108" i="83"/>
  <c r="S108" i="83"/>
  <c r="M108" i="83"/>
  <c r="D108" i="83"/>
  <c r="AJ107" i="83"/>
  <c r="AI107" i="83"/>
  <c r="AG107" i="83"/>
  <c r="AF107" i="83"/>
  <c r="D107" i="83"/>
  <c r="AJ105" i="83"/>
  <c r="AI105" i="83"/>
  <c r="AG105" i="83"/>
  <c r="AF105" i="83"/>
  <c r="AJ104" i="83"/>
  <c r="AI104" i="83"/>
  <c r="AK104" i="83" s="1"/>
  <c r="AG104" i="83"/>
  <c r="AF104" i="83"/>
  <c r="AH104" i="83" s="1"/>
  <c r="AJ103" i="83"/>
  <c r="AI103" i="83"/>
  <c r="AG103" i="83"/>
  <c r="AF103" i="83"/>
  <c r="AB103" i="83"/>
  <c r="Y103" i="83"/>
  <c r="M103" i="83"/>
  <c r="D103" i="83"/>
  <c r="AJ102" i="83"/>
  <c r="AI102" i="83"/>
  <c r="AK102" i="83" s="1"/>
  <c r="AG102" i="83"/>
  <c r="AF102" i="83"/>
  <c r="AH102" i="83" s="1"/>
  <c r="AJ101" i="83"/>
  <c r="AI101" i="83"/>
  <c r="AK101" i="83" s="1"/>
  <c r="AG101" i="83"/>
  <c r="AF101" i="83"/>
  <c r="AH101" i="83" s="1"/>
  <c r="AJ100" i="83"/>
  <c r="AI100" i="83"/>
  <c r="AG100" i="83"/>
  <c r="AF100" i="83"/>
  <c r="AB100" i="83"/>
  <c r="Y100" i="83"/>
  <c r="S100" i="83"/>
  <c r="M100" i="83"/>
  <c r="D100" i="83"/>
  <c r="AJ98" i="83"/>
  <c r="AI98" i="83"/>
  <c r="AG98" i="83"/>
  <c r="AF98" i="83"/>
  <c r="D98" i="83"/>
  <c r="AJ96" i="83"/>
  <c r="AI96" i="83"/>
  <c r="AG96" i="83"/>
  <c r="AF96" i="83"/>
  <c r="S96" i="83"/>
  <c r="M96" i="83"/>
  <c r="J96" i="83"/>
  <c r="AJ95" i="83"/>
  <c r="AI95" i="83"/>
  <c r="AG95" i="83"/>
  <c r="AF95" i="83"/>
  <c r="M95" i="83"/>
  <c r="AJ93" i="83"/>
  <c r="AI93" i="83"/>
  <c r="AG93" i="83"/>
  <c r="AF93" i="83"/>
  <c r="AJ92" i="83"/>
  <c r="AI92" i="83"/>
  <c r="AK92" i="83" s="1"/>
  <c r="AG92" i="83"/>
  <c r="AF92" i="83"/>
  <c r="AH92" i="83" s="1"/>
  <c r="AJ91" i="83"/>
  <c r="AI91" i="83"/>
  <c r="AG91" i="83"/>
  <c r="AF91" i="83"/>
  <c r="S91" i="83"/>
  <c r="M91" i="83"/>
  <c r="J91" i="83"/>
  <c r="AJ90" i="83"/>
  <c r="AI90" i="83"/>
  <c r="AK90" i="83" s="1"/>
  <c r="AG90" i="83"/>
  <c r="AF90" i="83"/>
  <c r="AH90" i="83" s="1"/>
  <c r="AJ89" i="83"/>
  <c r="AI89" i="83"/>
  <c r="AK89" i="83" s="1"/>
  <c r="AG89" i="83"/>
  <c r="AF89" i="83"/>
  <c r="AH89" i="83" s="1"/>
  <c r="AJ88" i="83"/>
  <c r="AI88" i="83"/>
  <c r="AG88" i="83"/>
  <c r="AF88" i="83"/>
  <c r="S88" i="83"/>
  <c r="M88" i="83"/>
  <c r="J88" i="83"/>
  <c r="AG87" i="83"/>
  <c r="AF87" i="83"/>
  <c r="AJ86" i="83"/>
  <c r="AI86" i="83"/>
  <c r="AG86" i="83"/>
  <c r="AF86" i="83"/>
  <c r="S86" i="83"/>
  <c r="M86" i="83"/>
  <c r="J86" i="83"/>
  <c r="AJ84" i="83"/>
  <c r="AI84" i="83"/>
  <c r="AG84" i="83"/>
  <c r="AF84" i="83"/>
  <c r="Y84" i="83"/>
  <c r="S84" i="83"/>
  <c r="D84" i="83"/>
  <c r="AJ83" i="83"/>
  <c r="AG83" i="83"/>
  <c r="AF83" i="83"/>
  <c r="Y83" i="83"/>
  <c r="S83" i="83"/>
  <c r="D83" i="83"/>
  <c r="AJ81" i="83"/>
  <c r="AI81" i="83"/>
  <c r="AK81" i="83" s="1"/>
  <c r="AG81" i="83"/>
  <c r="AF81" i="83"/>
  <c r="AH81" i="83" s="1"/>
  <c r="AJ80" i="83"/>
  <c r="AI80" i="83"/>
  <c r="AG80" i="83"/>
  <c r="AF80" i="83"/>
  <c r="S80" i="83"/>
  <c r="AJ79" i="83"/>
  <c r="AI79" i="83"/>
  <c r="AG79" i="83"/>
  <c r="AF79" i="83"/>
  <c r="Y79" i="83"/>
  <c r="S79" i="83"/>
  <c r="D79" i="83"/>
  <c r="AJ78" i="83"/>
  <c r="AI78" i="83"/>
  <c r="AG78" i="83"/>
  <c r="AF78" i="83"/>
  <c r="Y78" i="83"/>
  <c r="S78" i="83"/>
  <c r="D78" i="83"/>
  <c r="AJ77" i="83"/>
  <c r="AI77" i="83"/>
  <c r="AG77" i="83"/>
  <c r="AF77" i="83"/>
  <c r="D77" i="83"/>
  <c r="AJ76" i="83"/>
  <c r="AI76" i="83"/>
  <c r="AG76" i="83"/>
  <c r="AF76" i="83"/>
  <c r="Y76" i="83"/>
  <c r="S76" i="83"/>
  <c r="D76" i="83"/>
  <c r="AJ74" i="83"/>
  <c r="AI74" i="83"/>
  <c r="AG74" i="83"/>
  <c r="AF74" i="83"/>
  <c r="Y74" i="83"/>
  <c r="S74" i="83"/>
  <c r="D74" i="83"/>
  <c r="AJ72" i="83"/>
  <c r="AI72" i="83"/>
  <c r="AG72" i="83"/>
  <c r="AF72" i="83"/>
  <c r="AB72" i="83"/>
  <c r="Y72" i="83"/>
  <c r="S72" i="83"/>
  <c r="D72" i="83"/>
  <c r="AJ71" i="83"/>
  <c r="AI71" i="83"/>
  <c r="AG71" i="83"/>
  <c r="AF71" i="83"/>
  <c r="AB71" i="83"/>
  <c r="Y71" i="83"/>
  <c r="S71" i="83"/>
  <c r="D71" i="83"/>
  <c r="AJ69" i="83"/>
  <c r="AI69" i="83"/>
  <c r="AK69" i="83" s="1"/>
  <c r="AG69" i="83"/>
  <c r="AF69" i="83"/>
  <c r="AH69" i="83" s="1"/>
  <c r="AJ68" i="83"/>
  <c r="AI68" i="83"/>
  <c r="AF68" i="83"/>
  <c r="AJ67" i="83"/>
  <c r="AI67" i="83"/>
  <c r="AF67" i="83"/>
  <c r="AB67" i="83"/>
  <c r="Y67" i="83"/>
  <c r="S67" i="83"/>
  <c r="D67" i="83"/>
  <c r="AJ66" i="83"/>
  <c r="AI66" i="83"/>
  <c r="AK66" i="83" s="1"/>
  <c r="AG66" i="83"/>
  <c r="AF66" i="83"/>
  <c r="AH66" i="83" s="1"/>
  <c r="AJ65" i="83"/>
  <c r="AI65" i="83"/>
  <c r="AK65" i="83" s="1"/>
  <c r="AG65" i="83"/>
  <c r="AF65" i="83"/>
  <c r="AH65" i="83" s="1"/>
  <c r="AJ64" i="83"/>
  <c r="AI64" i="83"/>
  <c r="AF64" i="83"/>
  <c r="AB64" i="83"/>
  <c r="Y64" i="83"/>
  <c r="S64" i="83"/>
  <c r="D64" i="83"/>
  <c r="AJ62" i="83"/>
  <c r="AI62" i="83"/>
  <c r="AF62" i="83"/>
  <c r="AB62" i="83"/>
  <c r="Y62" i="83"/>
  <c r="S62" i="83"/>
  <c r="D62" i="83"/>
  <c r="AJ58" i="83"/>
  <c r="AI58" i="83"/>
  <c r="AG58" i="83"/>
  <c r="AF58" i="83"/>
  <c r="AB58" i="83"/>
  <c r="Y58" i="83"/>
  <c r="S58" i="83"/>
  <c r="D58" i="83"/>
  <c r="AJ57" i="83"/>
  <c r="AI57" i="83"/>
  <c r="AG57" i="83"/>
  <c r="AF57" i="83"/>
  <c r="D57" i="83"/>
  <c r="AJ55" i="83"/>
  <c r="AI55" i="83"/>
  <c r="AK55" i="83" s="1"/>
  <c r="AG55" i="83"/>
  <c r="AF55" i="83"/>
  <c r="AH55" i="83" s="1"/>
  <c r="AJ54" i="83"/>
  <c r="AI54" i="83"/>
  <c r="AK54" i="83" s="1"/>
  <c r="AG54" i="83"/>
  <c r="AF54" i="83"/>
  <c r="AH54" i="83" s="1"/>
  <c r="AJ53" i="83"/>
  <c r="AI53" i="83"/>
  <c r="AG53" i="83"/>
  <c r="AF53" i="83"/>
  <c r="AB53" i="83"/>
  <c r="Y53" i="83"/>
  <c r="S53" i="83"/>
  <c r="D53" i="83"/>
  <c r="AJ52" i="83"/>
  <c r="AI52" i="83"/>
  <c r="AK52" i="83" s="1"/>
  <c r="AG52" i="83"/>
  <c r="AF52" i="83"/>
  <c r="AH52" i="83" s="1"/>
  <c r="AJ51" i="83"/>
  <c r="AI51" i="83"/>
  <c r="AK51" i="83" s="1"/>
  <c r="AG51" i="83"/>
  <c r="AF51" i="83"/>
  <c r="AH51" i="83" s="1"/>
  <c r="AJ50" i="83"/>
  <c r="AI50" i="83"/>
  <c r="AG50" i="83"/>
  <c r="AF50" i="83"/>
  <c r="AB50" i="83"/>
  <c r="Y50" i="83"/>
  <c r="S50" i="83"/>
  <c r="D50" i="83"/>
  <c r="AJ48" i="83"/>
  <c r="AI48" i="83"/>
  <c r="AG48" i="83"/>
  <c r="AF48" i="83"/>
  <c r="D48" i="83"/>
  <c r="AG47" i="83"/>
  <c r="AF47" i="83"/>
  <c r="AJ46" i="83"/>
  <c r="AI46" i="83"/>
  <c r="AG46" i="83"/>
  <c r="AF46" i="83"/>
  <c r="AB46" i="83"/>
  <c r="S46" i="83"/>
  <c r="J46" i="83"/>
  <c r="G46" i="83"/>
  <c r="AJ45" i="83"/>
  <c r="AI45" i="83"/>
  <c r="AK45" i="83" s="1"/>
  <c r="AG45" i="83"/>
  <c r="AF45" i="83"/>
  <c r="AH45" i="83" s="1"/>
  <c r="G44" i="83"/>
  <c r="AJ43" i="83"/>
  <c r="AI43" i="83"/>
  <c r="AG43" i="83"/>
  <c r="AF43" i="83"/>
  <c r="AJ42" i="83"/>
  <c r="AI42" i="83"/>
  <c r="AK42" i="83" s="1"/>
  <c r="AG42" i="83"/>
  <c r="AF42" i="83"/>
  <c r="AH42" i="83" s="1"/>
  <c r="AJ41" i="83"/>
  <c r="AI41" i="83"/>
  <c r="AG41" i="83"/>
  <c r="AF41" i="83"/>
  <c r="AB41" i="83"/>
  <c r="S41" i="83"/>
  <c r="J41" i="83"/>
  <c r="G41" i="83"/>
  <c r="AJ40" i="83"/>
  <c r="AI40" i="83"/>
  <c r="AK40" i="83" s="1"/>
  <c r="AG40" i="83"/>
  <c r="AF40" i="83"/>
  <c r="AH40" i="83" s="1"/>
  <c r="AJ39" i="83"/>
  <c r="AI39" i="83"/>
  <c r="AK39" i="83" s="1"/>
  <c r="AG39" i="83"/>
  <c r="AF39" i="83"/>
  <c r="AH39" i="83" s="1"/>
  <c r="AJ38" i="83"/>
  <c r="AI38" i="83"/>
  <c r="AG38" i="83"/>
  <c r="AF38" i="83"/>
  <c r="AB38" i="83"/>
  <c r="S38" i="83"/>
  <c r="J38" i="83"/>
  <c r="G38" i="83"/>
  <c r="AJ36" i="83"/>
  <c r="AI36" i="83"/>
  <c r="AG36" i="83"/>
  <c r="AF36" i="83"/>
  <c r="AB36" i="83"/>
  <c r="S36" i="83"/>
  <c r="J36" i="83"/>
  <c r="G36" i="83"/>
  <c r="AG35" i="83"/>
  <c r="AF35" i="83"/>
  <c r="AJ34" i="83"/>
  <c r="AI34" i="83"/>
  <c r="AG34" i="83"/>
  <c r="AF34" i="83"/>
  <c r="Y34" i="83"/>
  <c r="D34" i="83"/>
  <c r="AJ33" i="83"/>
  <c r="AI33" i="83"/>
  <c r="AG33" i="83"/>
  <c r="AF33" i="83"/>
  <c r="D33" i="83"/>
  <c r="AJ31" i="83"/>
  <c r="AI31" i="83"/>
  <c r="AK31" i="83" s="1"/>
  <c r="AG31" i="83"/>
  <c r="AF31" i="83"/>
  <c r="AH31" i="83" s="1"/>
  <c r="AJ30" i="83"/>
  <c r="AI30" i="83"/>
  <c r="AG30" i="83"/>
  <c r="AF30" i="83"/>
  <c r="AJ29" i="83"/>
  <c r="AI29" i="83"/>
  <c r="AG29" i="83"/>
  <c r="AF29" i="83"/>
  <c r="D29" i="83"/>
  <c r="AJ28" i="83"/>
  <c r="AI28" i="83"/>
  <c r="AG28" i="83"/>
  <c r="AF28" i="83"/>
  <c r="D28" i="83"/>
  <c r="AJ27" i="83"/>
  <c r="AI27" i="83"/>
  <c r="AG27" i="83"/>
  <c r="AF27" i="83"/>
  <c r="D27" i="83"/>
  <c r="AJ26" i="83"/>
  <c r="AI26" i="83"/>
  <c r="AG26" i="83"/>
  <c r="AF26" i="83"/>
  <c r="Y26" i="83"/>
  <c r="D26" i="83"/>
  <c r="AJ25" i="83"/>
  <c r="AI25" i="83"/>
  <c r="AG25" i="83"/>
  <c r="AF25" i="83"/>
  <c r="D25" i="83"/>
  <c r="AJ24" i="83"/>
  <c r="AI24" i="83"/>
  <c r="AG24" i="83"/>
  <c r="AF24" i="83"/>
  <c r="Y24" i="83"/>
  <c r="D24" i="83"/>
  <c r="AG23" i="83"/>
  <c r="AF23" i="83"/>
  <c r="AJ22" i="83"/>
  <c r="AI22" i="83"/>
  <c r="AG22" i="83"/>
  <c r="AF22" i="83"/>
  <c r="AB22" i="83"/>
  <c r="Y22" i="83"/>
  <c r="S22" i="83"/>
  <c r="D22" i="83"/>
  <c r="AJ21" i="83"/>
  <c r="AG21" i="83"/>
  <c r="Y21" i="83"/>
  <c r="S21" i="83"/>
  <c r="D21" i="83"/>
  <c r="AJ19" i="83"/>
  <c r="AI19" i="83"/>
  <c r="AK19" i="83" s="1"/>
  <c r="AG19" i="83"/>
  <c r="AF19" i="83"/>
  <c r="AH19" i="83" s="1"/>
  <c r="AJ18" i="83"/>
  <c r="AI18" i="83"/>
  <c r="AK18" i="83" s="1"/>
  <c r="AG18" i="83"/>
  <c r="AF18" i="83"/>
  <c r="AH18" i="83" s="1"/>
  <c r="AJ17" i="83"/>
  <c r="AI17" i="83"/>
  <c r="AG17" i="83"/>
  <c r="AF17" i="83"/>
  <c r="AB17" i="83"/>
  <c r="Y17" i="83"/>
  <c r="S17" i="83"/>
  <c r="D17" i="83"/>
  <c r="AJ16" i="83"/>
  <c r="AI16" i="83"/>
  <c r="AK16" i="83" s="1"/>
  <c r="AG16" i="83"/>
  <c r="AF16" i="83"/>
  <c r="AH16" i="83" s="1"/>
  <c r="AJ15" i="83"/>
  <c r="AI15" i="83"/>
  <c r="AK15" i="83" s="1"/>
  <c r="AG15" i="83"/>
  <c r="AF15" i="83"/>
  <c r="AH15" i="83" s="1"/>
  <c r="AJ14" i="83"/>
  <c r="AI14" i="83"/>
  <c r="AG14" i="83"/>
  <c r="AF14" i="83"/>
  <c r="AB14" i="83"/>
  <c r="Y14" i="83"/>
  <c r="S14" i="83"/>
  <c r="D14" i="83"/>
  <c r="AJ13" i="83"/>
  <c r="AI13" i="83"/>
  <c r="AG13" i="83"/>
  <c r="AF13" i="83"/>
  <c r="AB13" i="83"/>
  <c r="S13" i="83"/>
  <c r="D13" i="83"/>
  <c r="AJ12" i="83"/>
  <c r="AI12" i="83"/>
  <c r="AG12" i="83"/>
  <c r="AF12" i="83"/>
  <c r="AB12" i="83"/>
  <c r="Y12" i="83"/>
  <c r="S12" i="83"/>
  <c r="D12" i="83"/>
  <c r="AJ9" i="83"/>
  <c r="AI9" i="83"/>
  <c r="AG9" i="83"/>
  <c r="AF9" i="83"/>
  <c r="AD9" i="83"/>
  <c r="AC9" i="83"/>
  <c r="AA9" i="83"/>
  <c r="Z9" i="83"/>
  <c r="X9" i="83"/>
  <c r="W9" i="83"/>
  <c r="U9" i="83"/>
  <c r="T9" i="83"/>
  <c r="R9" i="83"/>
  <c r="Q9" i="83"/>
  <c r="O9" i="83"/>
  <c r="N9" i="83"/>
  <c r="L9" i="83"/>
  <c r="K9" i="83"/>
  <c r="I9" i="83"/>
  <c r="H9" i="83"/>
  <c r="F9" i="83"/>
  <c r="E9" i="83"/>
  <c r="AG45" i="82"/>
  <c r="AF45" i="82"/>
  <c r="AE45" i="82"/>
  <c r="AB45" i="82"/>
  <c r="S45" i="82"/>
  <c r="P45" i="82"/>
  <c r="M45" i="82"/>
  <c r="D45" i="82"/>
  <c r="AG43" i="82"/>
  <c r="AF43" i="82"/>
  <c r="AB43" i="82"/>
  <c r="Y43" i="82"/>
  <c r="V43" i="82"/>
  <c r="S43" i="82"/>
  <c r="M43" i="82"/>
  <c r="J43" i="82"/>
  <c r="G43" i="82"/>
  <c r="D43" i="82"/>
  <c r="P41" i="82"/>
  <c r="AG40" i="82"/>
  <c r="AF40" i="82"/>
  <c r="AB40" i="82"/>
  <c r="Y40" i="82"/>
  <c r="V40" i="82"/>
  <c r="S40" i="82"/>
  <c r="P40" i="82"/>
  <c r="M40" i="82"/>
  <c r="J40" i="82"/>
  <c r="G40" i="82"/>
  <c r="D40" i="82"/>
  <c r="AG39" i="82"/>
  <c r="AF39" i="82"/>
  <c r="AB39" i="82"/>
  <c r="Y39" i="82"/>
  <c r="V39" i="82"/>
  <c r="S39" i="82"/>
  <c r="P39" i="82"/>
  <c r="M39" i="82"/>
  <c r="J39" i="82"/>
  <c r="D39" i="82"/>
  <c r="AG38" i="82"/>
  <c r="AF38" i="82"/>
  <c r="AE38" i="82"/>
  <c r="AB38" i="82"/>
  <c r="Y38" i="82"/>
  <c r="V38" i="82"/>
  <c r="S38" i="82"/>
  <c r="P38" i="82"/>
  <c r="M38" i="82"/>
  <c r="J38" i="82"/>
  <c r="G38" i="82"/>
  <c r="D38" i="82"/>
  <c r="AG34" i="82"/>
  <c r="AF34" i="82"/>
  <c r="AE34" i="82"/>
  <c r="AB34" i="82"/>
  <c r="Y34" i="82"/>
  <c r="S34" i="82"/>
  <c r="P34" i="82"/>
  <c r="D34" i="82"/>
  <c r="AG33" i="82"/>
  <c r="AF33" i="82"/>
  <c r="AE33" i="82"/>
  <c r="AB33" i="82"/>
  <c r="Y33" i="82"/>
  <c r="V33" i="82"/>
  <c r="S33" i="82"/>
  <c r="P33" i="82"/>
  <c r="M33" i="82"/>
  <c r="J33" i="82"/>
  <c r="G33" i="82"/>
  <c r="D33" i="82"/>
  <c r="AG32" i="82"/>
  <c r="AF32" i="82"/>
  <c r="AE32" i="82"/>
  <c r="AB32" i="82"/>
  <c r="Y32" i="82"/>
  <c r="V32" i="82"/>
  <c r="S32" i="82"/>
  <c r="P32" i="82"/>
  <c r="M32" i="82"/>
  <c r="D32" i="82"/>
  <c r="AG31" i="82"/>
  <c r="AF31" i="82"/>
  <c r="AB31" i="82"/>
  <c r="Y31" i="82"/>
  <c r="S31" i="82"/>
  <c r="P31" i="82"/>
  <c r="M31" i="82"/>
  <c r="D31" i="82"/>
  <c r="AG29" i="82"/>
  <c r="AF29" i="82"/>
  <c r="AE29" i="82"/>
  <c r="AB29" i="82"/>
  <c r="Y29" i="82"/>
  <c r="S29" i="82"/>
  <c r="D29" i="82"/>
  <c r="AG28" i="82"/>
  <c r="AF28" i="82"/>
  <c r="AB28" i="82"/>
  <c r="D28" i="82"/>
  <c r="AF27" i="82"/>
  <c r="AB27" i="82"/>
  <c r="AG26" i="82"/>
  <c r="AF26" i="82"/>
  <c r="AB26" i="82"/>
  <c r="V26" i="82"/>
  <c r="S26" i="82"/>
  <c r="P26" i="82"/>
  <c r="D26" i="82"/>
  <c r="AF25" i="82"/>
  <c r="AE25" i="82"/>
  <c r="AG24" i="82"/>
  <c r="AF24" i="82"/>
  <c r="AE24" i="82"/>
  <c r="AB24" i="82"/>
  <c r="Y24" i="82"/>
  <c r="V24" i="82"/>
  <c r="S24" i="82"/>
  <c r="M24" i="82"/>
  <c r="G24" i="82"/>
  <c r="D24" i="82"/>
  <c r="AG23" i="82"/>
  <c r="AE23" i="82"/>
  <c r="AB23" i="82"/>
  <c r="Y23" i="82"/>
  <c r="V23" i="82"/>
  <c r="S23" i="82"/>
  <c r="P23" i="82"/>
  <c r="AF23" i="82"/>
  <c r="J23" i="82"/>
  <c r="G23" i="82"/>
  <c r="D23" i="82"/>
  <c r="AG22" i="82"/>
  <c r="AF22" i="82"/>
  <c r="AJ20" i="82"/>
  <c r="AI20" i="82"/>
  <c r="AG20" i="82"/>
  <c r="AF20" i="82"/>
  <c r="AE20" i="82"/>
  <c r="AB20" i="82"/>
  <c r="Y20" i="82"/>
  <c r="S20" i="82"/>
  <c r="P20" i="82"/>
  <c r="M20" i="82"/>
  <c r="G20" i="82"/>
  <c r="D20" i="82"/>
  <c r="AJ19" i="82"/>
  <c r="AG19" i="82"/>
  <c r="Y19" i="82"/>
  <c r="V19" i="82"/>
  <c r="S19" i="82"/>
  <c r="P19" i="82"/>
  <c r="M19" i="82"/>
  <c r="J19" i="82"/>
  <c r="G19" i="82"/>
  <c r="D19" i="82"/>
  <c r="AJ18" i="82"/>
  <c r="AI18" i="82"/>
  <c r="AG18" i="82"/>
  <c r="AF18" i="82"/>
  <c r="AJ17" i="82"/>
  <c r="AI17" i="82"/>
  <c r="AG17" i="82"/>
  <c r="AF17" i="82"/>
  <c r="AB17" i="82"/>
  <c r="Y17" i="82"/>
  <c r="V17" i="82"/>
  <c r="S17" i="82"/>
  <c r="P17" i="82"/>
  <c r="J17" i="82"/>
  <c r="G17" i="82"/>
  <c r="D17" i="82"/>
  <c r="AJ16" i="82"/>
  <c r="AI16" i="82"/>
  <c r="AG16" i="82"/>
  <c r="AF16" i="82"/>
  <c r="AB16" i="82"/>
  <c r="Y16" i="82"/>
  <c r="S16" i="82"/>
  <c r="P16" i="82"/>
  <c r="M16" i="82"/>
  <c r="D16" i="82"/>
  <c r="AJ15" i="82"/>
  <c r="AI15" i="82"/>
  <c r="AG15" i="82"/>
  <c r="AF15" i="82"/>
  <c r="AE15" i="82"/>
  <c r="AB15" i="82"/>
  <c r="Y15" i="82"/>
  <c r="V15" i="82"/>
  <c r="S15" i="82"/>
  <c r="P15" i="82"/>
  <c r="M15" i="82"/>
  <c r="J15" i="82"/>
  <c r="G15" i="82"/>
  <c r="D15" i="82"/>
  <c r="P14" i="82"/>
  <c r="AJ13" i="82"/>
  <c r="AI13" i="82"/>
  <c r="AG13" i="82"/>
  <c r="AF13" i="82"/>
  <c r="AE13" i="82"/>
  <c r="AB13" i="82"/>
  <c r="Y13" i="82"/>
  <c r="S13" i="82"/>
  <c r="P13" i="82"/>
  <c r="M13" i="82"/>
  <c r="D13" i="82"/>
  <c r="AJ12" i="82"/>
  <c r="AI12" i="82"/>
  <c r="AG12" i="82"/>
  <c r="AF12" i="82"/>
  <c r="AE12" i="82"/>
  <c r="AB12" i="82"/>
  <c r="Y12" i="82"/>
  <c r="S12" i="82"/>
  <c r="M12" i="82"/>
  <c r="J12" i="82"/>
  <c r="G12" i="82"/>
  <c r="D12" i="82"/>
  <c r="AJ11" i="82"/>
  <c r="AI11" i="82"/>
  <c r="AG11" i="82"/>
  <c r="AF11" i="82"/>
  <c r="AE11" i="82"/>
  <c r="AB11" i="82"/>
  <c r="Y11" i="82"/>
  <c r="V11" i="82"/>
  <c r="S11" i="82"/>
  <c r="P11" i="82"/>
  <c r="M11" i="82"/>
  <c r="J11" i="82"/>
  <c r="G11" i="82"/>
  <c r="D11" i="82"/>
  <c r="AJ8" i="82"/>
  <c r="AI8" i="82"/>
  <c r="AG8" i="82"/>
  <c r="AF8" i="82"/>
  <c r="AD8" i="82"/>
  <c r="AC8" i="82"/>
  <c r="AA8" i="82"/>
  <c r="Z8" i="82"/>
  <c r="X8" i="82"/>
  <c r="W8" i="82"/>
  <c r="U8" i="82"/>
  <c r="T8" i="82"/>
  <c r="R8" i="82"/>
  <c r="Q8" i="82"/>
  <c r="O8" i="82"/>
  <c r="N8" i="82"/>
  <c r="L8" i="82"/>
  <c r="K8" i="82"/>
  <c r="I8" i="82"/>
  <c r="H8" i="82"/>
  <c r="F8" i="82"/>
  <c r="E8" i="82"/>
  <c r="AH134" i="84" l="1"/>
  <c r="AH138" i="84"/>
  <c r="AK138" i="84"/>
  <c r="AH136" i="84"/>
  <c r="AK139" i="84"/>
  <c r="AH38" i="84"/>
  <c r="AH118" i="84"/>
  <c r="AH109" i="84"/>
  <c r="AH88" i="84"/>
  <c r="AH13" i="85"/>
  <c r="AK113" i="84"/>
  <c r="AK19" i="84"/>
  <c r="AH112" i="84"/>
  <c r="AK118" i="84"/>
  <c r="AK67" i="84"/>
  <c r="AK112" i="84"/>
  <c r="AK13" i="85"/>
  <c r="AH68" i="83"/>
  <c r="AK68" i="83"/>
  <c r="AK63" i="84"/>
  <c r="AH113" i="84"/>
  <c r="AK38" i="84"/>
  <c r="AK88" i="84"/>
  <c r="AH103" i="84"/>
  <c r="AK109" i="84"/>
  <c r="AH19" i="84"/>
  <c r="AK103" i="84"/>
  <c r="AK110" i="84"/>
  <c r="AK114" i="84"/>
  <c r="AH110" i="84"/>
  <c r="AH114" i="84"/>
  <c r="AH76" i="86"/>
  <c r="AK105" i="83"/>
  <c r="AK76" i="86"/>
  <c r="AH105" i="83"/>
  <c r="AH24" i="82"/>
  <c r="AH128" i="84"/>
  <c r="AK128" i="84"/>
  <c r="K46" i="85"/>
  <c r="Z40" i="85"/>
  <c r="AB40" i="85" s="1"/>
  <c r="R46" i="85"/>
  <c r="H46" i="85"/>
  <c r="U46" i="85"/>
  <c r="V46" i="85" s="1"/>
  <c r="AI22" i="84"/>
  <c r="AK22" i="84" s="1"/>
  <c r="B48" i="85"/>
  <c r="AI94" i="84"/>
  <c r="AK94" i="84" s="1"/>
  <c r="Z48" i="85"/>
  <c r="AB48" i="85" s="1"/>
  <c r="C46" i="85"/>
  <c r="W46" i="85"/>
  <c r="AI21" i="83"/>
  <c r="AK21" i="83" s="1"/>
  <c r="Z47" i="85"/>
  <c r="AB47" i="85" s="1"/>
  <c r="AI12" i="84"/>
  <c r="AK12" i="84" s="1"/>
  <c r="B38" i="85"/>
  <c r="AF38" i="85" s="1"/>
  <c r="F46" i="85"/>
  <c r="X46" i="85"/>
  <c r="I46" i="85"/>
  <c r="L46" i="85"/>
  <c r="AA46" i="85"/>
  <c r="AF17" i="84"/>
  <c r="AH17" i="84" s="1"/>
  <c r="B43" i="85"/>
  <c r="O46" i="85"/>
  <c r="P46" i="85" s="1"/>
  <c r="AD46" i="85"/>
  <c r="Q46" i="85"/>
  <c r="AJ41" i="85"/>
  <c r="G41" i="82"/>
  <c r="AI42" i="85"/>
  <c r="AH41" i="83"/>
  <c r="AK50" i="83"/>
  <c r="AJ47" i="85"/>
  <c r="AJ48" i="85"/>
  <c r="AI44" i="85"/>
  <c r="AH95" i="83"/>
  <c r="AJ43" i="85"/>
  <c r="AJ42" i="85"/>
  <c r="AK64" i="84"/>
  <c r="AJ44" i="85"/>
  <c r="AK60" i="84"/>
  <c r="AJ38" i="85"/>
  <c r="AJ40" i="85"/>
  <c r="AI41" i="85"/>
  <c r="AF46" i="87"/>
  <c r="T37" i="88"/>
  <c r="AF23" i="87"/>
  <c r="AG23" i="87"/>
  <c r="AG11" i="87"/>
  <c r="AF40" i="87"/>
  <c r="AG46" i="87"/>
  <c r="U31" i="88"/>
  <c r="V31" i="88" s="1"/>
  <c r="T36" i="88"/>
  <c r="V36" i="88" s="1"/>
  <c r="AG40" i="87"/>
  <c r="T40" i="88"/>
  <c r="V40" i="88" s="1"/>
  <c r="T35" i="88"/>
  <c r="AH23" i="86"/>
  <c r="T39" i="88"/>
  <c r="AF35" i="87"/>
  <c r="D23" i="87"/>
  <c r="I52" i="87"/>
  <c r="J23" i="87"/>
  <c r="D59" i="87"/>
  <c r="B52" i="87"/>
  <c r="Y23" i="87"/>
  <c r="V46" i="87"/>
  <c r="AH16" i="87"/>
  <c r="AH17" i="87"/>
  <c r="AH28" i="87"/>
  <c r="G23" i="87"/>
  <c r="G11" i="87"/>
  <c r="AH18" i="87"/>
  <c r="AK25" i="83"/>
  <c r="AH91" i="83"/>
  <c r="X52" i="87"/>
  <c r="AA52" i="87"/>
  <c r="L52" i="87"/>
  <c r="AH52" i="86"/>
  <c r="O52" i="87"/>
  <c r="W52" i="87"/>
  <c r="C52" i="87"/>
  <c r="AH45" i="87"/>
  <c r="S36" i="88"/>
  <c r="AH122" i="84"/>
  <c r="AH123" i="84"/>
  <c r="S37" i="88"/>
  <c r="AH24" i="87"/>
  <c r="J53" i="87"/>
  <c r="AK77" i="84"/>
  <c r="AH14" i="85"/>
  <c r="AH31" i="85"/>
  <c r="D41" i="85"/>
  <c r="C11" i="58"/>
  <c r="C12" i="58"/>
  <c r="AH17" i="86"/>
  <c r="AH21" i="86"/>
  <c r="AK25" i="86"/>
  <c r="B19" i="58"/>
  <c r="B18" i="58"/>
  <c r="AH55" i="86"/>
  <c r="C25" i="58"/>
  <c r="B11" i="58"/>
  <c r="AK82" i="84"/>
  <c r="B10" i="58"/>
  <c r="C13" i="58"/>
  <c r="B9" i="58"/>
  <c r="C19" i="58"/>
  <c r="C18" i="58"/>
  <c r="AK43" i="86"/>
  <c r="B22" i="58"/>
  <c r="C10" i="58"/>
  <c r="C9" i="58"/>
  <c r="C22" i="58"/>
  <c r="C30" i="58"/>
  <c r="B20" i="58"/>
  <c r="B28" i="58"/>
  <c r="AH32" i="82"/>
  <c r="AH38" i="82"/>
  <c r="AH64" i="83"/>
  <c r="AH96" i="83"/>
  <c r="AK98" i="83"/>
  <c r="M106" i="83"/>
  <c r="AK123" i="84"/>
  <c r="C20" i="58"/>
  <c r="AK48" i="86"/>
  <c r="B27" i="58"/>
  <c r="C28" i="58"/>
  <c r="C26" i="58"/>
  <c r="B29" i="58"/>
  <c r="C17" i="58"/>
  <c r="C14" i="58"/>
  <c r="C27" i="58"/>
  <c r="C29" i="58"/>
  <c r="AK100" i="83"/>
  <c r="AH57" i="84"/>
  <c r="C21" i="58"/>
  <c r="B17" i="58"/>
  <c r="Y41" i="82"/>
  <c r="AH45" i="82"/>
  <c r="AH62" i="83"/>
  <c r="AK46" i="84"/>
  <c r="AH91" i="84"/>
  <c r="AK57" i="86"/>
  <c r="AH91" i="86"/>
  <c r="AK57" i="83"/>
  <c r="AK79" i="83"/>
  <c r="AK45" i="84"/>
  <c r="S41" i="82"/>
  <c r="AE41" i="82"/>
  <c r="AH13" i="83"/>
  <c r="AH24" i="85"/>
  <c r="AH73" i="86"/>
  <c r="V41" i="82"/>
  <c r="AK33" i="83"/>
  <c r="AH36" i="83"/>
  <c r="AH48" i="83"/>
  <c r="AH50" i="83"/>
  <c r="AH76" i="83"/>
  <c r="AH80" i="83"/>
  <c r="AK117" i="84"/>
  <c r="AH34" i="85"/>
  <c r="AH22" i="86"/>
  <c r="C35" i="88"/>
  <c r="P36" i="88"/>
  <c r="J41" i="82"/>
  <c r="AH26" i="83"/>
  <c r="AK53" i="84"/>
  <c r="AH84" i="84"/>
  <c r="AK44" i="86"/>
  <c r="Y54" i="87"/>
  <c r="AK101" i="84"/>
  <c r="AH21" i="87"/>
  <c r="AH53" i="84"/>
  <c r="AH105" i="84"/>
  <c r="AH132" i="84"/>
  <c r="D35" i="86"/>
  <c r="AK70" i="86"/>
  <c r="AH90" i="86"/>
  <c r="AH32" i="87"/>
  <c r="AH34" i="87"/>
  <c r="AH51" i="84"/>
  <c r="AK62" i="84"/>
  <c r="AK72" i="84"/>
  <c r="AH97" i="84"/>
  <c r="AH71" i="86"/>
  <c r="AK78" i="86"/>
  <c r="AK12" i="82"/>
  <c r="AK108" i="83"/>
  <c r="AK91" i="84"/>
  <c r="AK14" i="85"/>
  <c r="AK21" i="85"/>
  <c r="AK18" i="86"/>
  <c r="M16" i="88"/>
  <c r="AH11" i="82"/>
  <c r="AH12" i="83"/>
  <c r="AH17" i="83"/>
  <c r="AK43" i="83"/>
  <c r="Y56" i="83"/>
  <c r="AH67" i="83"/>
  <c r="AK71" i="83"/>
  <c r="AH45" i="84"/>
  <c r="AK66" i="84"/>
  <c r="AH41" i="86"/>
  <c r="AK67" i="83"/>
  <c r="AB86" i="84"/>
  <c r="AK12" i="85"/>
  <c r="AK24" i="86"/>
  <c r="AK58" i="86"/>
  <c r="D54" i="87"/>
  <c r="AH13" i="82"/>
  <c r="AB20" i="83"/>
  <c r="AH30" i="83"/>
  <c r="AH71" i="83"/>
  <c r="AK40" i="84"/>
  <c r="AH48" i="84"/>
  <c r="AK74" i="84"/>
  <c r="AH106" i="84"/>
  <c r="AK132" i="84"/>
  <c r="AK17" i="85"/>
  <c r="AH19" i="85"/>
  <c r="AH22" i="85"/>
  <c r="AH26" i="85"/>
  <c r="J20" i="86"/>
  <c r="AH37" i="86"/>
  <c r="AH22" i="87"/>
  <c r="M46" i="87"/>
  <c r="AB56" i="87"/>
  <c r="G30" i="82"/>
  <c r="D32" i="83"/>
  <c r="AK80" i="83"/>
  <c r="AK86" i="83"/>
  <c r="AH52" i="84"/>
  <c r="AK99" i="84"/>
  <c r="AH12" i="85"/>
  <c r="AK19" i="85"/>
  <c r="AK26" i="85"/>
  <c r="AH29" i="85"/>
  <c r="AF28" i="86"/>
  <c r="AH28" i="86" s="1"/>
  <c r="V39" i="86"/>
  <c r="AK46" i="86"/>
  <c r="AK52" i="86"/>
  <c r="AH58" i="86"/>
  <c r="AK71" i="86"/>
  <c r="J55" i="87"/>
  <c r="M39" i="88"/>
  <c r="AH23" i="82"/>
  <c r="AK13" i="82"/>
  <c r="AH28" i="82"/>
  <c r="AH25" i="83"/>
  <c r="AH38" i="83"/>
  <c r="S44" i="83"/>
  <c r="AK95" i="83"/>
  <c r="D21" i="84"/>
  <c r="AH96" i="84"/>
  <c r="AK97" i="84"/>
  <c r="X40" i="88"/>
  <c r="AI56" i="83"/>
  <c r="Y44" i="84"/>
  <c r="AH33" i="86"/>
  <c r="AK40" i="86"/>
  <c r="AH42" i="86"/>
  <c r="AK69" i="86"/>
  <c r="AB30" i="82"/>
  <c r="M41" i="82"/>
  <c r="AK26" i="83"/>
  <c r="AH46" i="83"/>
  <c r="S70" i="83"/>
  <c r="AH103" i="83"/>
  <c r="AK69" i="84"/>
  <c r="AH44" i="86"/>
  <c r="AK51" i="86"/>
  <c r="S87" i="86"/>
  <c r="AH19" i="87"/>
  <c r="S54" i="87"/>
  <c r="AH16" i="82"/>
  <c r="S21" i="82"/>
  <c r="AK77" i="83"/>
  <c r="AH84" i="83"/>
  <c r="AJ20" i="84"/>
  <c r="AH46" i="84"/>
  <c r="AK65" i="84"/>
  <c r="AI130" i="84"/>
  <c r="AH17" i="85"/>
  <c r="V16" i="86"/>
  <c r="AK36" i="86"/>
  <c r="AK77" i="86"/>
  <c r="P55" i="87"/>
  <c r="AB55" i="87"/>
  <c r="M56" i="87"/>
  <c r="G39" i="88"/>
  <c r="AJ70" i="83"/>
  <c r="AK29" i="85"/>
  <c r="AH61" i="86"/>
  <c r="AH69" i="86"/>
  <c r="AB57" i="87"/>
  <c r="V14" i="82"/>
  <c r="AH20" i="82"/>
  <c r="P30" i="82"/>
  <c r="AH34" i="82"/>
  <c r="AH22" i="83"/>
  <c r="AH29" i="83"/>
  <c r="AK36" i="83"/>
  <c r="AK46" i="83"/>
  <c r="AK48" i="83"/>
  <c r="AH83" i="83"/>
  <c r="AH93" i="83"/>
  <c r="AI94" i="83"/>
  <c r="AI106" i="83"/>
  <c r="AH107" i="83"/>
  <c r="AH16" i="84"/>
  <c r="M56" i="84"/>
  <c r="AK58" i="84"/>
  <c r="AJ80" i="84"/>
  <c r="AF93" i="84"/>
  <c r="AH93" i="84" s="1"/>
  <c r="AF94" i="84"/>
  <c r="AH94" i="84" s="1"/>
  <c r="AG104" i="84"/>
  <c r="AH14" i="86"/>
  <c r="AH24" i="86"/>
  <c r="AH43" i="86"/>
  <c r="AH88" i="86"/>
  <c r="M23" i="87"/>
  <c r="AH29" i="87"/>
  <c r="AB53" i="87"/>
  <c r="AH31" i="87"/>
  <c r="AH15" i="82"/>
  <c r="AH26" i="82"/>
  <c r="AH39" i="82"/>
  <c r="AH43" i="82"/>
  <c r="AH14" i="83"/>
  <c r="AK38" i="83"/>
  <c r="AH58" i="83"/>
  <c r="AH72" i="83"/>
  <c r="AK76" i="83"/>
  <c r="AK93" i="83"/>
  <c r="AK15" i="84"/>
  <c r="AK16" i="84"/>
  <c r="Y92" i="84"/>
  <c r="AB116" i="84"/>
  <c r="AK24" i="85"/>
  <c r="AK30" i="83"/>
  <c r="AK41" i="83"/>
  <c r="J44" i="83"/>
  <c r="AK18" i="84"/>
  <c r="AH58" i="84"/>
  <c r="D20" i="86"/>
  <c r="AG39" i="86"/>
  <c r="S46" i="87"/>
  <c r="AK20" i="82"/>
  <c r="AJ44" i="83"/>
  <c r="AH79" i="83"/>
  <c r="AK83" i="83"/>
  <c r="Y106" i="83"/>
  <c r="AK107" i="83"/>
  <c r="AK51" i="84"/>
  <c r="AK70" i="84"/>
  <c r="AF116" i="84"/>
  <c r="AK126" i="84"/>
  <c r="AH131" i="84"/>
  <c r="D20" i="85"/>
  <c r="AH21" i="85"/>
  <c r="AK34" i="85"/>
  <c r="D42" i="85"/>
  <c r="AK14" i="86"/>
  <c r="P35" i="86"/>
  <c r="AH46" i="86"/>
  <c r="AH70" i="86"/>
  <c r="AH77" i="86"/>
  <c r="J80" i="86"/>
  <c r="AK88" i="86"/>
  <c r="Y46" i="87"/>
  <c r="Y56" i="87"/>
  <c r="G16" i="88"/>
  <c r="D31" i="88"/>
  <c r="P39" i="88"/>
  <c r="AK15" i="82"/>
  <c r="AK13" i="83"/>
  <c r="AK24" i="83"/>
  <c r="AH53" i="83"/>
  <c r="AK58" i="83"/>
  <c r="AK62" i="83"/>
  <c r="AH78" i="83"/>
  <c r="AF12" i="84"/>
  <c r="AH12" i="84" s="1"/>
  <c r="AI20" i="84"/>
  <c r="AH41" i="84"/>
  <c r="AK86" i="84"/>
  <c r="AK122" i="84"/>
  <c r="AH124" i="84"/>
  <c r="AH25" i="86"/>
  <c r="S35" i="86"/>
  <c r="AK79" i="86"/>
  <c r="AH15" i="87"/>
  <c r="D37" i="88"/>
  <c r="M37" i="88"/>
  <c r="S39" i="88"/>
  <c r="AI68" i="84"/>
  <c r="S14" i="82"/>
  <c r="AK17" i="82"/>
  <c r="AH29" i="82"/>
  <c r="J30" i="82"/>
  <c r="Y30" i="82"/>
  <c r="AH33" i="83"/>
  <c r="AB56" i="83"/>
  <c r="AI70" i="83"/>
  <c r="AK78" i="83"/>
  <c r="S94" i="83"/>
  <c r="AH98" i="83"/>
  <c r="AK103" i="83"/>
  <c r="AK41" i="84"/>
  <c r="AK57" i="84"/>
  <c r="AK81" i="84"/>
  <c r="AH117" i="84"/>
  <c r="AF39" i="85"/>
  <c r="AG44" i="85"/>
  <c r="AK17" i="86"/>
  <c r="Y20" i="86"/>
  <c r="V35" i="86"/>
  <c r="M39" i="86"/>
  <c r="AH49" i="86"/>
  <c r="AH78" i="86"/>
  <c r="AK86" i="86"/>
  <c r="AB23" i="87"/>
  <c r="Y53" i="87"/>
  <c r="Y14" i="82"/>
  <c r="AF19" i="82"/>
  <c r="AH19" i="82" s="1"/>
  <c r="J21" i="82"/>
  <c r="V21" i="82"/>
  <c r="AH31" i="82"/>
  <c r="AB41" i="82"/>
  <c r="AK17" i="83"/>
  <c r="AH24" i="83"/>
  <c r="AK27" i="83"/>
  <c r="AI44" i="83"/>
  <c r="AK74" i="83"/>
  <c r="AK91" i="83"/>
  <c r="AK98" i="84"/>
  <c r="AH108" i="84"/>
  <c r="AG32" i="85"/>
  <c r="S20" i="86"/>
  <c r="AH57" i="86"/>
  <c r="AK90" i="86"/>
  <c r="G36" i="88"/>
  <c r="AH12" i="82"/>
  <c r="AB14" i="82"/>
  <c r="AK16" i="82"/>
  <c r="AH40" i="82"/>
  <c r="AG41" i="82"/>
  <c r="AH43" i="83"/>
  <c r="D70" i="83"/>
  <c r="AH108" i="83"/>
  <c r="AG20" i="84"/>
  <c r="AF41" i="85"/>
  <c r="Y54" i="86"/>
  <c r="AK73" i="86"/>
  <c r="AH30" i="87"/>
  <c r="D53" i="87"/>
  <c r="Y80" i="84"/>
  <c r="AG44" i="84"/>
  <c r="AF89" i="84"/>
  <c r="AH89" i="84" s="1"/>
  <c r="AF19" i="86"/>
  <c r="AH19" i="86" s="1"/>
  <c r="AF44" i="85"/>
  <c r="J14" i="82"/>
  <c r="D21" i="82"/>
  <c r="M23" i="82"/>
  <c r="AF41" i="82"/>
  <c r="AH28" i="83"/>
  <c r="AJ32" i="83"/>
  <c r="Y32" i="83"/>
  <c r="AH34" i="83"/>
  <c r="S56" i="83"/>
  <c r="AK64" i="83"/>
  <c r="Y70" i="83"/>
  <c r="AH77" i="83"/>
  <c r="S82" i="83"/>
  <c r="AH88" i="83"/>
  <c r="J94" i="83"/>
  <c r="Y20" i="84"/>
  <c r="Y56" i="84"/>
  <c r="AK105" i="84"/>
  <c r="P39" i="86"/>
  <c r="AB39" i="86"/>
  <c r="AH68" i="86"/>
  <c r="S11" i="88"/>
  <c r="AI14" i="82"/>
  <c r="AH17" i="82"/>
  <c r="D30" i="82"/>
  <c r="AK29" i="83"/>
  <c r="AK34" i="83"/>
  <c r="D56" i="83"/>
  <c r="AF56" i="83"/>
  <c r="D82" i="83"/>
  <c r="S106" i="83"/>
  <c r="D56" i="84"/>
  <c r="D39" i="85"/>
  <c r="AH18" i="86"/>
  <c r="D54" i="86"/>
  <c r="P54" i="86"/>
  <c r="P23" i="87"/>
  <c r="G11" i="88"/>
  <c r="AI82" i="83"/>
  <c r="AJ106" i="83"/>
  <c r="AK32" i="84"/>
  <c r="AG56" i="84"/>
  <c r="AJ56" i="84"/>
  <c r="AG38" i="85"/>
  <c r="AK21" i="86"/>
  <c r="S23" i="87"/>
  <c r="AJ14" i="82"/>
  <c r="AK11" i="82"/>
  <c r="D14" i="82"/>
  <c r="M14" i="82"/>
  <c r="AB19" i="82"/>
  <c r="AH33" i="82"/>
  <c r="AK12" i="83"/>
  <c r="AK28" i="83"/>
  <c r="AB44" i="83"/>
  <c r="AB70" i="83"/>
  <c r="AH74" i="83"/>
  <c r="M94" i="83"/>
  <c r="AF106" i="83"/>
  <c r="D17" i="84"/>
  <c r="AK48" i="84"/>
  <c r="AF50" i="84"/>
  <c r="AH50" i="84" s="1"/>
  <c r="S56" i="84"/>
  <c r="AH98" i="84"/>
  <c r="AK31" i="85"/>
  <c r="AG42" i="85"/>
  <c r="AH79" i="86"/>
  <c r="V80" i="86"/>
  <c r="AH33" i="87"/>
  <c r="AI36" i="84"/>
  <c r="AK36" i="84" s="1"/>
  <c r="AK90" i="84"/>
  <c r="AI116" i="84"/>
  <c r="AE20" i="86"/>
  <c r="AK33" i="86"/>
  <c r="AH36" i="86"/>
  <c r="AK42" i="86"/>
  <c r="AH51" i="86"/>
  <c r="AH85" i="86"/>
  <c r="AH14" i="87"/>
  <c r="AH20" i="87"/>
  <c r="AH26" i="87"/>
  <c r="AH47" i="87"/>
  <c r="P57" i="87"/>
  <c r="X41" i="88"/>
  <c r="S58" i="87"/>
  <c r="P37" i="88"/>
  <c r="J54" i="87"/>
  <c r="J58" i="87"/>
  <c r="M36" i="88"/>
  <c r="G37" i="88"/>
  <c r="AF44" i="84"/>
  <c r="AH55" i="84"/>
  <c r="AB104" i="84"/>
  <c r="AK108" i="84"/>
  <c r="AK131" i="84"/>
  <c r="AK23" i="86"/>
  <c r="AJ50" i="86"/>
  <c r="AK68" i="86"/>
  <c r="AK89" i="86"/>
  <c r="AH27" i="87"/>
  <c r="D12" i="84"/>
  <c r="D14" i="84"/>
  <c r="AH18" i="84"/>
  <c r="AH100" i="84"/>
  <c r="AH101" i="84"/>
  <c r="AK106" i="84"/>
  <c r="AJ116" i="84"/>
  <c r="AG130" i="84"/>
  <c r="AG40" i="85"/>
  <c r="AK34" i="86"/>
  <c r="AK49" i="86"/>
  <c r="AH53" i="86"/>
  <c r="AH82" i="86"/>
  <c r="AH13" i="87"/>
  <c r="AB46" i="87"/>
  <c r="AF15" i="86"/>
  <c r="AH15" i="86" s="1"/>
  <c r="AH25" i="87"/>
  <c r="P46" i="87"/>
  <c r="AH50" i="87"/>
  <c r="S53" i="87"/>
  <c r="M54" i="87"/>
  <c r="Y55" i="87"/>
  <c r="V26" i="88"/>
  <c r="AH15" i="84"/>
  <c r="AB20" i="84"/>
  <c r="AF36" i="84"/>
  <c r="AH36" i="84" s="1"/>
  <c r="AK55" i="84"/>
  <c r="AH90" i="84"/>
  <c r="AH99" i="84"/>
  <c r="V130" i="84"/>
  <c r="J32" i="85"/>
  <c r="P20" i="86"/>
  <c r="D39" i="86"/>
  <c r="AH40" i="86"/>
  <c r="AK41" i="86"/>
  <c r="AK53" i="86"/>
  <c r="AK61" i="86"/>
  <c r="AK82" i="86"/>
  <c r="AH86" i="86"/>
  <c r="AK91" i="86"/>
  <c r="AH12" i="87"/>
  <c r="AH49" i="87"/>
  <c r="X38" i="88"/>
  <c r="V57" i="87"/>
  <c r="AB21" i="82"/>
  <c r="AE21" i="82"/>
  <c r="AG94" i="83"/>
  <c r="M11" i="87"/>
  <c r="AE14" i="82"/>
  <c r="G21" i="82"/>
  <c r="P21" i="82"/>
  <c r="V30" i="82"/>
  <c r="AG45" i="85"/>
  <c r="AH57" i="83"/>
  <c r="AF82" i="83"/>
  <c r="AB106" i="83"/>
  <c r="AJ32" i="84"/>
  <c r="AK52" i="84"/>
  <c r="AB130" i="84"/>
  <c r="AJ20" i="83"/>
  <c r="AB11" i="87"/>
  <c r="G35" i="88"/>
  <c r="G14" i="82"/>
  <c r="AF14" i="82"/>
  <c r="AI19" i="82"/>
  <c r="AK19" i="82" s="1"/>
  <c r="Y21" i="82"/>
  <c r="AG21" i="82"/>
  <c r="AE30" i="82"/>
  <c r="D41" i="82"/>
  <c r="AK22" i="83"/>
  <c r="AG82" i="83"/>
  <c r="AK88" i="83"/>
  <c r="D106" i="83"/>
  <c r="AJ92" i="84"/>
  <c r="AG92" i="84"/>
  <c r="AH126" i="84"/>
  <c r="AI45" i="85"/>
  <c r="AG14" i="82"/>
  <c r="AK14" i="83"/>
  <c r="AG44" i="83"/>
  <c r="AK72" i="83"/>
  <c r="AJ82" i="83"/>
  <c r="AH86" i="83"/>
  <c r="AF94" i="83"/>
  <c r="AF22" i="84"/>
  <c r="AH22" i="84" s="1"/>
  <c r="D22" i="84"/>
  <c r="S104" i="84"/>
  <c r="AI104" i="84"/>
  <c r="AH125" i="84"/>
  <c r="AG43" i="85"/>
  <c r="AG30" i="82"/>
  <c r="AG56" i="83"/>
  <c r="AK84" i="83"/>
  <c r="AH100" i="83"/>
  <c r="AJ142" i="84"/>
  <c r="AK142" i="84" s="1"/>
  <c r="AG142" i="84"/>
  <c r="AH142" i="84" s="1"/>
  <c r="Y20" i="83"/>
  <c r="AI21" i="82"/>
  <c r="AI20" i="83"/>
  <c r="AF21" i="83"/>
  <c r="AH21" i="83" s="1"/>
  <c r="AB21" i="83"/>
  <c r="AF32" i="83"/>
  <c r="AJ94" i="83"/>
  <c r="AG106" i="83"/>
  <c r="AJ21" i="82"/>
  <c r="AE19" i="82"/>
  <c r="S30" i="82"/>
  <c r="S20" i="83"/>
  <c r="AF20" i="83"/>
  <c r="AH27" i="83"/>
  <c r="AG32" i="83"/>
  <c r="AI32" i="83"/>
  <c r="AK53" i="83"/>
  <c r="AJ56" i="83"/>
  <c r="Y82" i="83"/>
  <c r="AK96" i="83"/>
  <c r="AH40" i="84"/>
  <c r="D20" i="83"/>
  <c r="AG20" i="83"/>
  <c r="AF70" i="83"/>
  <c r="AF44" i="83"/>
  <c r="AI56" i="84"/>
  <c r="Y68" i="84"/>
  <c r="AF80" i="84"/>
  <c r="AK84" i="84"/>
  <c r="AF86" i="84"/>
  <c r="AH86" i="84" s="1"/>
  <c r="S92" i="84"/>
  <c r="AF104" i="84"/>
  <c r="AH127" i="84"/>
  <c r="P20" i="85"/>
  <c r="AI20" i="86"/>
  <c r="M20" i="86"/>
  <c r="AE39" i="86"/>
  <c r="AF14" i="84"/>
  <c r="AH14" i="84" s="1"/>
  <c r="AF21" i="84"/>
  <c r="AH21" i="84" s="1"/>
  <c r="AG80" i="84"/>
  <c r="AI93" i="84"/>
  <c r="AK93" i="84" s="1"/>
  <c r="AK100" i="84"/>
  <c r="AG116" i="84"/>
  <c r="AK125" i="84"/>
  <c r="AI17" i="84"/>
  <c r="AK17" i="84" s="1"/>
  <c r="AJ44" i="84"/>
  <c r="AI50" i="84"/>
  <c r="AK50" i="84" s="1"/>
  <c r="AI89" i="84"/>
  <c r="AK89" i="84" s="1"/>
  <c r="AK96" i="84"/>
  <c r="AK124" i="84"/>
  <c r="AK127" i="84"/>
  <c r="AF130" i="84"/>
  <c r="AG20" i="85"/>
  <c r="AK22" i="85"/>
  <c r="AF68" i="84"/>
  <c r="AI80" i="84"/>
  <c r="AJ104" i="84"/>
  <c r="D40" i="85"/>
  <c r="AI14" i="84"/>
  <c r="AK14" i="84" s="1"/>
  <c r="AI21" i="84"/>
  <c r="AK21" i="84" s="1"/>
  <c r="AG68" i="84"/>
  <c r="M92" i="84"/>
  <c r="AB94" i="84"/>
  <c r="AJ130" i="84"/>
  <c r="AJ20" i="85"/>
  <c r="AJ32" i="85"/>
  <c r="AK32" i="85" s="1"/>
  <c r="D32" i="85"/>
  <c r="D47" i="85"/>
  <c r="AJ54" i="86"/>
  <c r="AG54" i="86"/>
  <c r="AI92" i="84"/>
  <c r="AG41" i="85"/>
  <c r="S20" i="84"/>
  <c r="AG32" i="84"/>
  <c r="AB50" i="84"/>
  <c r="AB89" i="84"/>
  <c r="D92" i="84"/>
  <c r="AJ68" i="84"/>
  <c r="AG39" i="85"/>
  <c r="AG16" i="86"/>
  <c r="AF20" i="86"/>
  <c r="AG20" i="86"/>
  <c r="AF59" i="86"/>
  <c r="AH59" i="86" s="1"/>
  <c r="AI59" i="86"/>
  <c r="AK59" i="86" s="1"/>
  <c r="M59" i="86"/>
  <c r="AJ20" i="86"/>
  <c r="AF42" i="85"/>
  <c r="AG48" i="85"/>
  <c r="AB19" i="86"/>
  <c r="AI19" i="86"/>
  <c r="M87" i="86"/>
  <c r="AI87" i="86"/>
  <c r="AI15" i="86"/>
  <c r="D15" i="86"/>
  <c r="AB20" i="86"/>
  <c r="AI28" i="86"/>
  <c r="AK28" i="86" s="1"/>
  <c r="D28" i="86"/>
  <c r="J20" i="85"/>
  <c r="Y16" i="86"/>
  <c r="AF35" i="86"/>
  <c r="AI38" i="86"/>
  <c r="AF38" i="86"/>
  <c r="AH38" i="86" s="1"/>
  <c r="AB38" i="86"/>
  <c r="AG47" i="85"/>
  <c r="P16" i="86"/>
  <c r="AK22" i="86"/>
  <c r="M35" i="86"/>
  <c r="V20" i="86"/>
  <c r="AH34" i="86"/>
  <c r="AK37" i="86"/>
  <c r="P50" i="86"/>
  <c r="S54" i="86"/>
  <c r="AB80" i="86"/>
  <c r="AK85" i="86"/>
  <c r="D87" i="86"/>
  <c r="Y87" i="86"/>
  <c r="AF87" i="86"/>
  <c r="AJ16" i="86"/>
  <c r="AF39" i="86"/>
  <c r="P87" i="86"/>
  <c r="S80" i="86"/>
  <c r="AJ87" i="86"/>
  <c r="AH89" i="86"/>
  <c r="S11" i="87"/>
  <c r="AF56" i="86"/>
  <c r="AH56" i="86" s="1"/>
  <c r="AI56" i="86"/>
  <c r="AK56" i="86" s="1"/>
  <c r="AF80" i="86"/>
  <c r="Y39" i="86"/>
  <c r="AF50" i="86"/>
  <c r="AB56" i="86"/>
  <c r="AE80" i="86"/>
  <c r="AB87" i="86"/>
  <c r="S39" i="86"/>
  <c r="D80" i="86"/>
  <c r="M80" i="86"/>
  <c r="AG35" i="86"/>
  <c r="Y35" i="86"/>
  <c r="AJ35" i="86"/>
  <c r="J39" i="86"/>
  <c r="AI50" i="86"/>
  <c r="P80" i="86"/>
  <c r="Y80" i="86"/>
  <c r="AI80" i="86"/>
  <c r="AG50" i="86"/>
  <c r="AI55" i="86"/>
  <c r="AJ80" i="86"/>
  <c r="V11" i="87"/>
  <c r="S56" i="87"/>
  <c r="X42" i="88"/>
  <c r="J11" i="87"/>
  <c r="Y11" i="87"/>
  <c r="V11" i="88"/>
  <c r="D56" i="87"/>
  <c r="AI39" i="86"/>
  <c r="AG87" i="86"/>
  <c r="M11" i="88"/>
  <c r="AJ39" i="86"/>
  <c r="AG80" i="86"/>
  <c r="D11" i="87"/>
  <c r="P11" i="87"/>
  <c r="AH48" i="87"/>
  <c r="J31" i="88"/>
  <c r="G54" i="87"/>
  <c r="G58" i="87"/>
  <c r="D36" i="88"/>
  <c r="D46" i="87"/>
  <c r="D55" i="87"/>
  <c r="S13" i="88"/>
  <c r="D39" i="88"/>
  <c r="J40" i="88"/>
  <c r="D11" i="88"/>
  <c r="V13" i="88"/>
  <c r="G46" i="85" l="1"/>
  <c r="M46" i="85"/>
  <c r="J46" i="85"/>
  <c r="AI38" i="85"/>
  <c r="AK38" i="85" s="1"/>
  <c r="Y46" i="85"/>
  <c r="S46" i="85"/>
  <c r="Z46" i="85"/>
  <c r="AB46" i="85" s="1"/>
  <c r="Y45" i="86"/>
  <c r="B46" i="85"/>
  <c r="AH41" i="85"/>
  <c r="G52" i="87"/>
  <c r="AH35" i="87"/>
  <c r="AH116" i="84"/>
  <c r="V27" i="86"/>
  <c r="W40" i="88"/>
  <c r="Y40" i="88" s="1"/>
  <c r="AJ45" i="85"/>
  <c r="D43" i="85"/>
  <c r="AI43" i="85"/>
  <c r="AK43" i="85" s="1"/>
  <c r="AI40" i="85"/>
  <c r="AK40" i="85" s="1"/>
  <c r="Y93" i="86"/>
  <c r="AJ46" i="85"/>
  <c r="AI48" i="85"/>
  <c r="AK48" i="85" s="1"/>
  <c r="AI47" i="85"/>
  <c r="AK47" i="85" s="1"/>
  <c r="AF40" i="85"/>
  <c r="AH40" i="85" s="1"/>
  <c r="AF20" i="84"/>
  <c r="AH20" i="84" s="1"/>
  <c r="AF30" i="82"/>
  <c r="AH30" i="82" s="1"/>
  <c r="AG52" i="87"/>
  <c r="AF59" i="87"/>
  <c r="W42" i="88" s="1"/>
  <c r="Y42" i="88" s="1"/>
  <c r="D45" i="86"/>
  <c r="D35" i="88"/>
  <c r="U35" i="88"/>
  <c r="V35" i="88" s="1"/>
  <c r="AF52" i="87"/>
  <c r="X37" i="88"/>
  <c r="AH56" i="87"/>
  <c r="D52" i="87"/>
  <c r="AH23" i="87"/>
  <c r="AH44" i="85"/>
  <c r="J35" i="88"/>
  <c r="AH32" i="85"/>
  <c r="AH54" i="87"/>
  <c r="D20" i="84"/>
  <c r="X36" i="88"/>
  <c r="J42" i="82"/>
  <c r="S35" i="82"/>
  <c r="B14" i="58"/>
  <c r="AK55" i="86"/>
  <c r="B25" i="58"/>
  <c r="AK38" i="86"/>
  <c r="B21" i="58"/>
  <c r="AH39" i="85"/>
  <c r="B26" i="58"/>
  <c r="B30" i="58"/>
  <c r="AK15" i="86"/>
  <c r="B12" i="58"/>
  <c r="AK19" i="86"/>
  <c r="B13" i="58"/>
  <c r="Y27" i="86"/>
  <c r="P35" i="82"/>
  <c r="AF43" i="85"/>
  <c r="AH43" i="85" s="1"/>
  <c r="AH57" i="87"/>
  <c r="J29" i="86"/>
  <c r="AB52" i="87"/>
  <c r="AH53" i="87"/>
  <c r="J27" i="86"/>
  <c r="AK116" i="84"/>
  <c r="J35" i="82"/>
  <c r="AK70" i="83"/>
  <c r="AK39" i="85"/>
  <c r="D93" i="86"/>
  <c r="AK94" i="83"/>
  <c r="AK44" i="83"/>
  <c r="D38" i="85"/>
  <c r="AK14" i="82"/>
  <c r="AH41" i="82"/>
  <c r="AH38" i="85"/>
  <c r="V52" i="87"/>
  <c r="AF54" i="86"/>
  <c r="AH54" i="86" s="1"/>
  <c r="V35" i="82"/>
  <c r="AF47" i="85"/>
  <c r="AH47" i="85" s="1"/>
  <c r="X39" i="88"/>
  <c r="AI16" i="86"/>
  <c r="AK16" i="86" s="1"/>
  <c r="AK42" i="85"/>
  <c r="AH42" i="85"/>
  <c r="AF56" i="84"/>
  <c r="AH56" i="84" s="1"/>
  <c r="AH44" i="84"/>
  <c r="AI54" i="86"/>
  <c r="AK106" i="83"/>
  <c r="M30" i="82"/>
  <c r="AI35" i="86"/>
  <c r="AB16" i="86"/>
  <c r="S35" i="88"/>
  <c r="AG60" i="86"/>
  <c r="AF27" i="86"/>
  <c r="J93" i="86"/>
  <c r="AI44" i="84"/>
  <c r="Y60" i="86"/>
  <c r="AF16" i="86"/>
  <c r="AH16" i="86" s="1"/>
  <c r="AF45" i="85"/>
  <c r="AH45" i="85" s="1"/>
  <c r="D48" i="81"/>
  <c r="AK56" i="84"/>
  <c r="AK21" i="82"/>
  <c r="P35" i="88"/>
  <c r="D60" i="86"/>
  <c r="AJ93" i="86"/>
  <c r="P45" i="86"/>
  <c r="AK32" i="83"/>
  <c r="AH14" i="82"/>
  <c r="W37" i="88"/>
  <c r="V37" i="88"/>
  <c r="AB54" i="86"/>
  <c r="S60" i="86"/>
  <c r="S93" i="86"/>
  <c r="AH87" i="86"/>
  <c r="V45" i="86"/>
  <c r="AK87" i="86"/>
  <c r="AK44" i="85"/>
  <c r="AK80" i="84"/>
  <c r="AH82" i="83"/>
  <c r="AH11" i="87"/>
  <c r="M93" i="86"/>
  <c r="AG45" i="86"/>
  <c r="AJ45" i="86"/>
  <c r="AH50" i="86"/>
  <c r="AB60" i="86"/>
  <c r="P27" i="86"/>
  <c r="AB35" i="86"/>
  <c r="P93" i="86"/>
  <c r="Y29" i="86"/>
  <c r="AB92" i="84"/>
  <c r="AF92" i="84"/>
  <c r="AH68" i="84"/>
  <c r="AB56" i="84"/>
  <c r="AH44" i="83"/>
  <c r="AH32" i="83"/>
  <c r="V29" i="86"/>
  <c r="D48" i="85"/>
  <c r="AF48" i="85"/>
  <c r="AH48" i="85" s="1"/>
  <c r="M52" i="87"/>
  <c r="P42" i="82"/>
  <c r="AK50" i="86"/>
  <c r="AH80" i="86"/>
  <c r="M45" i="86"/>
  <c r="AH20" i="86"/>
  <c r="D27" i="86"/>
  <c r="AK130" i="84"/>
  <c r="AH20" i="83"/>
  <c r="Y35" i="82"/>
  <c r="AE35" i="82"/>
  <c r="AG35" i="82"/>
  <c r="D35" i="82"/>
  <c r="M35" i="88"/>
  <c r="AK39" i="86"/>
  <c r="J52" i="87"/>
  <c r="AH35" i="86"/>
  <c r="M54" i="86"/>
  <c r="S27" i="86"/>
  <c r="AK20" i="85"/>
  <c r="AH130" i="84"/>
  <c r="AH80" i="84"/>
  <c r="AH70" i="83"/>
  <c r="AK56" i="83"/>
  <c r="AB35" i="82"/>
  <c r="P52" i="87"/>
  <c r="AH39" i="86"/>
  <c r="AK20" i="84"/>
  <c r="AK20" i="86"/>
  <c r="AG46" i="85"/>
  <c r="M21" i="82"/>
  <c r="AH94" i="83"/>
  <c r="J44" i="82"/>
  <c r="W38" i="88"/>
  <c r="Y38" i="88" s="1"/>
  <c r="AH55" i="87"/>
  <c r="W36" i="88"/>
  <c r="AG93" i="86"/>
  <c r="AJ27" i="86"/>
  <c r="AG27" i="86"/>
  <c r="AB93" i="86"/>
  <c r="S52" i="87"/>
  <c r="J45" i="86"/>
  <c r="S45" i="86"/>
  <c r="AK68" i="84"/>
  <c r="M27" i="86"/>
  <c r="AH104" i="84"/>
  <c r="AK104" i="84"/>
  <c r="AF21" i="82"/>
  <c r="AH106" i="83"/>
  <c r="Y52" i="87"/>
  <c r="AH46" i="87"/>
  <c r="W41" i="88"/>
  <c r="Y41" i="88" s="1"/>
  <c r="AH58" i="87"/>
  <c r="W39" i="88"/>
  <c r="V39" i="88"/>
  <c r="AK80" i="86"/>
  <c r="AJ60" i="86"/>
  <c r="V93" i="86"/>
  <c r="AE93" i="86"/>
  <c r="P60" i="86"/>
  <c r="AK92" i="84"/>
  <c r="AH20" i="85"/>
  <c r="AH56" i="83"/>
  <c r="AK20" i="83"/>
  <c r="G35" i="82"/>
  <c r="AK82" i="83"/>
  <c r="H23" i="9"/>
  <c r="Y62" i="86" l="1"/>
  <c r="C23" i="9"/>
  <c r="G23" i="9"/>
  <c r="G59" i="9" s="1"/>
  <c r="D47" i="81"/>
  <c r="AE64" i="86"/>
  <c r="AK35" i="86"/>
  <c r="AH59" i="87"/>
  <c r="S42" i="82"/>
  <c r="D46" i="85"/>
  <c r="V42" i="82"/>
  <c r="AI46" i="85"/>
  <c r="Y37" i="88"/>
  <c r="Y39" i="88"/>
  <c r="Y36" i="88"/>
  <c r="W35" i="88"/>
  <c r="AI45" i="86"/>
  <c r="F21" i="58" s="1"/>
  <c r="G25" i="58"/>
  <c r="G28" i="58"/>
  <c r="G30" i="58"/>
  <c r="G26" i="58"/>
  <c r="G27" i="58"/>
  <c r="G29" i="58"/>
  <c r="G17" i="58"/>
  <c r="G22" i="58"/>
  <c r="G21" i="58"/>
  <c r="G19" i="58"/>
  <c r="G20" i="58"/>
  <c r="G18" i="58"/>
  <c r="AB27" i="86"/>
  <c r="AI60" i="86"/>
  <c r="AK44" i="84"/>
  <c r="AB29" i="86"/>
  <c r="AK54" i="86"/>
  <c r="AI27" i="86"/>
  <c r="AK27" i="86" s="1"/>
  <c r="AB45" i="86"/>
  <c r="AF60" i="86"/>
  <c r="G42" i="82"/>
  <c r="X35" i="88"/>
  <c r="M35" i="82"/>
  <c r="AF42" i="82"/>
  <c r="AH92" i="84"/>
  <c r="AF45" i="86"/>
  <c r="S44" i="82"/>
  <c r="J62" i="86"/>
  <c r="AG29" i="86"/>
  <c r="AJ29" i="86"/>
  <c r="AG42" i="82"/>
  <c r="P29" i="86"/>
  <c r="AH93" i="86"/>
  <c r="AB42" i="82"/>
  <c r="Y42" i="82"/>
  <c r="AF46" i="85"/>
  <c r="J46" i="82"/>
  <c r="D42" i="82"/>
  <c r="AE27" i="86"/>
  <c r="AG62" i="86"/>
  <c r="AJ62" i="86"/>
  <c r="V62" i="86"/>
  <c r="P62" i="86"/>
  <c r="AH27" i="86"/>
  <c r="P44" i="82"/>
  <c r="AE45" i="86"/>
  <c r="AH52" i="87"/>
  <c r="S29" i="86"/>
  <c r="AF35" i="82"/>
  <c r="D29" i="86"/>
  <c r="D62" i="86"/>
  <c r="AH21" i="82"/>
  <c r="M29" i="86"/>
  <c r="S62" i="86"/>
  <c r="M60" i="86"/>
  <c r="AE42" i="82"/>
  <c r="V44" i="82"/>
  <c r="AK93" i="86"/>
  <c r="P64" i="86" l="1"/>
  <c r="M66" i="8"/>
  <c r="B23" i="9"/>
  <c r="M22" i="8" s="1"/>
  <c r="AK45" i="86"/>
  <c r="V64" i="86"/>
  <c r="M64" i="86"/>
  <c r="F22" i="58"/>
  <c r="J64" i="86"/>
  <c r="F20" i="58"/>
  <c r="F18" i="58"/>
  <c r="F17" i="58"/>
  <c r="F19" i="58"/>
  <c r="Y35" i="88"/>
  <c r="G13" i="58"/>
  <c r="G9" i="58"/>
  <c r="G14" i="58"/>
  <c r="G11" i="58"/>
  <c r="G12" i="58"/>
  <c r="G10" i="58"/>
  <c r="F27" i="58"/>
  <c r="F28" i="58"/>
  <c r="F29" i="58"/>
  <c r="F30" i="58"/>
  <c r="F25" i="58"/>
  <c r="F26" i="58"/>
  <c r="AF29" i="86"/>
  <c r="AH29" i="86" s="1"/>
  <c r="AI62" i="86"/>
  <c r="AK62" i="86" s="1"/>
  <c r="M62" i="86"/>
  <c r="AH42" i="82"/>
  <c r="AK60" i="86"/>
  <c r="AF62" i="86"/>
  <c r="AH62" i="86" s="1"/>
  <c r="AI29" i="86"/>
  <c r="AK29" i="86" s="1"/>
  <c r="P46" i="82"/>
  <c r="G44" i="82"/>
  <c r="AH35" i="82"/>
  <c r="S64" i="86"/>
  <c r="S46" i="82"/>
  <c r="AH60" i="86"/>
  <c r="AH46" i="85"/>
  <c r="Y44" i="82"/>
  <c r="AJ64" i="86"/>
  <c r="D64" i="86"/>
  <c r="AG64" i="86"/>
  <c r="AH45" i="86"/>
  <c r="D44" i="82"/>
  <c r="Y64" i="86"/>
  <c r="AE44" i="82"/>
  <c r="AE62" i="86"/>
  <c r="AB62" i="86"/>
  <c r="AG44" i="82"/>
  <c r="AE29" i="86"/>
  <c r="AB44" i="82"/>
  <c r="AB64" i="86"/>
  <c r="V46" i="82"/>
  <c r="AK46" i="85"/>
  <c r="M42" i="82"/>
  <c r="B59" i="9" l="1"/>
  <c r="D23" i="9"/>
  <c r="F11" i="58"/>
  <c r="F9" i="58"/>
  <c r="F10" i="58"/>
  <c r="F12" i="58"/>
  <c r="F14" i="58"/>
  <c r="F13" i="58"/>
  <c r="M44" i="82"/>
  <c r="AF44" i="82"/>
  <c r="AH44" i="82" s="1"/>
  <c r="AG46" i="82"/>
  <c r="AK64" i="86"/>
  <c r="AB46" i="82"/>
  <c r="D46" i="82"/>
  <c r="AE46" i="82"/>
  <c r="Y46" i="82"/>
  <c r="G46" i="82"/>
  <c r="AH64" i="86"/>
  <c r="G16" i="10"/>
  <c r="G26" i="10"/>
  <c r="M46" i="82" l="1"/>
  <c r="AF46" i="82"/>
  <c r="D27" i="58"/>
  <c r="AH46" i="82" l="1"/>
  <c r="B33" i="58"/>
  <c r="D29" i="58"/>
  <c r="D17" i="58"/>
  <c r="D11" i="58"/>
  <c r="D18" i="58"/>
  <c r="C38" i="58"/>
  <c r="D19" i="58"/>
  <c r="D22" i="58"/>
  <c r="D26" i="58"/>
  <c r="C37" i="58"/>
  <c r="D28" i="58"/>
  <c r="C34" i="58"/>
  <c r="C35" i="58"/>
  <c r="C24" i="58"/>
  <c r="C36" i="58"/>
  <c r="D20" i="58"/>
  <c r="C16" i="58"/>
  <c r="D30" i="58"/>
  <c r="C33" i="58"/>
  <c r="C8" i="58"/>
  <c r="D9" i="58"/>
  <c r="D14" i="58"/>
  <c r="B35" i="58"/>
  <c r="D10" i="58"/>
  <c r="B34" i="58"/>
  <c r="G16" i="58" l="1"/>
  <c r="G24" i="58"/>
  <c r="D34" i="58"/>
  <c r="C32" i="58"/>
  <c r="G36" i="58" s="1"/>
  <c r="B38" i="58"/>
  <c r="D38" i="58" s="1"/>
  <c r="D35" i="58"/>
  <c r="D13" i="58"/>
  <c r="B37" i="58"/>
  <c r="D33" i="58"/>
  <c r="D25" i="58"/>
  <c r="B24" i="58"/>
  <c r="D24" i="58" s="1"/>
  <c r="B8" i="58"/>
  <c r="D8" i="58" s="1"/>
  <c r="D12" i="58"/>
  <c r="B36" i="58"/>
  <c r="D21" i="58"/>
  <c r="B16" i="58"/>
  <c r="D16" i="58" s="1"/>
  <c r="H22" i="58" l="1"/>
  <c r="H18" i="58"/>
  <c r="H20" i="58"/>
  <c r="H21" i="58"/>
  <c r="G8" i="58"/>
  <c r="H28" i="58"/>
  <c r="H27" i="58"/>
  <c r="H29" i="58"/>
  <c r="H26" i="58"/>
  <c r="H30" i="58"/>
  <c r="G35" i="58"/>
  <c r="B32" i="58"/>
  <c r="F34" i="58" s="1"/>
  <c r="G33" i="58"/>
  <c r="G37" i="58"/>
  <c r="G38" i="58"/>
  <c r="H19" i="58"/>
  <c r="G34" i="58"/>
  <c r="D36" i="58"/>
  <c r="D37" i="58"/>
  <c r="G32" i="58" l="1"/>
  <c r="F33" i="58"/>
  <c r="H33" i="58" s="1"/>
  <c r="H10" i="58"/>
  <c r="H14" i="58"/>
  <c r="F37" i="58"/>
  <c r="H37" i="58" s="1"/>
  <c r="F38" i="58"/>
  <c r="H38" i="58" s="1"/>
  <c r="H34" i="58"/>
  <c r="F36" i="58"/>
  <c r="H36" i="58" s="1"/>
  <c r="H17" i="58"/>
  <c r="F16" i="58"/>
  <c r="H16" i="58" s="1"/>
  <c r="H12" i="58"/>
  <c r="H13" i="58"/>
  <c r="H25" i="58"/>
  <c r="F24" i="58"/>
  <c r="H24" i="58" s="1"/>
  <c r="F35" i="58"/>
  <c r="H35" i="58" s="1"/>
  <c r="D32" i="58"/>
  <c r="H11" i="58"/>
  <c r="H9" i="58"/>
  <c r="F8" i="58"/>
  <c r="H8" i="58" s="1"/>
  <c r="F32" i="58" l="1"/>
  <c r="H32" i="58" s="1"/>
  <c r="K36" i="79" l="1"/>
  <c r="J9" i="79"/>
  <c r="K8" i="79"/>
  <c r="D7" i="79" l="1"/>
  <c r="D37" i="79"/>
  <c r="K122" i="79"/>
  <c r="J23" i="79"/>
  <c r="K114" i="79"/>
  <c r="D48" i="79"/>
  <c r="D10" i="79"/>
  <c r="J114" i="79"/>
  <c r="J29" i="79"/>
  <c r="J97" i="79"/>
  <c r="J28" i="79"/>
  <c r="J37" i="79"/>
  <c r="K76" i="79"/>
  <c r="J122" i="79"/>
  <c r="D122" i="79"/>
  <c r="D9" i="79"/>
  <c r="K7" i="79"/>
  <c r="J22" i="79"/>
  <c r="J30" i="79"/>
  <c r="K10" i="79"/>
  <c r="D36" i="79"/>
  <c r="J36" i="79"/>
  <c r="L36" i="79" s="1"/>
  <c r="D8" i="79"/>
  <c r="J8" i="79"/>
  <c r="L8" i="79" s="1"/>
  <c r="K22" i="79"/>
  <c r="K23" i="79"/>
  <c r="K28" i="79"/>
  <c r="K29" i="79"/>
  <c r="K30" i="79"/>
  <c r="J10" i="79"/>
  <c r="K9" i="79"/>
  <c r="L9" i="79" s="1"/>
  <c r="J7" i="79"/>
  <c r="D22" i="79"/>
  <c r="D23" i="79"/>
  <c r="D28" i="79"/>
  <c r="D29" i="79"/>
  <c r="D30" i="79"/>
  <c r="K37" i="79"/>
  <c r="D76" i="79"/>
  <c r="K97" i="79"/>
  <c r="J76" i="79"/>
  <c r="D97" i="79"/>
  <c r="D114" i="79"/>
  <c r="L37" i="79" l="1"/>
  <c r="L23" i="79"/>
  <c r="L122" i="79"/>
  <c r="L76" i="79"/>
  <c r="L97" i="79"/>
  <c r="L114" i="79"/>
  <c r="L10" i="79"/>
  <c r="L22" i="79"/>
  <c r="L29" i="79"/>
  <c r="L28" i="79"/>
  <c r="L7" i="79"/>
  <c r="L30" i="79"/>
  <c r="H31" i="9"/>
  <c r="H67" i="9" s="1"/>
  <c r="K119" i="79"/>
  <c r="K111" i="79"/>
  <c r="G31" i="9"/>
  <c r="G67" i="9" s="1"/>
  <c r="D66" i="79"/>
  <c r="C31" i="9"/>
  <c r="C67" i="9" s="1"/>
  <c r="D111" i="79"/>
  <c r="J111" i="79"/>
  <c r="D119" i="79"/>
  <c r="J119" i="79"/>
  <c r="L111" i="79" l="1"/>
  <c r="L119" i="79"/>
  <c r="D87" i="79"/>
  <c r="K87" i="79"/>
  <c r="D47" i="79"/>
  <c r="B31" i="9"/>
  <c r="B67" i="9" s="1"/>
  <c r="J87" i="79" l="1"/>
  <c r="L87" i="79" s="1"/>
  <c r="J66" i="79"/>
  <c r="K66" i="79"/>
  <c r="H21" i="9" l="1"/>
  <c r="L66" i="79"/>
  <c r="D54" i="78"/>
  <c r="D48" i="78"/>
  <c r="D57" i="78"/>
  <c r="D56" i="78" l="1"/>
  <c r="D53" i="78"/>
  <c r="G21" i="9"/>
  <c r="C21" i="9"/>
  <c r="N20" i="8" s="1"/>
  <c r="D47" i="78"/>
  <c r="H57" i="9"/>
  <c r="N64" i="8"/>
  <c r="M64" i="8" l="1"/>
  <c r="G57" i="9"/>
  <c r="C57" i="9"/>
  <c r="B21" i="9"/>
  <c r="M20" i="8" l="1"/>
  <c r="D21" i="9"/>
  <c r="B57" i="9"/>
  <c r="D57" i="9" s="1"/>
  <c r="H10" i="9" l="1"/>
  <c r="D48" i="77"/>
  <c r="G10" i="9"/>
  <c r="G46" i="9" s="1"/>
  <c r="M54" i="8" l="1"/>
  <c r="H46" i="9"/>
  <c r="N54" i="8"/>
  <c r="D49" i="77"/>
  <c r="C10" i="9"/>
  <c r="C46" i="9" l="1"/>
  <c r="N9" i="8"/>
  <c r="B10" i="9"/>
  <c r="M9" i="8" s="1"/>
  <c r="D47" i="77"/>
  <c r="D10" i="9" l="1"/>
  <c r="B46" i="9"/>
  <c r="D46" i="9" s="1"/>
  <c r="N121" i="8" l="1"/>
  <c r="M121" i="8"/>
  <c r="N99" i="8"/>
  <c r="M99" i="8"/>
  <c r="N84" i="8"/>
  <c r="M84" i="8"/>
  <c r="N71" i="8"/>
  <c r="M71" i="8"/>
  <c r="N52" i="8"/>
  <c r="M52" i="8"/>
  <c r="N34" i="8"/>
  <c r="M34" i="8"/>
  <c r="H65" i="9" l="1"/>
  <c r="M66" i="9"/>
  <c r="N66" i="9"/>
  <c r="O66" i="9"/>
  <c r="L66" i="9"/>
  <c r="K8" i="74" l="1"/>
  <c r="H30" i="9"/>
  <c r="G30" i="9"/>
  <c r="D8" i="74"/>
  <c r="J8" i="74"/>
  <c r="K7" i="74"/>
  <c r="J7" i="74"/>
  <c r="D48" i="74"/>
  <c r="D7" i="74"/>
  <c r="M72" i="8" l="1"/>
  <c r="G66" i="9"/>
  <c r="L8" i="74"/>
  <c r="C30" i="9"/>
  <c r="L7" i="74"/>
  <c r="D47" i="74"/>
  <c r="H66" i="9"/>
  <c r="N72" i="8"/>
  <c r="B30" i="9" l="1"/>
  <c r="M29" i="8" s="1"/>
  <c r="B66" i="9" l="1"/>
  <c r="B22" i="4" l="1"/>
  <c r="B29" i="4"/>
  <c r="C29" i="4"/>
  <c r="E22" i="4"/>
  <c r="F22" i="4"/>
  <c r="C22" i="4"/>
  <c r="E29" i="4"/>
  <c r="F29" i="4"/>
  <c r="G21" i="10" l="1"/>
  <c r="C21" i="10"/>
  <c r="E29" i="79"/>
  <c r="E22" i="79"/>
  <c r="G10" i="10"/>
  <c r="C10" i="10"/>
  <c r="F25" i="4" l="1"/>
  <c r="E25" i="4"/>
  <c r="F32" i="4"/>
  <c r="F26" i="4"/>
  <c r="E32" i="4"/>
  <c r="E31" i="4"/>
  <c r="E30" i="4"/>
  <c r="F31" i="4"/>
  <c r="F30" i="4"/>
  <c r="E33" i="4"/>
  <c r="F33" i="4"/>
  <c r="B32" i="4"/>
  <c r="C32" i="4"/>
  <c r="B24" i="4"/>
  <c r="B25" i="4"/>
  <c r="E24" i="4"/>
  <c r="F24" i="4"/>
  <c r="C25" i="4"/>
  <c r="C24" i="4"/>
  <c r="E23" i="4"/>
  <c r="B26" i="4"/>
  <c r="B30" i="4"/>
  <c r="C26" i="4"/>
  <c r="C30" i="4"/>
  <c r="F23" i="4"/>
  <c r="B31" i="4"/>
  <c r="B23" i="4"/>
  <c r="B27" i="4"/>
  <c r="C23" i="4"/>
  <c r="C27" i="4"/>
  <c r="E26" i="4"/>
  <c r="C31" i="4"/>
  <c r="K32" i="13"/>
  <c r="D23" i="23"/>
  <c r="H23" i="33"/>
  <c r="D23" i="29"/>
  <c r="D30" i="33"/>
  <c r="H24" i="23"/>
  <c r="D30" i="16"/>
  <c r="D25" i="13"/>
  <c r="D31" i="37"/>
  <c r="D32" i="29"/>
  <c r="H30" i="37"/>
  <c r="H30" i="33"/>
  <c r="H30" i="29"/>
  <c r="H30" i="23"/>
  <c r="H30" i="13"/>
  <c r="D23" i="37"/>
  <c r="D23" i="20"/>
  <c r="D30" i="37"/>
  <c r="D30" i="20"/>
  <c r="H23" i="37"/>
  <c r="H24" i="13"/>
  <c r="H31" i="37"/>
  <c r="H31" i="29"/>
  <c r="H31" i="23"/>
  <c r="H31" i="13"/>
  <c r="H25" i="13"/>
  <c r="D31" i="13"/>
  <c r="H32" i="37"/>
  <c r="H32" i="33"/>
  <c r="H32" i="29"/>
  <c r="H32" i="23"/>
  <c r="H33" i="37"/>
  <c r="H33" i="33"/>
  <c r="H33" i="29"/>
  <c r="H33" i="23"/>
  <c r="H23" i="13"/>
  <c r="D30" i="13"/>
  <c r="D31" i="33"/>
  <c r="D31" i="29"/>
  <c r="D32" i="13"/>
  <c r="H24" i="37"/>
  <c r="H24" i="33"/>
  <c r="H31" i="33"/>
  <c r="H25" i="37"/>
  <c r="H25" i="33"/>
  <c r="H25" i="29"/>
  <c r="H32" i="13"/>
  <c r="D24" i="37"/>
  <c r="D24" i="33"/>
  <c r="D24" i="29"/>
  <c r="D24" i="13"/>
  <c r="H26" i="37"/>
  <c r="H26" i="33"/>
  <c r="H26" i="29"/>
  <c r="H26" i="23"/>
  <c r="J30" i="29"/>
  <c r="D30" i="29"/>
  <c r="J30" i="23"/>
  <c r="D30" i="23"/>
  <c r="D23" i="33"/>
  <c r="H23" i="29"/>
  <c r="D23" i="13"/>
  <c r="J33" i="23"/>
  <c r="J33" i="33"/>
  <c r="J33" i="29"/>
  <c r="J25" i="29"/>
  <c r="J25" i="13"/>
  <c r="J32" i="33"/>
  <c r="J32" i="29"/>
  <c r="J32" i="23"/>
  <c r="J26" i="37"/>
  <c r="J26" i="33"/>
  <c r="J26" i="29"/>
  <c r="J26" i="23"/>
  <c r="K23" i="33"/>
  <c r="J33" i="37"/>
  <c r="K31" i="23"/>
  <c r="K30" i="16"/>
  <c r="K25" i="37"/>
  <c r="K25" i="33"/>
  <c r="K25" i="29"/>
  <c r="K25" i="13"/>
  <c r="K23" i="37"/>
  <c r="K23" i="20"/>
  <c r="K32" i="33"/>
  <c r="K32" i="29"/>
  <c r="K32" i="23"/>
  <c r="J30" i="16"/>
  <c r="K33" i="23"/>
  <c r="K26" i="33"/>
  <c r="K26" i="29"/>
  <c r="K23" i="13"/>
  <c r="K33" i="33"/>
  <c r="K33" i="29"/>
  <c r="J23" i="20"/>
  <c r="J23" i="37"/>
  <c r="K26" i="37"/>
  <c r="K26" i="23"/>
  <c r="K31" i="13"/>
  <c r="J23" i="29"/>
  <c r="J23" i="23"/>
  <c r="J25" i="37"/>
  <c r="J25" i="33"/>
  <c r="K24" i="23"/>
  <c r="K24" i="13"/>
  <c r="K31" i="33"/>
  <c r="K31" i="29"/>
  <c r="J23" i="13"/>
  <c r="K30" i="20"/>
  <c r="K30" i="13"/>
  <c r="K24" i="33"/>
  <c r="K24" i="29"/>
  <c r="J31" i="37"/>
  <c r="J31" i="13"/>
  <c r="J24" i="37"/>
  <c r="J24" i="33"/>
  <c r="J24" i="29"/>
  <c r="J24" i="23"/>
  <c r="J24" i="13"/>
  <c r="K23" i="29"/>
  <c r="K23" i="23"/>
  <c r="J31" i="33"/>
  <c r="J31" i="29"/>
  <c r="J31" i="23"/>
  <c r="K24" i="37"/>
  <c r="K30" i="37"/>
  <c r="J30" i="13"/>
  <c r="J23" i="33"/>
  <c r="J30" i="33"/>
  <c r="J32" i="13"/>
  <c r="L32" i="13" s="1"/>
  <c r="J30" i="37"/>
  <c r="J30" i="20"/>
  <c r="J32" i="37"/>
  <c r="K30" i="33"/>
  <c r="K30" i="29"/>
  <c r="K30" i="23"/>
  <c r="K32" i="37"/>
  <c r="K31" i="37"/>
  <c r="K33" i="37"/>
  <c r="L31" i="23" l="1"/>
  <c r="E23" i="79"/>
  <c r="E30" i="79"/>
  <c r="L23" i="33"/>
  <c r="L30" i="37"/>
  <c r="L24" i="23"/>
  <c r="L24" i="29"/>
  <c r="L23" i="20"/>
  <c r="L31" i="29"/>
  <c r="L25" i="29"/>
  <c r="L24" i="33"/>
  <c r="L26" i="33"/>
  <c r="L33" i="23"/>
  <c r="L30" i="20"/>
  <c r="L31" i="13"/>
  <c r="L24" i="13"/>
  <c r="L24" i="37"/>
  <c r="L31" i="37"/>
  <c r="L23" i="23"/>
  <c r="L26" i="37"/>
  <c r="L26" i="29"/>
  <c r="L30" i="29"/>
  <c r="L32" i="37"/>
  <c r="L31" i="33"/>
  <c r="L23" i="13"/>
  <c r="L23" i="29"/>
  <c r="L33" i="37"/>
  <c r="L32" i="23"/>
  <c r="L25" i="13"/>
  <c r="L33" i="29"/>
  <c r="L25" i="33"/>
  <c r="L30" i="16"/>
  <c r="L26" i="23"/>
  <c r="L32" i="29"/>
  <c r="L33" i="33"/>
  <c r="L30" i="13"/>
  <c r="L30" i="33"/>
  <c r="L25" i="37"/>
  <c r="L23" i="37"/>
  <c r="L32" i="33"/>
  <c r="L30" i="23"/>
  <c r="J9" i="72"/>
  <c r="K8" i="72"/>
  <c r="J8" i="72"/>
  <c r="L8" i="72" l="1"/>
  <c r="E31" i="13"/>
  <c r="E31" i="37"/>
  <c r="E31" i="33"/>
  <c r="E31" i="29"/>
  <c r="E23" i="23"/>
  <c r="E23" i="13"/>
  <c r="E23" i="20"/>
  <c r="E23" i="37"/>
  <c r="E23" i="33"/>
  <c r="E23" i="29"/>
  <c r="E25" i="13"/>
  <c r="E30" i="13"/>
  <c r="E30" i="20"/>
  <c r="E30" i="37"/>
  <c r="E30" i="23"/>
  <c r="E30" i="29"/>
  <c r="E30" i="16"/>
  <c r="E30" i="33"/>
  <c r="E32" i="13"/>
  <c r="E32" i="29"/>
  <c r="E24" i="13"/>
  <c r="E24" i="29"/>
  <c r="E24" i="33"/>
  <c r="E24" i="37"/>
  <c r="K7" i="72"/>
  <c r="K9" i="72"/>
  <c r="L9" i="72" s="1"/>
  <c r="J7" i="72"/>
  <c r="D8" i="72"/>
  <c r="D48" i="72"/>
  <c r="D7" i="72"/>
  <c r="D9" i="72"/>
  <c r="L7" i="72" l="1"/>
  <c r="H25" i="9"/>
  <c r="D47" i="72"/>
  <c r="G25" i="9"/>
  <c r="G61" i="9" s="1"/>
  <c r="B25" i="9"/>
  <c r="M24" i="8" s="1"/>
  <c r="C25" i="9" l="1"/>
  <c r="B61" i="9"/>
  <c r="C61" i="9" l="1"/>
  <c r="D61" i="9" s="1"/>
  <c r="N24" i="8"/>
  <c r="G33" i="4"/>
  <c r="I33" i="4" l="1"/>
  <c r="H33" i="4"/>
  <c r="J33" i="4" l="1"/>
  <c r="C97" i="4" l="1"/>
  <c r="C76" i="4"/>
  <c r="B76" i="4"/>
  <c r="B97" i="4"/>
  <c r="K97" i="37"/>
  <c r="J97" i="37"/>
  <c r="D97" i="29"/>
  <c r="K97" i="33"/>
  <c r="K97" i="29"/>
  <c r="J97" i="13"/>
  <c r="J97" i="33"/>
  <c r="J97" i="29"/>
  <c r="D97" i="37"/>
  <c r="D97" i="13"/>
  <c r="K97" i="13"/>
  <c r="D97" i="33"/>
  <c r="K76" i="37"/>
  <c r="D76" i="33"/>
  <c r="D76" i="37"/>
  <c r="K76" i="29"/>
  <c r="J76" i="13"/>
  <c r="J76" i="37"/>
  <c r="D76" i="29"/>
  <c r="K76" i="33"/>
  <c r="J76" i="33"/>
  <c r="J76" i="29"/>
  <c r="D76" i="13"/>
  <c r="K76" i="13"/>
  <c r="J8" i="37"/>
  <c r="K8" i="37"/>
  <c r="J9" i="37"/>
  <c r="K9" i="37"/>
  <c r="J36" i="37"/>
  <c r="J37" i="37"/>
  <c r="E76" i="33" l="1"/>
  <c r="E76" i="37"/>
  <c r="E76" i="29"/>
  <c r="E76" i="13"/>
  <c r="E76" i="79"/>
  <c r="L8" i="37"/>
  <c r="L9" i="37"/>
  <c r="L76" i="33"/>
  <c r="L97" i="33"/>
  <c r="L97" i="29"/>
  <c r="L76" i="29"/>
  <c r="L76" i="13"/>
  <c r="D97" i="4"/>
  <c r="D76" i="4"/>
  <c r="L97" i="37"/>
  <c r="L76" i="37"/>
  <c r="L97" i="13"/>
  <c r="I97" i="4"/>
  <c r="I76" i="4"/>
  <c r="H34" i="37"/>
  <c r="H116" i="37"/>
  <c r="D114" i="37"/>
  <c r="D116" i="37"/>
  <c r="J124" i="37"/>
  <c r="H76" i="4"/>
  <c r="H97" i="4"/>
  <c r="K12" i="37"/>
  <c r="K7" i="37"/>
  <c r="H113" i="37"/>
  <c r="H117" i="37"/>
  <c r="J88" i="37"/>
  <c r="K75" i="37"/>
  <c r="K108" i="37"/>
  <c r="K96" i="37"/>
  <c r="K67" i="37"/>
  <c r="J35" i="37"/>
  <c r="J10" i="37"/>
  <c r="D7" i="37"/>
  <c r="K137" i="37"/>
  <c r="K135" i="37"/>
  <c r="K134" i="37"/>
  <c r="K122" i="37"/>
  <c r="D122" i="37"/>
  <c r="H112" i="37"/>
  <c r="J121" i="37"/>
  <c r="D137" i="37"/>
  <c r="H121" i="37"/>
  <c r="K114" i="37"/>
  <c r="K107" i="37"/>
  <c r="K99" i="37"/>
  <c r="J125" i="37"/>
  <c r="K116" i="37"/>
  <c r="K78" i="37"/>
  <c r="D8" i="37"/>
  <c r="H108" i="37"/>
  <c r="D67" i="37"/>
  <c r="K110" i="37"/>
  <c r="J86" i="37"/>
  <c r="K28" i="37"/>
  <c r="H7" i="37"/>
  <c r="D135" i="37"/>
  <c r="H124" i="37"/>
  <c r="J110" i="37"/>
  <c r="D108" i="37"/>
  <c r="D28" i="37"/>
  <c r="D125" i="37"/>
  <c r="K113" i="37"/>
  <c r="J108" i="37"/>
  <c r="D34" i="37"/>
  <c r="K10" i="37"/>
  <c r="K125" i="37"/>
  <c r="J117" i="37"/>
  <c r="J113" i="37"/>
  <c r="D110" i="37"/>
  <c r="K136" i="37"/>
  <c r="J134" i="37"/>
  <c r="H35" i="37"/>
  <c r="J28" i="37"/>
  <c r="K11" i="37"/>
  <c r="J122" i="37"/>
  <c r="J116" i="37"/>
  <c r="K109" i="37"/>
  <c r="D35" i="37"/>
  <c r="J12" i="37"/>
  <c r="J7" i="37"/>
  <c r="H75" i="37"/>
  <c r="D48" i="37"/>
  <c r="J137" i="37"/>
  <c r="K121" i="37"/>
  <c r="J67" i="37"/>
  <c r="H125" i="37"/>
  <c r="D124" i="37"/>
  <c r="D109" i="37"/>
  <c r="H96" i="37"/>
  <c r="K88" i="37"/>
  <c r="D55" i="37"/>
  <c r="J34" i="37"/>
  <c r="D9" i="37"/>
  <c r="J107" i="37"/>
  <c r="D107" i="37"/>
  <c r="K124" i="37"/>
  <c r="D99" i="37"/>
  <c r="D134" i="37"/>
  <c r="D120" i="37"/>
  <c r="J78" i="37"/>
  <c r="D78" i="37"/>
  <c r="J75" i="37"/>
  <c r="D75" i="37"/>
  <c r="J112" i="37"/>
  <c r="D112" i="37"/>
  <c r="J109" i="37"/>
  <c r="J135" i="37"/>
  <c r="D136" i="37"/>
  <c r="K120" i="37"/>
  <c r="J99" i="37"/>
  <c r="J96" i="37"/>
  <c r="D96" i="37"/>
  <c r="K86" i="37"/>
  <c r="J136" i="37"/>
  <c r="J120" i="37"/>
  <c r="J114" i="37"/>
  <c r="H109" i="37"/>
  <c r="D86" i="37"/>
  <c r="K117" i="37"/>
  <c r="K112" i="37"/>
  <c r="D88" i="37"/>
  <c r="H11" i="37"/>
  <c r="D10" i="37"/>
  <c r="K35" i="37"/>
  <c r="D57" i="37"/>
  <c r="D54" i="37"/>
  <c r="K34" i="37"/>
  <c r="H12" i="37"/>
  <c r="K37" i="37"/>
  <c r="D37" i="37"/>
  <c r="H10" i="37"/>
  <c r="K36" i="37"/>
  <c r="D36" i="37"/>
  <c r="J11" i="37"/>
  <c r="L122" i="37" l="1"/>
  <c r="M76" i="13"/>
  <c r="M76" i="33"/>
  <c r="M76" i="37"/>
  <c r="M76" i="29"/>
  <c r="M76" i="79"/>
  <c r="J76" i="4"/>
  <c r="L114" i="37"/>
  <c r="D77" i="37"/>
  <c r="H29" i="37"/>
  <c r="J29" i="37"/>
  <c r="D100" i="37"/>
  <c r="K98" i="37"/>
  <c r="K77" i="37"/>
  <c r="J79" i="37"/>
  <c r="L110" i="37"/>
  <c r="J97" i="4"/>
  <c r="J100" i="37"/>
  <c r="J66" i="37"/>
  <c r="L116" i="37"/>
  <c r="D89" i="37"/>
  <c r="K22" i="37"/>
  <c r="D49" i="37"/>
  <c r="J22" i="37"/>
  <c r="H22" i="37"/>
  <c r="K29" i="37"/>
  <c r="D29" i="37"/>
  <c r="D22" i="37"/>
  <c r="D87" i="37"/>
  <c r="D56" i="37"/>
  <c r="L88" i="37"/>
  <c r="L124" i="37"/>
  <c r="L12" i="37"/>
  <c r="L78" i="37"/>
  <c r="K111" i="37"/>
  <c r="L7" i="37"/>
  <c r="L135" i="37"/>
  <c r="D53" i="37"/>
  <c r="L28" i="37"/>
  <c r="L136" i="37"/>
  <c r="L96" i="37"/>
  <c r="L34" i="37"/>
  <c r="L109" i="37"/>
  <c r="L67" i="37"/>
  <c r="L99" i="37"/>
  <c r="L108" i="37"/>
  <c r="L134" i="37"/>
  <c r="L10" i="37"/>
  <c r="D47" i="37"/>
  <c r="L107" i="37"/>
  <c r="L75" i="37"/>
  <c r="K119" i="37"/>
  <c r="H111" i="37"/>
  <c r="L86" i="37"/>
  <c r="L121" i="37"/>
  <c r="H119" i="37"/>
  <c r="L137" i="37"/>
  <c r="L35" i="37"/>
  <c r="L120" i="37"/>
  <c r="L11" i="37"/>
  <c r="D119" i="37"/>
  <c r="L117" i="37"/>
  <c r="L125" i="37"/>
  <c r="L113" i="37"/>
  <c r="J111" i="37"/>
  <c r="D111" i="37"/>
  <c r="D66" i="37"/>
  <c r="D98" i="37"/>
  <c r="J119" i="37"/>
  <c r="L112" i="37"/>
  <c r="L29" i="37" l="1"/>
  <c r="K79" i="37"/>
  <c r="L79" i="37" s="1"/>
  <c r="K100" i="37"/>
  <c r="L100" i="37" s="1"/>
  <c r="K87" i="37"/>
  <c r="K89" i="37"/>
  <c r="H68" i="37"/>
  <c r="H79" i="37"/>
  <c r="H100" i="37"/>
  <c r="H77" i="37"/>
  <c r="H98" i="37"/>
  <c r="L22" i="37"/>
  <c r="J68" i="37"/>
  <c r="K68" i="37"/>
  <c r="H89" i="37"/>
  <c r="J89" i="37"/>
  <c r="L111" i="37"/>
  <c r="L119" i="37"/>
  <c r="H87" i="37" l="1"/>
  <c r="L89" i="37"/>
  <c r="J98" i="37"/>
  <c r="L98" i="37" s="1"/>
  <c r="J77" i="37"/>
  <c r="L77" i="37" s="1"/>
  <c r="L68" i="37"/>
  <c r="J87" i="37"/>
  <c r="L87" i="37" s="1"/>
  <c r="H66" i="37"/>
  <c r="K66" i="37"/>
  <c r="L66" i="37" s="1"/>
  <c r="F106" i="4" l="1"/>
  <c r="E106" i="4"/>
  <c r="F95" i="4"/>
  <c r="E95" i="4"/>
  <c r="F92" i="4"/>
  <c r="E92" i="4"/>
  <c r="F91" i="4"/>
  <c r="E91" i="4"/>
  <c r="F85" i="4"/>
  <c r="E85" i="4"/>
  <c r="F74" i="4"/>
  <c r="E74" i="4"/>
  <c r="F71" i="4"/>
  <c r="E71" i="4"/>
  <c r="C104" i="4"/>
  <c r="C93" i="4"/>
  <c r="C83" i="4"/>
  <c r="C72" i="4"/>
  <c r="C69" i="4"/>
  <c r="G31" i="4"/>
  <c r="B69" i="4" l="1"/>
  <c r="B83" i="4"/>
  <c r="B104" i="4"/>
  <c r="B72" i="4"/>
  <c r="B93" i="4"/>
  <c r="G74" i="4"/>
  <c r="G23" i="4"/>
  <c r="G24" i="4"/>
  <c r="G30" i="4"/>
  <c r="G25" i="4"/>
  <c r="G32" i="4"/>
  <c r="D32" i="4"/>
  <c r="D24" i="4"/>
  <c r="I23" i="37"/>
  <c r="I25" i="37"/>
  <c r="I30" i="37"/>
  <c r="I31" i="37"/>
  <c r="G26" i="4"/>
  <c r="D25" i="4"/>
  <c r="I24" i="37"/>
  <c r="I32" i="37"/>
  <c r="D30" i="4"/>
  <c r="D31" i="4"/>
  <c r="F72" i="4"/>
  <c r="F83" i="4"/>
  <c r="F93" i="4"/>
  <c r="F104" i="4"/>
  <c r="E69" i="4"/>
  <c r="E90" i="4"/>
  <c r="E83" i="4"/>
  <c r="E104" i="4"/>
  <c r="F69" i="4"/>
  <c r="F90" i="4"/>
  <c r="E72" i="4"/>
  <c r="E93" i="4"/>
  <c r="G91" i="4" l="1"/>
  <c r="G71" i="4"/>
  <c r="G106" i="4"/>
  <c r="G85" i="4"/>
  <c r="G95" i="4"/>
  <c r="G92" i="4"/>
  <c r="D69" i="4"/>
  <c r="D72" i="4"/>
  <c r="D104" i="4"/>
  <c r="D93" i="4"/>
  <c r="D83" i="4"/>
  <c r="E29" i="23"/>
  <c r="E29" i="29"/>
  <c r="E29" i="33"/>
  <c r="E29" i="16"/>
  <c r="E29" i="20"/>
  <c r="E29" i="51"/>
  <c r="E29" i="37"/>
  <c r="E29" i="13"/>
  <c r="D23" i="4"/>
  <c r="I26" i="4"/>
  <c r="H26" i="4"/>
  <c r="I106" i="37"/>
  <c r="I95" i="37"/>
  <c r="I85" i="37"/>
  <c r="I74" i="37"/>
  <c r="F26" i="10"/>
  <c r="F16" i="10"/>
  <c r="F34" i="10"/>
  <c r="I26" i="29"/>
  <c r="I26" i="23"/>
  <c r="I26" i="33"/>
  <c r="I26" i="37"/>
  <c r="G34" i="10"/>
  <c r="G90" i="4" l="1"/>
  <c r="G93" i="4"/>
  <c r="G83" i="4"/>
  <c r="G69" i="4"/>
  <c r="G72" i="4"/>
  <c r="G104" i="4"/>
  <c r="M26" i="29"/>
  <c r="J26" i="4"/>
  <c r="I93" i="37"/>
  <c r="I104" i="37"/>
  <c r="I72" i="37"/>
  <c r="I83" i="37"/>
  <c r="M26" i="23"/>
  <c r="M26" i="37"/>
  <c r="M26" i="33"/>
  <c r="C52" i="4" l="1"/>
  <c r="C51" i="4"/>
  <c r="C50" i="4"/>
  <c r="B51" i="4" l="1"/>
  <c r="B52" i="4"/>
  <c r="B50" i="4"/>
  <c r="D51" i="16"/>
  <c r="D52" i="16"/>
  <c r="D51" i="4" l="1"/>
  <c r="D52" i="4"/>
  <c r="D50" i="4"/>
  <c r="G56" i="10" l="1"/>
  <c r="G60" i="10"/>
  <c r="F60" i="10" l="1"/>
  <c r="F56" i="10"/>
  <c r="K28" i="10" l="1"/>
  <c r="J28" i="10"/>
  <c r="K9" i="33" l="1"/>
  <c r="K9" i="29"/>
  <c r="K8" i="51"/>
  <c r="K8" i="29"/>
  <c r="K8" i="33"/>
  <c r="K9" i="51"/>
  <c r="K8" i="25"/>
  <c r="K9" i="25"/>
  <c r="K8" i="22"/>
  <c r="K9" i="22"/>
  <c r="K9" i="20"/>
  <c r="K8" i="20"/>
  <c r="J36" i="13"/>
  <c r="K37" i="13"/>
  <c r="J37" i="13"/>
  <c r="K36" i="13"/>
  <c r="K8" i="13"/>
  <c r="K9" i="13"/>
  <c r="D22" i="16"/>
  <c r="B121" i="4" l="1"/>
  <c r="C88" i="4"/>
  <c r="C28" i="4"/>
  <c r="F136" i="4"/>
  <c r="B135" i="4"/>
  <c r="B25" i="10" s="1"/>
  <c r="F10" i="4"/>
  <c r="B48" i="4"/>
  <c r="C125" i="4"/>
  <c r="C34" i="4"/>
  <c r="C49" i="4"/>
  <c r="B110" i="4"/>
  <c r="F117" i="4"/>
  <c r="B75" i="4"/>
  <c r="B14" i="10" s="1"/>
  <c r="F89" i="4"/>
  <c r="E109" i="4"/>
  <c r="C120" i="4"/>
  <c r="B113" i="4"/>
  <c r="F11" i="4"/>
  <c r="B7" i="4"/>
  <c r="B9" i="10" s="1"/>
  <c r="C10" i="4"/>
  <c r="E10" i="91" s="1"/>
  <c r="B55" i="4"/>
  <c r="B12" i="4"/>
  <c r="B41" i="10" s="1"/>
  <c r="B57" i="4"/>
  <c r="E7" i="4"/>
  <c r="F9" i="10" s="1"/>
  <c r="E114" i="4"/>
  <c r="C86" i="4"/>
  <c r="F135" i="4"/>
  <c r="E79" i="4"/>
  <c r="C67" i="4"/>
  <c r="C108" i="4"/>
  <c r="E116" i="4"/>
  <c r="F124" i="4"/>
  <c r="C57" i="4"/>
  <c r="B109" i="4"/>
  <c r="B137" i="4"/>
  <c r="B44" i="10" s="1"/>
  <c r="C55" i="4"/>
  <c r="B112" i="4"/>
  <c r="B99" i="4"/>
  <c r="C122" i="4"/>
  <c r="C135" i="4"/>
  <c r="B78" i="4"/>
  <c r="F121" i="4"/>
  <c r="B67" i="4"/>
  <c r="B125" i="4"/>
  <c r="E112" i="4"/>
  <c r="B124" i="4"/>
  <c r="E136" i="4"/>
  <c r="C7" i="4"/>
  <c r="E7" i="91" s="1"/>
  <c r="B9" i="4"/>
  <c r="C36" i="4"/>
  <c r="E36" i="79" s="1"/>
  <c r="C136" i="4"/>
  <c r="F75" i="4"/>
  <c r="C137" i="4"/>
  <c r="B88" i="4"/>
  <c r="C78" i="4"/>
  <c r="F134" i="4"/>
  <c r="E135" i="4"/>
  <c r="F25" i="10" s="1"/>
  <c r="B136" i="4"/>
  <c r="B33" i="10" s="1"/>
  <c r="E68" i="4"/>
  <c r="B100" i="4"/>
  <c r="E125" i="4"/>
  <c r="C109" i="4"/>
  <c r="E124" i="4"/>
  <c r="B36" i="4"/>
  <c r="B16" i="10" s="1"/>
  <c r="E86" i="4"/>
  <c r="B89" i="4"/>
  <c r="B23" i="10" s="1"/>
  <c r="B126" i="4"/>
  <c r="B10" i="4"/>
  <c r="B20" i="10" s="1"/>
  <c r="C107" i="4"/>
  <c r="E121" i="4"/>
  <c r="B54" i="4"/>
  <c r="F116" i="4"/>
  <c r="E34" i="4"/>
  <c r="F31" i="10" s="1"/>
  <c r="F86" i="4"/>
  <c r="E11" i="4"/>
  <c r="F30" i="10" s="1"/>
  <c r="E12" i="4"/>
  <c r="F41" i="10" s="1"/>
  <c r="C112" i="4"/>
  <c r="E107" i="4"/>
  <c r="E134" i="4"/>
  <c r="F15" i="10" s="1"/>
  <c r="C96" i="4"/>
  <c r="F7" i="4"/>
  <c r="C8" i="4"/>
  <c r="C68" i="4"/>
  <c r="C89" i="4"/>
  <c r="F79" i="4"/>
  <c r="E117" i="4"/>
  <c r="C110" i="4"/>
  <c r="B116" i="4"/>
  <c r="F34" i="4"/>
  <c r="C99" i="4"/>
  <c r="C12" i="4"/>
  <c r="E10" i="4"/>
  <c r="F20" i="10" s="1"/>
  <c r="B86" i="4"/>
  <c r="F68" i="4"/>
  <c r="F109" i="4"/>
  <c r="C75" i="4"/>
  <c r="E75" i="4"/>
  <c r="F14" i="10" s="1"/>
  <c r="F96" i="4"/>
  <c r="B34" i="4"/>
  <c r="B58" i="4"/>
  <c r="C114" i="4"/>
  <c r="B8" i="4"/>
  <c r="F107" i="4"/>
  <c r="F12" i="4"/>
  <c r="C11" i="4"/>
  <c r="E96" i="4"/>
  <c r="F24" i="10" s="1"/>
  <c r="C79" i="4"/>
  <c r="B49" i="4"/>
  <c r="E100" i="4"/>
  <c r="B108" i="4"/>
  <c r="C124" i="4"/>
  <c r="C116" i="4"/>
  <c r="B114" i="4"/>
  <c r="C58" i="4"/>
  <c r="E58" i="39" s="1"/>
  <c r="F112" i="4"/>
  <c r="E108" i="4"/>
  <c r="F113" i="4"/>
  <c r="B35" i="4"/>
  <c r="C121" i="4"/>
  <c r="B11" i="4"/>
  <c r="B30" i="10" s="1"/>
  <c r="C35" i="4"/>
  <c r="C48" i="4"/>
  <c r="E48" i="91" s="1"/>
  <c r="B68" i="4"/>
  <c r="B13" i="10" s="1"/>
  <c r="F100" i="4"/>
  <c r="F125" i="4"/>
  <c r="C126" i="4"/>
  <c r="E113" i="4"/>
  <c r="B134" i="4"/>
  <c r="B15" i="10" s="1"/>
  <c r="C9" i="4"/>
  <c r="E9" i="91" s="1"/>
  <c r="B107" i="4"/>
  <c r="C113" i="4"/>
  <c r="B37" i="4"/>
  <c r="B26" i="10" s="1"/>
  <c r="C134" i="4"/>
  <c r="C37" i="4"/>
  <c r="E37" i="79" s="1"/>
  <c r="E35" i="4"/>
  <c r="F42" i="10" s="1"/>
  <c r="F114" i="4"/>
  <c r="B96" i="4"/>
  <c r="B24" i="10" s="1"/>
  <c r="C54" i="4"/>
  <c r="B120" i="4"/>
  <c r="C100" i="4"/>
  <c r="B79" i="4"/>
  <c r="F108" i="4"/>
  <c r="F35" i="4"/>
  <c r="B122" i="4"/>
  <c r="E89" i="4"/>
  <c r="B28" i="4"/>
  <c r="N22" i="8"/>
  <c r="C59" i="9"/>
  <c r="D59" i="9" s="1"/>
  <c r="G14" i="9"/>
  <c r="G50" i="9" s="1"/>
  <c r="H38" i="9"/>
  <c r="C36" i="9"/>
  <c r="H37" i="9"/>
  <c r="G36" i="9"/>
  <c r="H16" i="9"/>
  <c r="N59" i="8" s="1"/>
  <c r="G15" i="9"/>
  <c r="G12" i="9"/>
  <c r="G48" i="9" s="1"/>
  <c r="G13" i="9"/>
  <c r="G49" i="9" s="1"/>
  <c r="C35" i="9"/>
  <c r="B39" i="9"/>
  <c r="C39" i="9"/>
  <c r="G18" i="9"/>
  <c r="C38" i="9"/>
  <c r="H12" i="9"/>
  <c r="G17" i="9"/>
  <c r="H17" i="9"/>
  <c r="G22" i="9"/>
  <c r="H35" i="9"/>
  <c r="H9" i="9"/>
  <c r="H36" i="9"/>
  <c r="G9" i="9"/>
  <c r="C37" i="9"/>
  <c r="G20" i="9"/>
  <c r="G56" i="9" s="1"/>
  <c r="G16" i="9"/>
  <c r="G52" i="9" s="1"/>
  <c r="G24" i="9"/>
  <c r="G60" i="9" s="1"/>
  <c r="H39" i="9"/>
  <c r="G26" i="9"/>
  <c r="G28" i="9"/>
  <c r="G35" i="9"/>
  <c r="H20" i="9"/>
  <c r="N63" i="8" s="1"/>
  <c r="B35" i="9"/>
  <c r="B38" i="9"/>
  <c r="K135" i="26"/>
  <c r="H29" i="29"/>
  <c r="K121" i="13"/>
  <c r="H121" i="33"/>
  <c r="H125" i="33"/>
  <c r="H68" i="29"/>
  <c r="K113" i="33"/>
  <c r="H29" i="13"/>
  <c r="K12" i="29"/>
  <c r="J86" i="29"/>
  <c r="K108" i="33"/>
  <c r="H22" i="33"/>
  <c r="K68" i="33"/>
  <c r="H35" i="29"/>
  <c r="H34" i="13"/>
  <c r="K22" i="51"/>
  <c r="K135" i="34"/>
  <c r="K134" i="26"/>
  <c r="K113" i="29"/>
  <c r="H100" i="29"/>
  <c r="K137" i="26"/>
  <c r="J79" i="29"/>
  <c r="K28" i="51"/>
  <c r="H89" i="29"/>
  <c r="K12" i="33"/>
  <c r="K116" i="33"/>
  <c r="K29" i="51"/>
  <c r="H34" i="33"/>
  <c r="H12" i="33"/>
  <c r="H125" i="29"/>
  <c r="K108" i="23"/>
  <c r="K22" i="23"/>
  <c r="H107" i="23"/>
  <c r="K107" i="33"/>
  <c r="K100" i="33"/>
  <c r="K75" i="33"/>
  <c r="K122" i="33"/>
  <c r="K114" i="33"/>
  <c r="H29" i="33"/>
  <c r="H75" i="33"/>
  <c r="D37" i="13"/>
  <c r="K89" i="23"/>
  <c r="K68" i="23"/>
  <c r="H135" i="26"/>
  <c r="H22" i="29"/>
  <c r="H96" i="33"/>
  <c r="H117" i="33"/>
  <c r="K28" i="25"/>
  <c r="K96" i="33"/>
  <c r="H35" i="33"/>
  <c r="K117" i="33"/>
  <c r="K28" i="23"/>
  <c r="H114" i="33"/>
  <c r="K89" i="33"/>
  <c r="D57" i="16"/>
  <c r="D28" i="16"/>
  <c r="D29" i="16"/>
  <c r="D9" i="16"/>
  <c r="D10" i="16"/>
  <c r="D54" i="16"/>
  <c r="D8" i="16"/>
  <c r="D49" i="16"/>
  <c r="D7" i="16"/>
  <c r="D48" i="16"/>
  <c r="H100" i="23"/>
  <c r="B21" i="10"/>
  <c r="K109" i="23"/>
  <c r="K34" i="13"/>
  <c r="K107" i="13"/>
  <c r="K121" i="23"/>
  <c r="H109" i="23"/>
  <c r="H22" i="23"/>
  <c r="H100" i="33"/>
  <c r="H68" i="33"/>
  <c r="K125" i="33"/>
  <c r="D49" i="39"/>
  <c r="K7" i="13"/>
  <c r="K10" i="29"/>
  <c r="H7" i="23"/>
  <c r="H7" i="29"/>
  <c r="H7" i="33"/>
  <c r="K10" i="33"/>
  <c r="H10" i="13"/>
  <c r="K7" i="23"/>
  <c r="K11" i="33"/>
  <c r="K7" i="29"/>
  <c r="H11" i="13"/>
  <c r="K22" i="13"/>
  <c r="K29" i="13"/>
  <c r="H79" i="13"/>
  <c r="K100" i="13"/>
  <c r="K116" i="13"/>
  <c r="K10" i="13"/>
  <c r="H121" i="13"/>
  <c r="K7" i="20"/>
  <c r="K10" i="20"/>
  <c r="D49" i="26"/>
  <c r="K11" i="29"/>
  <c r="H113" i="29"/>
  <c r="K7" i="33"/>
  <c r="H89" i="33"/>
  <c r="H107" i="33"/>
  <c r="K121" i="33"/>
  <c r="K126" i="33"/>
  <c r="H89" i="13"/>
  <c r="K109" i="13"/>
  <c r="K67" i="13"/>
  <c r="K11" i="13"/>
  <c r="H113" i="33"/>
  <c r="H12" i="23"/>
  <c r="H86" i="23"/>
  <c r="H136" i="26"/>
  <c r="K28" i="29"/>
  <c r="K34" i="29"/>
  <c r="H134" i="26"/>
  <c r="K117" i="29"/>
  <c r="H79" i="23"/>
  <c r="H89" i="23"/>
  <c r="H117" i="23"/>
  <c r="K35" i="29"/>
  <c r="H117" i="29"/>
  <c r="H40" i="9"/>
  <c r="H22" i="13"/>
  <c r="H7" i="13"/>
  <c r="K35" i="13"/>
  <c r="K108" i="13"/>
  <c r="K12" i="13"/>
  <c r="H107" i="13"/>
  <c r="C40" i="9"/>
  <c r="D48" i="13"/>
  <c r="J10" i="13"/>
  <c r="D10" i="13"/>
  <c r="K28" i="13"/>
  <c r="K68" i="13"/>
  <c r="K112" i="13"/>
  <c r="K117" i="13"/>
  <c r="H35" i="13"/>
  <c r="H109" i="13"/>
  <c r="J89" i="13"/>
  <c r="D89" i="13"/>
  <c r="D11" i="13"/>
  <c r="J11" i="13"/>
  <c r="K113" i="13"/>
  <c r="J9" i="13"/>
  <c r="L9" i="13" s="1"/>
  <c r="D9" i="13"/>
  <c r="H68" i="13"/>
  <c r="J88" i="13"/>
  <c r="D88" i="13"/>
  <c r="H100" i="13"/>
  <c r="H12" i="13"/>
  <c r="D78" i="13"/>
  <c r="J78" i="13"/>
  <c r="J12" i="13"/>
  <c r="D12" i="13"/>
  <c r="K120" i="13"/>
  <c r="K88" i="13"/>
  <c r="H117" i="13"/>
  <c r="D35" i="13"/>
  <c r="J35" i="13"/>
  <c r="J68" i="13"/>
  <c r="K86" i="13"/>
  <c r="K89" i="13"/>
  <c r="J107" i="13"/>
  <c r="D107" i="13"/>
  <c r="D112" i="13"/>
  <c r="J112" i="13"/>
  <c r="J117" i="13"/>
  <c r="D86" i="13"/>
  <c r="J86" i="13"/>
  <c r="J125" i="13"/>
  <c r="D8" i="20"/>
  <c r="J8" i="20"/>
  <c r="L8" i="20" s="1"/>
  <c r="J79" i="13"/>
  <c r="D99" i="13"/>
  <c r="J99" i="13"/>
  <c r="J124" i="13"/>
  <c r="D124" i="13"/>
  <c r="H108" i="13"/>
  <c r="H113" i="13"/>
  <c r="D36" i="13"/>
  <c r="D54" i="13"/>
  <c r="D108" i="13"/>
  <c r="J108" i="13"/>
  <c r="J113" i="13"/>
  <c r="K124" i="13"/>
  <c r="J7" i="20"/>
  <c r="D7" i="20"/>
  <c r="J7" i="13"/>
  <c r="D7" i="13"/>
  <c r="D22" i="13"/>
  <c r="J22" i="13"/>
  <c r="J29" i="13"/>
  <c r="D29" i="13"/>
  <c r="D57" i="13"/>
  <c r="K78" i="13"/>
  <c r="K99" i="13"/>
  <c r="D109" i="13"/>
  <c r="J109" i="13"/>
  <c r="J120" i="13"/>
  <c r="D120" i="13"/>
  <c r="H125" i="13"/>
  <c r="J10" i="20"/>
  <c r="D10" i="20"/>
  <c r="J28" i="20"/>
  <c r="D28" i="20"/>
  <c r="D54" i="22"/>
  <c r="D22" i="23"/>
  <c r="J22" i="23"/>
  <c r="D28" i="25"/>
  <c r="J28" i="25"/>
  <c r="J112" i="23"/>
  <c r="D112" i="23"/>
  <c r="D8" i="22"/>
  <c r="J8" i="22"/>
  <c r="L8" i="22" s="1"/>
  <c r="D29" i="23"/>
  <c r="J29" i="23"/>
  <c r="K112" i="23"/>
  <c r="J22" i="51"/>
  <c r="D22" i="51"/>
  <c r="K11" i="23"/>
  <c r="K35" i="23"/>
  <c r="D107" i="23"/>
  <c r="J107" i="23"/>
  <c r="J117" i="23"/>
  <c r="D48" i="25"/>
  <c r="D9" i="22"/>
  <c r="J9" i="22"/>
  <c r="L9" i="22" s="1"/>
  <c r="K12" i="23"/>
  <c r="K67" i="23"/>
  <c r="D78" i="23"/>
  <c r="K78" i="23"/>
  <c r="J108" i="23"/>
  <c r="D108" i="23"/>
  <c r="H113" i="23"/>
  <c r="D67" i="29"/>
  <c r="K67" i="29"/>
  <c r="J75" i="33"/>
  <c r="D75" i="33"/>
  <c r="D48" i="51"/>
  <c r="D54" i="40"/>
  <c r="J28" i="29"/>
  <c r="D28" i="29"/>
  <c r="D136" i="26"/>
  <c r="J136" i="26"/>
  <c r="D7" i="29"/>
  <c r="J7" i="29"/>
  <c r="J12" i="29"/>
  <c r="H12" i="29"/>
  <c r="J109" i="29"/>
  <c r="D109" i="29"/>
  <c r="K120" i="29"/>
  <c r="D68" i="29"/>
  <c r="J68" i="29"/>
  <c r="D86" i="29"/>
  <c r="K86" i="29"/>
  <c r="K89" i="29"/>
  <c r="K107" i="29"/>
  <c r="H121" i="29"/>
  <c r="J10" i="33"/>
  <c r="D10" i="33"/>
  <c r="J68" i="33"/>
  <c r="D68" i="33"/>
  <c r="D126" i="33"/>
  <c r="J126" i="33"/>
  <c r="K78" i="33"/>
  <c r="K112" i="33"/>
  <c r="J8" i="33"/>
  <c r="L8" i="33" s="1"/>
  <c r="D8" i="33"/>
  <c r="H11" i="33"/>
  <c r="K35" i="33"/>
  <c r="D96" i="33"/>
  <c r="J96" i="33"/>
  <c r="J108" i="33"/>
  <c r="D108" i="33"/>
  <c r="K110" i="33"/>
  <c r="D116" i="33"/>
  <c r="J116" i="33"/>
  <c r="D54" i="39"/>
  <c r="J8" i="13"/>
  <c r="L8" i="13" s="1"/>
  <c r="D8" i="13"/>
  <c r="J28" i="13"/>
  <c r="D28" i="13"/>
  <c r="J34" i="13"/>
  <c r="D34" i="13"/>
  <c r="D67" i="13"/>
  <c r="J67" i="13"/>
  <c r="K79" i="13"/>
  <c r="D100" i="13"/>
  <c r="J100" i="13"/>
  <c r="J116" i="13"/>
  <c r="D116" i="13"/>
  <c r="J121" i="13"/>
  <c r="K125" i="13"/>
  <c r="D57" i="22"/>
  <c r="J9" i="20"/>
  <c r="L9" i="20" s="1"/>
  <c r="D9" i="20"/>
  <c r="K22" i="20"/>
  <c r="K29" i="20"/>
  <c r="J113" i="23"/>
  <c r="K7" i="22"/>
  <c r="D49" i="22"/>
  <c r="J10" i="23"/>
  <c r="J34" i="23"/>
  <c r="K113" i="23"/>
  <c r="J125" i="23"/>
  <c r="J7" i="25"/>
  <c r="D7" i="25"/>
  <c r="J10" i="25"/>
  <c r="D10" i="25"/>
  <c r="D29" i="51"/>
  <c r="J29" i="51"/>
  <c r="J12" i="23"/>
  <c r="J78" i="23"/>
  <c r="H29" i="23"/>
  <c r="J68" i="23"/>
  <c r="K79" i="23"/>
  <c r="J88" i="23"/>
  <c r="D88" i="23"/>
  <c r="K99" i="23"/>
  <c r="J109" i="23"/>
  <c r="K120" i="23"/>
  <c r="D48" i="40"/>
  <c r="J29" i="29"/>
  <c r="D29" i="29"/>
  <c r="D134" i="26"/>
  <c r="J134" i="26"/>
  <c r="D137" i="26"/>
  <c r="J137" i="26"/>
  <c r="K7" i="51"/>
  <c r="K10" i="51"/>
  <c r="J78" i="29"/>
  <c r="D78" i="29"/>
  <c r="J22" i="29"/>
  <c r="D22" i="29"/>
  <c r="K68" i="29"/>
  <c r="J88" i="29"/>
  <c r="D88" i="29"/>
  <c r="J11" i="33"/>
  <c r="J121" i="29"/>
  <c r="J134" i="34"/>
  <c r="D134" i="34"/>
  <c r="K108" i="29"/>
  <c r="H107" i="29"/>
  <c r="J117" i="29"/>
  <c r="J135" i="34"/>
  <c r="D135" i="34"/>
  <c r="J9" i="33"/>
  <c r="L9" i="33" s="1"/>
  <c r="D9" i="33"/>
  <c r="J78" i="33"/>
  <c r="D78" i="33"/>
  <c r="J22" i="33"/>
  <c r="D22" i="33"/>
  <c r="J29" i="33"/>
  <c r="D29" i="33"/>
  <c r="J67" i="33"/>
  <c r="K79" i="33"/>
  <c r="J99" i="33"/>
  <c r="D99" i="33"/>
  <c r="D109" i="33"/>
  <c r="J109" i="33"/>
  <c r="D48" i="38"/>
  <c r="G40" i="9"/>
  <c r="J112" i="33"/>
  <c r="D112" i="33"/>
  <c r="J117" i="33"/>
  <c r="D48" i="39"/>
  <c r="D54" i="20"/>
  <c r="D53" i="20"/>
  <c r="D56" i="21"/>
  <c r="D57" i="21"/>
  <c r="K28" i="20"/>
  <c r="J28" i="23"/>
  <c r="D28" i="23"/>
  <c r="D48" i="21"/>
  <c r="D57" i="25"/>
  <c r="J11" i="23"/>
  <c r="J35" i="23"/>
  <c r="J8" i="25"/>
  <c r="L8" i="25" s="1"/>
  <c r="D8" i="25"/>
  <c r="J9" i="51"/>
  <c r="L9" i="51" s="1"/>
  <c r="D9" i="51"/>
  <c r="K29" i="23"/>
  <c r="J67" i="23"/>
  <c r="D67" i="23"/>
  <c r="J79" i="23"/>
  <c r="J99" i="23"/>
  <c r="D99" i="23"/>
  <c r="J120" i="23"/>
  <c r="D120" i="23"/>
  <c r="K125" i="23"/>
  <c r="K7" i="25"/>
  <c r="K10" i="25"/>
  <c r="D48" i="22"/>
  <c r="H10" i="23"/>
  <c r="H34" i="23"/>
  <c r="K86" i="23"/>
  <c r="J89" i="23"/>
  <c r="K100" i="23"/>
  <c r="K116" i="23"/>
  <c r="J121" i="23"/>
  <c r="H125" i="23"/>
  <c r="D54" i="25"/>
  <c r="J7" i="51"/>
  <c r="D7" i="51"/>
  <c r="D10" i="51"/>
  <c r="J10" i="51"/>
  <c r="J34" i="29"/>
  <c r="D34" i="29"/>
  <c r="D10" i="29"/>
  <c r="J10" i="29"/>
  <c r="J89" i="29"/>
  <c r="D89" i="29"/>
  <c r="H10" i="29"/>
  <c r="K22" i="29"/>
  <c r="K29" i="29"/>
  <c r="J120" i="29"/>
  <c r="D120" i="29"/>
  <c r="J107" i="29"/>
  <c r="D107" i="29"/>
  <c r="K78" i="29"/>
  <c r="K99" i="29"/>
  <c r="K109" i="29"/>
  <c r="J125" i="29"/>
  <c r="K134" i="34"/>
  <c r="H27" i="9"/>
  <c r="N69" i="8" s="1"/>
  <c r="H79" i="29"/>
  <c r="J113" i="29"/>
  <c r="K125" i="29"/>
  <c r="D67" i="33"/>
  <c r="K67" i="33"/>
  <c r="J79" i="33"/>
  <c r="D79" i="33"/>
  <c r="J34" i="33"/>
  <c r="D34" i="33"/>
  <c r="K86" i="33"/>
  <c r="D122" i="33"/>
  <c r="J122" i="33"/>
  <c r="K22" i="33"/>
  <c r="K29" i="33"/>
  <c r="H79" i="33"/>
  <c r="J88" i="33"/>
  <c r="D88" i="33"/>
  <c r="J100" i="33"/>
  <c r="D100" i="33"/>
  <c r="K120" i="33"/>
  <c r="D113" i="33"/>
  <c r="J113" i="33"/>
  <c r="D57" i="39"/>
  <c r="J22" i="20"/>
  <c r="D22" i="20"/>
  <c r="J29" i="20"/>
  <c r="D29" i="20"/>
  <c r="D48" i="20"/>
  <c r="J7" i="23"/>
  <c r="K10" i="22"/>
  <c r="K88" i="23"/>
  <c r="J35" i="29"/>
  <c r="D7" i="22"/>
  <c r="J7" i="22"/>
  <c r="D10" i="22"/>
  <c r="J10" i="22"/>
  <c r="H121" i="23"/>
  <c r="K10" i="23"/>
  <c r="K34" i="23"/>
  <c r="H68" i="23"/>
  <c r="D86" i="23"/>
  <c r="J86" i="23"/>
  <c r="J100" i="23"/>
  <c r="D116" i="23"/>
  <c r="J116" i="23"/>
  <c r="J28" i="51"/>
  <c r="D28" i="51"/>
  <c r="H11" i="23"/>
  <c r="H35" i="23"/>
  <c r="K107" i="23"/>
  <c r="K117" i="23"/>
  <c r="J9" i="25"/>
  <c r="L9" i="25" s="1"/>
  <c r="D9" i="25"/>
  <c r="K136" i="26"/>
  <c r="J8" i="51"/>
  <c r="L8" i="51" s="1"/>
  <c r="D8" i="51"/>
  <c r="D135" i="26"/>
  <c r="J135" i="26"/>
  <c r="D57" i="40"/>
  <c r="J8" i="29"/>
  <c r="L8" i="29" s="1"/>
  <c r="D8" i="29"/>
  <c r="J11" i="29"/>
  <c r="J99" i="29"/>
  <c r="D99" i="29"/>
  <c r="D120" i="33"/>
  <c r="J120" i="33"/>
  <c r="D9" i="29"/>
  <c r="J9" i="29"/>
  <c r="L9" i="29" s="1"/>
  <c r="H11" i="29"/>
  <c r="H34" i="29"/>
  <c r="J100" i="29"/>
  <c r="D100" i="29"/>
  <c r="J108" i="29"/>
  <c r="D108" i="29"/>
  <c r="J12" i="33"/>
  <c r="D125" i="33"/>
  <c r="J125" i="33"/>
  <c r="J67" i="29"/>
  <c r="D79" i="29"/>
  <c r="K79" i="29"/>
  <c r="K88" i="29"/>
  <c r="K100" i="29"/>
  <c r="K121" i="29"/>
  <c r="K99" i="33"/>
  <c r="H86" i="29"/>
  <c r="H109" i="29"/>
  <c r="K88" i="33"/>
  <c r="J86" i="33"/>
  <c r="D121" i="33"/>
  <c r="J121" i="33"/>
  <c r="J35" i="33"/>
  <c r="D35" i="33"/>
  <c r="J7" i="33"/>
  <c r="D7" i="33"/>
  <c r="H10" i="33"/>
  <c r="K34" i="33"/>
  <c r="H86" i="33"/>
  <c r="J89" i="33"/>
  <c r="D89" i="33"/>
  <c r="J107" i="33"/>
  <c r="J110" i="33"/>
  <c r="D110" i="33"/>
  <c r="K109" i="33"/>
  <c r="H109" i="33"/>
  <c r="J114" i="33"/>
  <c r="D114" i="33"/>
  <c r="G27" i="9"/>
  <c r="B10" i="10"/>
  <c r="F21" i="10"/>
  <c r="F10" i="10"/>
  <c r="K9" i="16"/>
  <c r="K8" i="16"/>
  <c r="K22" i="16"/>
  <c r="K7" i="16"/>
  <c r="J8" i="16"/>
  <c r="J9" i="16"/>
  <c r="J22" i="16"/>
  <c r="J28" i="16"/>
  <c r="J29" i="16"/>
  <c r="K10" i="16"/>
  <c r="K29" i="16"/>
  <c r="J10" i="16"/>
  <c r="J7" i="16"/>
  <c r="K28" i="16"/>
  <c r="E37" i="13" l="1"/>
  <c r="E37" i="37"/>
  <c r="E36" i="13"/>
  <c r="E36" i="37"/>
  <c r="L126" i="33"/>
  <c r="H77" i="29"/>
  <c r="D126" i="4"/>
  <c r="C47" i="4"/>
  <c r="E47" i="91" s="1"/>
  <c r="C77" i="4"/>
  <c r="C98" i="4"/>
  <c r="E119" i="4"/>
  <c r="F111" i="4"/>
  <c r="E77" i="4"/>
  <c r="B111" i="4"/>
  <c r="B32" i="10" s="1"/>
  <c r="E98" i="4"/>
  <c r="B119" i="4"/>
  <c r="B43" i="10" s="1"/>
  <c r="B47" i="4"/>
  <c r="B11" i="10" s="1"/>
  <c r="C53" i="4"/>
  <c r="C111" i="4"/>
  <c r="C56" i="4"/>
  <c r="B77" i="4"/>
  <c r="B56" i="4"/>
  <c r="B49" i="10" s="1"/>
  <c r="B98" i="4"/>
  <c r="F77" i="4"/>
  <c r="E87" i="4"/>
  <c r="C87" i="4"/>
  <c r="E111" i="4"/>
  <c r="F32" i="10" s="1"/>
  <c r="E66" i="4"/>
  <c r="F87" i="4"/>
  <c r="F66" i="4"/>
  <c r="B53" i="4"/>
  <c r="B38" i="10" s="1"/>
  <c r="F98" i="4"/>
  <c r="B66" i="4"/>
  <c r="B87" i="4"/>
  <c r="B22" i="10" s="1"/>
  <c r="C66" i="4"/>
  <c r="F119" i="4"/>
  <c r="C119" i="4"/>
  <c r="G114" i="4"/>
  <c r="G125" i="4"/>
  <c r="K77" i="33"/>
  <c r="G89" i="4"/>
  <c r="E48" i="81"/>
  <c r="G112" i="4"/>
  <c r="G109" i="4"/>
  <c r="G79" i="4"/>
  <c r="M58" i="8"/>
  <c r="G51" i="9"/>
  <c r="M61" i="8"/>
  <c r="G54" i="9"/>
  <c r="M70" i="8"/>
  <c r="G64" i="9"/>
  <c r="M65" i="8"/>
  <c r="M68" i="8"/>
  <c r="M69" i="8"/>
  <c r="G63" i="9"/>
  <c r="M60" i="8"/>
  <c r="G45" i="9"/>
  <c r="G68" i="4"/>
  <c r="G116" i="4"/>
  <c r="G113" i="4"/>
  <c r="G107" i="4"/>
  <c r="G24" i="10"/>
  <c r="C25" i="10"/>
  <c r="G23" i="10"/>
  <c r="C15" i="10"/>
  <c r="G15" i="10"/>
  <c r="C16" i="10"/>
  <c r="C14" i="10"/>
  <c r="G20" i="10"/>
  <c r="G13" i="10"/>
  <c r="G9" i="10"/>
  <c r="C26" i="10"/>
  <c r="N66" i="8"/>
  <c r="H59" i="9"/>
  <c r="C9" i="10"/>
  <c r="C23" i="10"/>
  <c r="C20" i="10"/>
  <c r="C24" i="10"/>
  <c r="C13" i="10"/>
  <c r="G14" i="10"/>
  <c r="G25" i="10"/>
  <c r="G117" i="4"/>
  <c r="G124" i="4"/>
  <c r="G86" i="4"/>
  <c r="G96" i="4"/>
  <c r="G108" i="4"/>
  <c r="F13" i="10"/>
  <c r="G100" i="4"/>
  <c r="G121" i="4"/>
  <c r="G75" i="4"/>
  <c r="N56" i="8"/>
  <c r="H48" i="9"/>
  <c r="F23" i="10"/>
  <c r="M56" i="8"/>
  <c r="D28" i="4"/>
  <c r="N53" i="8"/>
  <c r="M53" i="8"/>
  <c r="M73" i="8"/>
  <c r="L86" i="23"/>
  <c r="E9" i="79"/>
  <c r="E114" i="79"/>
  <c r="E57" i="78"/>
  <c r="E122" i="79"/>
  <c r="E7" i="79"/>
  <c r="E48" i="78"/>
  <c r="E48" i="79"/>
  <c r="E54" i="78"/>
  <c r="E8" i="79"/>
  <c r="E10" i="79"/>
  <c r="E28" i="79"/>
  <c r="H11" i="9"/>
  <c r="N55" i="8" s="1"/>
  <c r="G11" i="9"/>
  <c r="N73" i="8"/>
  <c r="D34" i="4"/>
  <c r="E48" i="77"/>
  <c r="E55" i="77"/>
  <c r="E49" i="77"/>
  <c r="E54" i="77"/>
  <c r="L107" i="23"/>
  <c r="B11" i="9"/>
  <c r="M10" i="8" s="1"/>
  <c r="H77" i="33"/>
  <c r="L10" i="22"/>
  <c r="L29" i="51"/>
  <c r="N124" i="8"/>
  <c r="E28" i="16"/>
  <c r="H53" i="9"/>
  <c r="N60" i="8"/>
  <c r="E28" i="51"/>
  <c r="M67" i="8"/>
  <c r="M59" i="8"/>
  <c r="E28" i="29"/>
  <c r="M63" i="8"/>
  <c r="E28" i="23"/>
  <c r="E28" i="20"/>
  <c r="E28" i="25"/>
  <c r="M57" i="8"/>
  <c r="M124" i="8"/>
  <c r="I9" i="9"/>
  <c r="K98" i="33"/>
  <c r="C11" i="9"/>
  <c r="L22" i="51"/>
  <c r="D47" i="39"/>
  <c r="L7" i="51"/>
  <c r="E34" i="33"/>
  <c r="E34" i="37"/>
  <c r="E34" i="13"/>
  <c r="E34" i="29"/>
  <c r="L110" i="33"/>
  <c r="E8" i="74"/>
  <c r="E7" i="72"/>
  <c r="E7" i="74"/>
  <c r="E48" i="72"/>
  <c r="E48" i="74"/>
  <c r="E28" i="37"/>
  <c r="E28" i="13"/>
  <c r="D35" i="4"/>
  <c r="C29" i="9"/>
  <c r="N28" i="8" s="1"/>
  <c r="D53" i="40"/>
  <c r="L28" i="51"/>
  <c r="L10" i="51"/>
  <c r="E35" i="13"/>
  <c r="E35" i="37"/>
  <c r="E35" i="33"/>
  <c r="B34" i="10"/>
  <c r="H77" i="13"/>
  <c r="B42" i="10"/>
  <c r="D29" i="4"/>
  <c r="E9" i="72"/>
  <c r="E8" i="72"/>
  <c r="D37" i="4"/>
  <c r="D36" i="4"/>
  <c r="I33" i="29"/>
  <c r="B31" i="10"/>
  <c r="D110" i="4"/>
  <c r="L10" i="25"/>
  <c r="L122" i="33"/>
  <c r="L135" i="26"/>
  <c r="D122" i="4"/>
  <c r="L121" i="13"/>
  <c r="L108" i="33"/>
  <c r="E48" i="37"/>
  <c r="I11" i="37"/>
  <c r="E54" i="37"/>
  <c r="I34" i="37"/>
  <c r="I117" i="37"/>
  <c r="E22" i="37"/>
  <c r="I109" i="37"/>
  <c r="E7" i="37"/>
  <c r="E134" i="37"/>
  <c r="E55" i="37"/>
  <c r="I89" i="37"/>
  <c r="I10" i="37"/>
  <c r="I125" i="37"/>
  <c r="I124" i="37"/>
  <c r="I113" i="37"/>
  <c r="I68" i="37"/>
  <c r="E137" i="37"/>
  <c r="I96" i="37"/>
  <c r="E75" i="37"/>
  <c r="E49" i="37"/>
  <c r="I100" i="37"/>
  <c r="E89" i="37"/>
  <c r="D114" i="4"/>
  <c r="I12" i="37"/>
  <c r="I22" i="37"/>
  <c r="I121" i="37"/>
  <c r="I29" i="37"/>
  <c r="I79" i="37"/>
  <c r="I116" i="37"/>
  <c r="I35" i="37"/>
  <c r="I75" i="37"/>
  <c r="E135" i="37"/>
  <c r="I112" i="37"/>
  <c r="I108" i="37"/>
  <c r="E10" i="37"/>
  <c r="E57" i="37"/>
  <c r="I7" i="37"/>
  <c r="E96" i="37"/>
  <c r="E136" i="37"/>
  <c r="L114" i="33"/>
  <c r="H77" i="23"/>
  <c r="K77" i="23"/>
  <c r="D47" i="21"/>
  <c r="D47" i="20"/>
  <c r="L107" i="29"/>
  <c r="L134" i="26"/>
  <c r="L109" i="23"/>
  <c r="L113" i="33"/>
  <c r="L12" i="33"/>
  <c r="D56" i="22"/>
  <c r="E100" i="37"/>
  <c r="E122" i="37"/>
  <c r="E78" i="37"/>
  <c r="E114" i="37"/>
  <c r="E9" i="37"/>
  <c r="E124" i="37"/>
  <c r="E8" i="37"/>
  <c r="E67" i="37"/>
  <c r="E109" i="37"/>
  <c r="E116" i="37"/>
  <c r="E125" i="37"/>
  <c r="E99" i="37"/>
  <c r="E112" i="37"/>
  <c r="E110" i="37"/>
  <c r="E107" i="37"/>
  <c r="E88" i="37"/>
  <c r="E86" i="37"/>
  <c r="E108" i="37"/>
  <c r="E120" i="37"/>
  <c r="D47" i="38"/>
  <c r="L96" i="33"/>
  <c r="L113" i="29"/>
  <c r="L89" i="23"/>
  <c r="L75" i="33"/>
  <c r="L68" i="33"/>
  <c r="L68" i="23"/>
  <c r="H98" i="29"/>
  <c r="K98" i="29"/>
  <c r="L22" i="23"/>
  <c r="L120" i="33"/>
  <c r="K87" i="29"/>
  <c r="L137" i="26"/>
  <c r="D47" i="40"/>
  <c r="L28" i="23"/>
  <c r="L12" i="29"/>
  <c r="D53" i="13"/>
  <c r="K87" i="33"/>
  <c r="K87" i="23"/>
  <c r="L89" i="33"/>
  <c r="H87" i="29"/>
  <c r="L135" i="34"/>
  <c r="L10" i="29"/>
  <c r="L7" i="33"/>
  <c r="H66" i="23"/>
  <c r="L35" i="29"/>
  <c r="D56" i="39"/>
  <c r="L11" i="29"/>
  <c r="H111" i="13"/>
  <c r="L35" i="23"/>
  <c r="N123" i="8"/>
  <c r="N102" i="8"/>
  <c r="C22" i="9"/>
  <c r="N21" i="8" s="1"/>
  <c r="C12" i="9"/>
  <c r="C20" i="9"/>
  <c r="N19" i="8" s="1"/>
  <c r="C26" i="9"/>
  <c r="N25" i="8" s="1"/>
  <c r="K111" i="13"/>
  <c r="L107" i="33"/>
  <c r="L100" i="33"/>
  <c r="M102" i="8"/>
  <c r="L108" i="13"/>
  <c r="D56" i="40"/>
  <c r="N126" i="8"/>
  <c r="H119" i="23"/>
  <c r="L116" i="33"/>
  <c r="C17" i="9"/>
  <c r="N16" i="8" s="1"/>
  <c r="D53" i="22"/>
  <c r="L35" i="33"/>
  <c r="L8" i="16"/>
  <c r="L67" i="29"/>
  <c r="L29" i="20"/>
  <c r="L116" i="23"/>
  <c r="L108" i="23"/>
  <c r="L28" i="25"/>
  <c r="L9" i="16"/>
  <c r="H98" i="13"/>
  <c r="K111" i="29"/>
  <c r="L7" i="16"/>
  <c r="D53" i="16"/>
  <c r="D56" i="25"/>
  <c r="L117" i="33"/>
  <c r="L12" i="13"/>
  <c r="D56" i="16"/>
  <c r="N122" i="8"/>
  <c r="L99" i="23"/>
  <c r="L7" i="20"/>
  <c r="K119" i="13"/>
  <c r="M103" i="8"/>
  <c r="K66" i="23"/>
  <c r="L11" i="33"/>
  <c r="H119" i="13"/>
  <c r="L22" i="16"/>
  <c r="L29" i="16"/>
  <c r="C13" i="9"/>
  <c r="N12" i="8" s="1"/>
  <c r="L10" i="16"/>
  <c r="D47" i="16"/>
  <c r="L28" i="16"/>
  <c r="N125" i="8"/>
  <c r="L7" i="13"/>
  <c r="B27" i="9"/>
  <c r="M26" i="8" s="1"/>
  <c r="M104" i="8"/>
  <c r="M125" i="8"/>
  <c r="N101" i="8"/>
  <c r="N127" i="8"/>
  <c r="C27" i="9"/>
  <c r="N26" i="8" s="1"/>
  <c r="C18" i="9"/>
  <c r="N17" i="8" s="1"/>
  <c r="M101" i="8"/>
  <c r="B9" i="9"/>
  <c r="B14" i="9"/>
  <c r="M13" i="8" s="1"/>
  <c r="M105" i="8"/>
  <c r="H119" i="33"/>
  <c r="L125" i="33"/>
  <c r="L121" i="23"/>
  <c r="M123" i="8"/>
  <c r="L116" i="13"/>
  <c r="N104" i="8"/>
  <c r="L10" i="33"/>
  <c r="C16" i="9"/>
  <c r="N15" i="8" s="1"/>
  <c r="B16" i="9"/>
  <c r="M15" i="8" s="1"/>
  <c r="L22" i="13"/>
  <c r="L107" i="13"/>
  <c r="L10" i="13"/>
  <c r="L121" i="33"/>
  <c r="C24" i="9"/>
  <c r="N23" i="8" s="1"/>
  <c r="H87" i="23"/>
  <c r="L7" i="23"/>
  <c r="H87" i="33"/>
  <c r="L120" i="29"/>
  <c r="D47" i="22"/>
  <c r="L11" i="23"/>
  <c r="L117" i="29"/>
  <c r="K119" i="23"/>
  <c r="L34" i="13"/>
  <c r="M126" i="8"/>
  <c r="B18" i="9"/>
  <c r="M17" i="8" s="1"/>
  <c r="B17" i="9"/>
  <c r="M16" i="8" s="1"/>
  <c r="M100" i="8"/>
  <c r="L11" i="13"/>
  <c r="C9" i="9"/>
  <c r="N8" i="8" s="1"/>
  <c r="C28" i="9"/>
  <c r="N27" i="8" s="1"/>
  <c r="E48" i="39"/>
  <c r="E48" i="16"/>
  <c r="I89" i="13"/>
  <c r="I89" i="29"/>
  <c r="I89" i="33"/>
  <c r="I89" i="23"/>
  <c r="I35" i="23"/>
  <c r="I35" i="29"/>
  <c r="I35" i="33"/>
  <c r="I35" i="13"/>
  <c r="G42" i="10"/>
  <c r="I134" i="26"/>
  <c r="I10" i="23"/>
  <c r="I10" i="29"/>
  <c r="I10" i="33"/>
  <c r="I10" i="13"/>
  <c r="E49" i="39"/>
  <c r="E49" i="16"/>
  <c r="I23" i="33"/>
  <c r="I23" i="13"/>
  <c r="I23" i="29"/>
  <c r="E54" i="39"/>
  <c r="E54" i="16"/>
  <c r="I114" i="33"/>
  <c r="C31" i="10"/>
  <c r="G44" i="10"/>
  <c r="C41" i="10"/>
  <c r="I110" i="33"/>
  <c r="I86" i="23"/>
  <c r="I86" i="29"/>
  <c r="I86" i="33"/>
  <c r="C33" i="10"/>
  <c r="H15" i="9"/>
  <c r="N58" i="8" s="1"/>
  <c r="B13" i="9"/>
  <c r="M12" i="8" s="1"/>
  <c r="M127" i="8"/>
  <c r="H61" i="9"/>
  <c r="N100" i="8"/>
  <c r="I29" i="33"/>
  <c r="I29" i="23"/>
  <c r="I29" i="29"/>
  <c r="I29" i="13"/>
  <c r="I25" i="29"/>
  <c r="I25" i="33"/>
  <c r="I25" i="13"/>
  <c r="I30" i="23"/>
  <c r="I30" i="29"/>
  <c r="I30" i="33"/>
  <c r="I30" i="13"/>
  <c r="C30" i="10"/>
  <c r="I107" i="13"/>
  <c r="I107" i="23"/>
  <c r="I107" i="29"/>
  <c r="I107" i="33"/>
  <c r="C44" i="10"/>
  <c r="I75" i="33"/>
  <c r="I32" i="13"/>
  <c r="I32" i="23"/>
  <c r="I32" i="29"/>
  <c r="I32" i="33"/>
  <c r="I100" i="13"/>
  <c r="I100" i="23"/>
  <c r="I100" i="29"/>
  <c r="I100" i="33"/>
  <c r="I22" i="23"/>
  <c r="I22" i="29"/>
  <c r="I22" i="33"/>
  <c r="I22" i="13"/>
  <c r="C34" i="10"/>
  <c r="I121" i="13"/>
  <c r="I121" i="23"/>
  <c r="I121" i="33"/>
  <c r="I121" i="29"/>
  <c r="I113" i="23"/>
  <c r="I113" i="13"/>
  <c r="I113" i="33"/>
  <c r="I113" i="29"/>
  <c r="I108" i="13"/>
  <c r="I108" i="33"/>
  <c r="N103" i="8"/>
  <c r="B37" i="9"/>
  <c r="B12" i="9"/>
  <c r="B29" i="9"/>
  <c r="M28" i="8" s="1"/>
  <c r="G39" i="9"/>
  <c r="G62" i="9" s="1"/>
  <c r="H18" i="9"/>
  <c r="N61" i="8" s="1"/>
  <c r="C14" i="9"/>
  <c r="N13" i="8" s="1"/>
  <c r="B28" i="9"/>
  <c r="M27" i="8" s="1"/>
  <c r="H26" i="9"/>
  <c r="N68" i="8" s="1"/>
  <c r="B36" i="9"/>
  <c r="I106" i="23"/>
  <c r="I106" i="13"/>
  <c r="I106" i="29"/>
  <c r="I106" i="33"/>
  <c r="I136" i="26"/>
  <c r="G33" i="10"/>
  <c r="I7" i="29"/>
  <c r="I7" i="33"/>
  <c r="I7" i="23"/>
  <c r="I7" i="13"/>
  <c r="B45" i="10"/>
  <c r="I91" i="13"/>
  <c r="I31" i="13"/>
  <c r="I31" i="33"/>
  <c r="I31" i="23"/>
  <c r="I31" i="29"/>
  <c r="C45" i="10"/>
  <c r="C42" i="10"/>
  <c r="I24" i="13"/>
  <c r="I24" i="33"/>
  <c r="I24" i="23"/>
  <c r="B26" i="9"/>
  <c r="M25" i="8" s="1"/>
  <c r="H14" i="9"/>
  <c r="M122" i="8"/>
  <c r="B40" i="9"/>
  <c r="N105" i="8"/>
  <c r="C15" i="9"/>
  <c r="N14" i="8" s="1"/>
  <c r="H28" i="9"/>
  <c r="N70" i="8" s="1"/>
  <c r="I74" i="13"/>
  <c r="I74" i="23"/>
  <c r="I74" i="29"/>
  <c r="I74" i="33"/>
  <c r="I85" i="13"/>
  <c r="I85" i="29"/>
  <c r="I85" i="23"/>
  <c r="I85" i="33"/>
  <c r="F44" i="10"/>
  <c r="I135" i="26"/>
  <c r="I96" i="33"/>
  <c r="I68" i="23"/>
  <c r="I68" i="29"/>
  <c r="I68" i="33"/>
  <c r="I68" i="13"/>
  <c r="I95" i="13"/>
  <c r="I95" i="23"/>
  <c r="I95" i="29"/>
  <c r="I95" i="33"/>
  <c r="G136" i="4"/>
  <c r="F33" i="10"/>
  <c r="I79" i="13"/>
  <c r="I79" i="23"/>
  <c r="I79" i="33"/>
  <c r="I79" i="29"/>
  <c r="I109" i="13"/>
  <c r="I109" i="29"/>
  <c r="I109" i="23"/>
  <c r="I109" i="33"/>
  <c r="I12" i="29"/>
  <c r="I12" i="33"/>
  <c r="I12" i="23"/>
  <c r="I12" i="13"/>
  <c r="G41" i="10"/>
  <c r="I11" i="13"/>
  <c r="I11" i="23"/>
  <c r="I11" i="33"/>
  <c r="G30" i="10"/>
  <c r="I11" i="29"/>
  <c r="I125" i="13"/>
  <c r="I125" i="23"/>
  <c r="I125" i="29"/>
  <c r="I125" i="33"/>
  <c r="I34" i="13"/>
  <c r="I34" i="23"/>
  <c r="I34" i="29"/>
  <c r="I34" i="33"/>
  <c r="G31" i="10"/>
  <c r="D96" i="4"/>
  <c r="I117" i="13"/>
  <c r="I117" i="23"/>
  <c r="I117" i="29"/>
  <c r="I117" i="33"/>
  <c r="D75" i="4"/>
  <c r="E57" i="39"/>
  <c r="E57" i="16"/>
  <c r="L120" i="23"/>
  <c r="L67" i="23"/>
  <c r="H98" i="33"/>
  <c r="L100" i="13"/>
  <c r="D53" i="39"/>
  <c r="L109" i="29"/>
  <c r="L7" i="29"/>
  <c r="L28" i="29"/>
  <c r="L117" i="23"/>
  <c r="H98" i="23"/>
  <c r="L10" i="20"/>
  <c r="K98" i="13"/>
  <c r="L29" i="13"/>
  <c r="G37" i="9"/>
  <c r="G53" i="9" s="1"/>
  <c r="B15" i="9"/>
  <c r="M14" i="8" s="1"/>
  <c r="G38" i="9"/>
  <c r="G58" i="9" s="1"/>
  <c r="B20" i="9"/>
  <c r="M19" i="8" s="1"/>
  <c r="H13" i="9"/>
  <c r="N57" i="8" s="1"/>
  <c r="B24" i="9"/>
  <c r="M23" i="8" s="1"/>
  <c r="N30" i="8"/>
  <c r="H24" i="9"/>
  <c r="N67" i="8" s="1"/>
  <c r="B22" i="9"/>
  <c r="M21" i="8" s="1"/>
  <c r="H22" i="9"/>
  <c r="N65" i="8" s="1"/>
  <c r="L22" i="20"/>
  <c r="L109" i="33"/>
  <c r="L99" i="33"/>
  <c r="H111" i="29"/>
  <c r="L10" i="23"/>
  <c r="L28" i="13"/>
  <c r="D56" i="13"/>
  <c r="L99" i="29"/>
  <c r="K119" i="33"/>
  <c r="L88" i="33"/>
  <c r="L79" i="33"/>
  <c r="L34" i="29"/>
  <c r="H66" i="33"/>
  <c r="L78" i="33"/>
  <c r="L67" i="13"/>
  <c r="L109" i="13"/>
  <c r="L112" i="13"/>
  <c r="L35" i="13"/>
  <c r="L79" i="29"/>
  <c r="L86" i="29"/>
  <c r="L7" i="22"/>
  <c r="K66" i="33"/>
  <c r="L89" i="29"/>
  <c r="L12" i="23"/>
  <c r="H87" i="13"/>
  <c r="L120" i="13"/>
  <c r="L68" i="13"/>
  <c r="L7" i="25"/>
  <c r="L134" i="34"/>
  <c r="L108" i="29"/>
  <c r="D53" i="25"/>
  <c r="L112" i="33"/>
  <c r="L29" i="33"/>
  <c r="L121" i="29"/>
  <c r="L29" i="29"/>
  <c r="H111" i="23"/>
  <c r="L68" i="29"/>
  <c r="L136" i="26"/>
  <c r="D47" i="25"/>
  <c r="L112" i="23"/>
  <c r="L113" i="13"/>
  <c r="L117" i="13"/>
  <c r="L86" i="33"/>
  <c r="H119" i="29"/>
  <c r="L100" i="29"/>
  <c r="L34" i="33"/>
  <c r="L125" i="29"/>
  <c r="L88" i="29"/>
  <c r="L78" i="29"/>
  <c r="L88" i="23"/>
  <c r="L125" i="23"/>
  <c r="L113" i="23"/>
  <c r="H111" i="33"/>
  <c r="D47" i="51"/>
  <c r="D47" i="26"/>
  <c r="L29" i="23"/>
  <c r="L28" i="20"/>
  <c r="L100" i="23"/>
  <c r="L79" i="23"/>
  <c r="L67" i="33"/>
  <c r="L22" i="33"/>
  <c r="L22" i="29"/>
  <c r="J77" i="29"/>
  <c r="K98" i="23"/>
  <c r="L78" i="23"/>
  <c r="L34" i="23"/>
  <c r="L124" i="13"/>
  <c r="L79" i="13"/>
  <c r="L89" i="13"/>
  <c r="L99" i="13"/>
  <c r="L125" i="13"/>
  <c r="L78" i="13"/>
  <c r="K66" i="13"/>
  <c r="L86" i="13"/>
  <c r="K87" i="13"/>
  <c r="J77" i="13"/>
  <c r="L88" i="13"/>
  <c r="H66" i="13"/>
  <c r="D47" i="13"/>
  <c r="D66" i="33"/>
  <c r="J66" i="33"/>
  <c r="J98" i="23"/>
  <c r="D98" i="23"/>
  <c r="D111" i="33"/>
  <c r="J111" i="33"/>
  <c r="D66" i="13"/>
  <c r="J66" i="13"/>
  <c r="K111" i="33"/>
  <c r="J111" i="29"/>
  <c r="J111" i="23"/>
  <c r="D111" i="23"/>
  <c r="J87" i="13"/>
  <c r="D87" i="13"/>
  <c r="J119" i="33"/>
  <c r="D119" i="33"/>
  <c r="D77" i="29"/>
  <c r="K77" i="29"/>
  <c r="D77" i="13"/>
  <c r="K77" i="13"/>
  <c r="J66" i="29"/>
  <c r="J87" i="33"/>
  <c r="D87" i="33"/>
  <c r="D119" i="29"/>
  <c r="J119" i="29"/>
  <c r="D98" i="33"/>
  <c r="J98" i="33"/>
  <c r="J87" i="29"/>
  <c r="D87" i="29"/>
  <c r="J87" i="23"/>
  <c r="D87" i="23"/>
  <c r="K119" i="29"/>
  <c r="K111" i="23"/>
  <c r="D119" i="13"/>
  <c r="J119" i="13"/>
  <c r="D98" i="13"/>
  <c r="J98" i="13"/>
  <c r="D111" i="13"/>
  <c r="J111" i="13"/>
  <c r="J98" i="29"/>
  <c r="D98" i="29"/>
  <c r="H66" i="29"/>
  <c r="D119" i="23"/>
  <c r="J119" i="23"/>
  <c r="J66" i="23"/>
  <c r="D66" i="23"/>
  <c r="D77" i="33"/>
  <c r="J77" i="33"/>
  <c r="J77" i="23"/>
  <c r="D77" i="23"/>
  <c r="D66" i="29"/>
  <c r="K66" i="29"/>
  <c r="E48" i="38"/>
  <c r="E88" i="33"/>
  <c r="E108" i="33"/>
  <c r="E22" i="33"/>
  <c r="E99" i="33"/>
  <c r="E9" i="33"/>
  <c r="E110" i="33"/>
  <c r="E122" i="33"/>
  <c r="E75" i="33"/>
  <c r="E126" i="33"/>
  <c r="E116" i="33"/>
  <c r="E10" i="33"/>
  <c r="E79" i="33"/>
  <c r="E7" i="33"/>
  <c r="E89" i="33"/>
  <c r="E100" i="33"/>
  <c r="E125" i="33"/>
  <c r="E68" i="33"/>
  <c r="E96" i="33"/>
  <c r="E8" i="33"/>
  <c r="E78" i="33"/>
  <c r="E67" i="33"/>
  <c r="E112" i="33"/>
  <c r="E109" i="33"/>
  <c r="E114" i="33"/>
  <c r="E121" i="33"/>
  <c r="E120" i="33"/>
  <c r="E113" i="33"/>
  <c r="E99" i="29"/>
  <c r="E9" i="29"/>
  <c r="E86" i="29"/>
  <c r="E134" i="34"/>
  <c r="E68" i="29"/>
  <c r="E88" i="29"/>
  <c r="E108" i="29"/>
  <c r="E22" i="29"/>
  <c r="E10" i="29"/>
  <c r="E79" i="29"/>
  <c r="E135" i="34"/>
  <c r="E7" i="29"/>
  <c r="E89" i="29"/>
  <c r="E100" i="29"/>
  <c r="E107" i="29"/>
  <c r="E8" i="29"/>
  <c r="E78" i="29"/>
  <c r="E67" i="29"/>
  <c r="E109" i="29"/>
  <c r="E120" i="29"/>
  <c r="E48" i="40"/>
  <c r="E57" i="40"/>
  <c r="E54" i="40"/>
  <c r="E9" i="51"/>
  <c r="E48" i="51"/>
  <c r="E22" i="51"/>
  <c r="E10" i="51"/>
  <c r="E7" i="51"/>
  <c r="E8" i="51"/>
  <c r="E9" i="25"/>
  <c r="E10" i="25"/>
  <c r="E57" i="25"/>
  <c r="E48" i="25"/>
  <c r="E137" i="26"/>
  <c r="E49" i="26"/>
  <c r="E54" i="25"/>
  <c r="E135" i="26"/>
  <c r="E7" i="25"/>
  <c r="E136" i="26"/>
  <c r="E134" i="26"/>
  <c r="E8" i="25"/>
  <c r="E99" i="23"/>
  <c r="E86" i="23"/>
  <c r="E88" i="23"/>
  <c r="E108" i="23"/>
  <c r="E116" i="23"/>
  <c r="E22" i="23"/>
  <c r="E107" i="23"/>
  <c r="E78" i="23"/>
  <c r="E67" i="23"/>
  <c r="E112" i="23"/>
  <c r="E120" i="23"/>
  <c r="E9" i="22"/>
  <c r="E48" i="21"/>
  <c r="E48" i="22"/>
  <c r="E10" i="22"/>
  <c r="E57" i="21"/>
  <c r="E57" i="22"/>
  <c r="E49" i="22"/>
  <c r="E54" i="22"/>
  <c r="E7" i="22"/>
  <c r="E8" i="22"/>
  <c r="E22" i="20"/>
  <c r="E10" i="20"/>
  <c r="E54" i="20"/>
  <c r="E7" i="20"/>
  <c r="E9" i="20"/>
  <c r="E48" i="20"/>
  <c r="E8" i="20"/>
  <c r="E99" i="13"/>
  <c r="E9" i="13"/>
  <c r="E48" i="13"/>
  <c r="E86" i="13"/>
  <c r="E88" i="13"/>
  <c r="E124" i="13"/>
  <c r="E108" i="13"/>
  <c r="E116" i="13"/>
  <c r="E22" i="13"/>
  <c r="E10" i="13"/>
  <c r="E57" i="13"/>
  <c r="E11" i="13"/>
  <c r="E54" i="13"/>
  <c r="E7" i="13"/>
  <c r="E89" i="13"/>
  <c r="E100" i="13"/>
  <c r="E107" i="13"/>
  <c r="E12" i="13"/>
  <c r="E8" i="13"/>
  <c r="E78" i="13"/>
  <c r="E67" i="13"/>
  <c r="E112" i="13"/>
  <c r="E109" i="13"/>
  <c r="E120" i="13"/>
  <c r="D116" i="4"/>
  <c r="D108" i="4"/>
  <c r="D124" i="4"/>
  <c r="D125" i="4"/>
  <c r="D109" i="4"/>
  <c r="E22" i="16"/>
  <c r="E9" i="16"/>
  <c r="D22" i="4"/>
  <c r="D136" i="4"/>
  <c r="D57" i="4"/>
  <c r="E10" i="16"/>
  <c r="G22" i="4"/>
  <c r="D113" i="4"/>
  <c r="D137" i="4"/>
  <c r="D10" i="4"/>
  <c r="D112" i="4"/>
  <c r="D55" i="4"/>
  <c r="D120" i="4"/>
  <c r="D7" i="4"/>
  <c r="E7" i="16"/>
  <c r="D68" i="4"/>
  <c r="D8" i="4"/>
  <c r="E8" i="16"/>
  <c r="D134" i="4"/>
  <c r="G7" i="4"/>
  <c r="D48" i="4"/>
  <c r="D54" i="4"/>
  <c r="D49" i="4"/>
  <c r="D12" i="4"/>
  <c r="D11" i="4"/>
  <c r="G12" i="4"/>
  <c r="G34" i="4"/>
  <c r="D121" i="4"/>
  <c r="G11" i="4"/>
  <c r="H22" i="4"/>
  <c r="G29" i="4"/>
  <c r="D67" i="4"/>
  <c r="D100" i="4"/>
  <c r="D58" i="4"/>
  <c r="G10" i="4"/>
  <c r="D89" i="4"/>
  <c r="G35" i="4"/>
  <c r="D99" i="4"/>
  <c r="D86" i="4"/>
  <c r="D107" i="4"/>
  <c r="D135" i="4"/>
  <c r="G135" i="4"/>
  <c r="G134" i="4"/>
  <c r="D78" i="4"/>
  <c r="D88" i="4"/>
  <c r="D79" i="4"/>
  <c r="D9" i="4"/>
  <c r="L77" i="33" l="1"/>
  <c r="M55" i="8"/>
  <c r="G47" i="9"/>
  <c r="G68" i="9" s="1"/>
  <c r="G12" i="10"/>
  <c r="G22" i="10"/>
  <c r="C12" i="10"/>
  <c r="C22" i="10"/>
  <c r="C11" i="10"/>
  <c r="E47" i="81"/>
  <c r="G77" i="4"/>
  <c r="G87" i="4"/>
  <c r="G111" i="4"/>
  <c r="G119" i="4"/>
  <c r="G98" i="4"/>
  <c r="F43" i="10"/>
  <c r="M11" i="8"/>
  <c r="B48" i="9"/>
  <c r="N11" i="8"/>
  <c r="C48" i="9"/>
  <c r="C32" i="9"/>
  <c r="E19" i="9" s="1"/>
  <c r="H32" i="9"/>
  <c r="M8" i="8"/>
  <c r="B32" i="9"/>
  <c r="G32" i="9"/>
  <c r="M30" i="8"/>
  <c r="E66" i="79"/>
  <c r="E111" i="79"/>
  <c r="E56" i="78"/>
  <c r="E53" i="78"/>
  <c r="E47" i="78"/>
  <c r="E47" i="79"/>
  <c r="E119" i="79"/>
  <c r="E87" i="79"/>
  <c r="I11" i="9"/>
  <c r="H47" i="9"/>
  <c r="E47" i="77"/>
  <c r="E53" i="77"/>
  <c r="B47" i="9"/>
  <c r="L98" i="33"/>
  <c r="C47" i="9"/>
  <c r="N10" i="8"/>
  <c r="D11" i="9"/>
  <c r="E47" i="72"/>
  <c r="E47" i="74"/>
  <c r="L77" i="23"/>
  <c r="I77" i="29"/>
  <c r="I77" i="23"/>
  <c r="I77" i="13"/>
  <c r="I77" i="33"/>
  <c r="E56" i="37"/>
  <c r="I111" i="37"/>
  <c r="E119" i="37"/>
  <c r="I119" i="37"/>
  <c r="E47" i="37"/>
  <c r="I87" i="37"/>
  <c r="E111" i="37"/>
  <c r="E53" i="37"/>
  <c r="I66" i="37"/>
  <c r="I77" i="37"/>
  <c r="L87" i="29"/>
  <c r="E97" i="33"/>
  <c r="E97" i="29"/>
  <c r="E97" i="37"/>
  <c r="E97" i="13"/>
  <c r="I98" i="37"/>
  <c r="L119" i="13"/>
  <c r="E66" i="37"/>
  <c r="E87" i="33"/>
  <c r="E87" i="37"/>
  <c r="E98" i="37"/>
  <c r="E77" i="37"/>
  <c r="L111" i="29"/>
  <c r="L111" i="13"/>
  <c r="L87" i="33"/>
  <c r="L98" i="29"/>
  <c r="L119" i="23"/>
  <c r="L87" i="23"/>
  <c r="L98" i="23"/>
  <c r="E87" i="13"/>
  <c r="E87" i="23"/>
  <c r="D98" i="4"/>
  <c r="E98" i="29"/>
  <c r="E98" i="33"/>
  <c r="L119" i="33"/>
  <c r="L98" i="13"/>
  <c r="L66" i="33"/>
  <c r="L66" i="23"/>
  <c r="L66" i="13"/>
  <c r="E66" i="23"/>
  <c r="E66" i="13"/>
  <c r="E66" i="29"/>
  <c r="E66" i="33"/>
  <c r="L111" i="33"/>
  <c r="D87" i="4"/>
  <c r="E98" i="23"/>
  <c r="E87" i="29"/>
  <c r="I90" i="13"/>
  <c r="I90" i="29"/>
  <c r="C43" i="10"/>
  <c r="I119" i="13"/>
  <c r="I119" i="23"/>
  <c r="I119" i="29"/>
  <c r="I119" i="33"/>
  <c r="G43" i="10"/>
  <c r="F22" i="10"/>
  <c r="I98" i="13"/>
  <c r="I98" i="23"/>
  <c r="I98" i="29"/>
  <c r="I98" i="33"/>
  <c r="D66" i="4"/>
  <c r="B12" i="10"/>
  <c r="I66" i="13"/>
  <c r="I66" i="29"/>
  <c r="I66" i="33"/>
  <c r="I66" i="23"/>
  <c r="G66" i="4"/>
  <c r="F12" i="10"/>
  <c r="E53" i="39"/>
  <c r="C38" i="10"/>
  <c r="E53" i="16"/>
  <c r="I72" i="13"/>
  <c r="I72" i="23"/>
  <c r="I72" i="29"/>
  <c r="I72" i="33"/>
  <c r="I83" i="13"/>
  <c r="I83" i="23"/>
  <c r="I83" i="29"/>
  <c r="I83" i="33"/>
  <c r="I93" i="13"/>
  <c r="I93" i="23"/>
  <c r="I93" i="33"/>
  <c r="I93" i="29"/>
  <c r="I104" i="13"/>
  <c r="I104" i="23"/>
  <c r="I104" i="29"/>
  <c r="I104" i="33"/>
  <c r="I111" i="13"/>
  <c r="I111" i="23"/>
  <c r="I111" i="29"/>
  <c r="I111" i="33"/>
  <c r="G32" i="10"/>
  <c r="E56" i="39"/>
  <c r="E56" i="16"/>
  <c r="C49" i="10"/>
  <c r="C32" i="10"/>
  <c r="E47" i="39"/>
  <c r="E47" i="16"/>
  <c r="I87" i="13"/>
  <c r="I87" i="29"/>
  <c r="I87" i="23"/>
  <c r="I87" i="33"/>
  <c r="L87" i="13"/>
  <c r="L119" i="29"/>
  <c r="L66" i="29"/>
  <c r="L77" i="29"/>
  <c r="L111" i="23"/>
  <c r="E98" i="13"/>
  <c r="L77" i="13"/>
  <c r="E47" i="38"/>
  <c r="E77" i="33"/>
  <c r="E111" i="33"/>
  <c r="E119" i="33"/>
  <c r="E119" i="29"/>
  <c r="E77" i="29"/>
  <c r="E53" i="40"/>
  <c r="E56" i="40"/>
  <c r="E47" i="40"/>
  <c r="E47" i="51"/>
  <c r="E53" i="25"/>
  <c r="E47" i="25"/>
  <c r="E47" i="26"/>
  <c r="E56" i="25"/>
  <c r="E119" i="23"/>
  <c r="E77" i="23"/>
  <c r="E111" i="23"/>
  <c r="E56" i="21"/>
  <c r="E56" i="22"/>
  <c r="E47" i="21"/>
  <c r="E47" i="22"/>
  <c r="E53" i="22"/>
  <c r="E53" i="20"/>
  <c r="E47" i="20"/>
  <c r="E53" i="13"/>
  <c r="E77" i="13"/>
  <c r="E56" i="13"/>
  <c r="E111" i="13"/>
  <c r="E47" i="13"/>
  <c r="E119" i="13"/>
  <c r="D111" i="4"/>
  <c r="D77" i="4"/>
  <c r="D119" i="4"/>
  <c r="D53" i="4"/>
  <c r="D56" i="4"/>
  <c r="D47" i="4"/>
  <c r="J23" i="9" l="1"/>
  <c r="J19" i="9"/>
  <c r="E21" i="9"/>
  <c r="E23" i="9"/>
  <c r="J28" i="9"/>
  <c r="J14" i="9"/>
  <c r="J27" i="9"/>
  <c r="J10" i="9"/>
  <c r="J25" i="9"/>
  <c r="J9" i="9"/>
  <c r="J31" i="9"/>
  <c r="J22" i="9"/>
  <c r="J24" i="9"/>
  <c r="J15" i="9"/>
  <c r="J30" i="9"/>
  <c r="J21" i="9"/>
  <c r="J13" i="9"/>
  <c r="J11" i="9"/>
  <c r="J17" i="9"/>
  <c r="J26" i="9"/>
  <c r="J29" i="9"/>
  <c r="J20" i="9"/>
  <c r="J12" i="9"/>
  <c r="J18" i="9"/>
  <c r="J16" i="9"/>
  <c r="I47" i="9"/>
  <c r="D47" i="9"/>
  <c r="C60" i="10"/>
  <c r="H71" i="4"/>
  <c r="H92" i="4"/>
  <c r="H107" i="4"/>
  <c r="H106" i="4"/>
  <c r="H85" i="4"/>
  <c r="H114" i="4"/>
  <c r="H116" i="4"/>
  <c r="H95" i="4"/>
  <c r="H74" i="4"/>
  <c r="H91" i="4"/>
  <c r="H104" i="4"/>
  <c r="H93" i="4"/>
  <c r="H28" i="4"/>
  <c r="J32" i="9" l="1"/>
  <c r="H98" i="4"/>
  <c r="H117" i="4"/>
  <c r="H99" i="4"/>
  <c r="H24" i="4"/>
  <c r="H90" i="4"/>
  <c r="H72" i="4"/>
  <c r="H78" i="4"/>
  <c r="D9" i="10"/>
  <c r="H124" i="4"/>
  <c r="H112" i="4"/>
  <c r="H88" i="4"/>
  <c r="H9" i="4"/>
  <c r="H8" i="4"/>
  <c r="H79" i="4"/>
  <c r="H83" i="4"/>
  <c r="H122" i="4"/>
  <c r="H14" i="10"/>
  <c r="H37" i="4"/>
  <c r="H121" i="4"/>
  <c r="I121" i="4"/>
  <c r="I112" i="4"/>
  <c r="I9" i="4"/>
  <c r="M9" i="91" s="1"/>
  <c r="I109" i="4"/>
  <c r="K49" i="10"/>
  <c r="H113" i="4"/>
  <c r="I93" i="4"/>
  <c r="I108" i="4"/>
  <c r="H11" i="4"/>
  <c r="I85" i="4"/>
  <c r="I122" i="4"/>
  <c r="I79" i="4"/>
  <c r="I100" i="4"/>
  <c r="I104" i="4"/>
  <c r="H110" i="4"/>
  <c r="H25" i="4"/>
  <c r="H125" i="4"/>
  <c r="H86" i="4"/>
  <c r="H42" i="10"/>
  <c r="H21" i="10"/>
  <c r="I120" i="4"/>
  <c r="I28" i="4"/>
  <c r="H109" i="4"/>
  <c r="I32" i="4"/>
  <c r="I67" i="4"/>
  <c r="K11" i="10"/>
  <c r="I23" i="4"/>
  <c r="H22" i="10"/>
  <c r="H108" i="4"/>
  <c r="I95" i="4"/>
  <c r="H10" i="4"/>
  <c r="I126" i="4"/>
  <c r="I77" i="4"/>
  <c r="I88" i="4"/>
  <c r="I91" i="4"/>
  <c r="I117" i="4"/>
  <c r="H67" i="4"/>
  <c r="H12" i="10"/>
  <c r="I116" i="4"/>
  <c r="H120" i="4"/>
  <c r="I110" i="4"/>
  <c r="I113" i="4"/>
  <c r="I69" i="4"/>
  <c r="I90" i="4"/>
  <c r="I78" i="4"/>
  <c r="K26" i="10"/>
  <c r="I98" i="4"/>
  <c r="I99" i="4"/>
  <c r="K9" i="10"/>
  <c r="H77" i="4"/>
  <c r="I92" i="4"/>
  <c r="H24" i="10"/>
  <c r="I31" i="4"/>
  <c r="I24" i="4"/>
  <c r="H69" i="4"/>
  <c r="H126" i="4"/>
  <c r="K16" i="10"/>
  <c r="I72" i="4"/>
  <c r="I30" i="4"/>
  <c r="H36" i="4"/>
  <c r="K45" i="10"/>
  <c r="I107" i="4"/>
  <c r="I74" i="4"/>
  <c r="I8" i="4"/>
  <c r="I114" i="4"/>
  <c r="I83" i="4"/>
  <c r="I86" i="4"/>
  <c r="I106" i="4"/>
  <c r="H10" i="10"/>
  <c r="I124" i="4"/>
  <c r="H100" i="4"/>
  <c r="H7" i="4"/>
  <c r="H23" i="4"/>
  <c r="H15" i="10"/>
  <c r="I71" i="4"/>
  <c r="I125" i="4"/>
  <c r="J126" i="4" l="1"/>
  <c r="M28" i="79"/>
  <c r="M114" i="79"/>
  <c r="M23" i="79"/>
  <c r="M8" i="79"/>
  <c r="M122" i="79"/>
  <c r="M30" i="79"/>
  <c r="M9" i="79"/>
  <c r="M9" i="72"/>
  <c r="M8" i="72"/>
  <c r="M8" i="74"/>
  <c r="J91" i="4"/>
  <c r="J106" i="4"/>
  <c r="J95" i="4"/>
  <c r="J71" i="4"/>
  <c r="J74" i="4"/>
  <c r="J92" i="4"/>
  <c r="J93" i="4"/>
  <c r="J104" i="4"/>
  <c r="J85" i="4"/>
  <c r="J69" i="4"/>
  <c r="J83" i="4"/>
  <c r="J23" i="4"/>
  <c r="J72" i="4"/>
  <c r="J90" i="4"/>
  <c r="J24" i="4"/>
  <c r="J110" i="4"/>
  <c r="M67" i="37"/>
  <c r="M106" i="37"/>
  <c r="M107" i="37"/>
  <c r="M32" i="37"/>
  <c r="M79" i="37"/>
  <c r="M124" i="37"/>
  <c r="M88" i="37"/>
  <c r="M78" i="37"/>
  <c r="M100" i="37"/>
  <c r="M86" i="37"/>
  <c r="M122" i="37"/>
  <c r="M109" i="37"/>
  <c r="M74" i="37"/>
  <c r="M83" i="37"/>
  <c r="M99" i="37"/>
  <c r="M113" i="37"/>
  <c r="M117" i="37"/>
  <c r="M95" i="37"/>
  <c r="M28" i="37"/>
  <c r="M85" i="37"/>
  <c r="M72" i="37"/>
  <c r="M114" i="37"/>
  <c r="M110" i="37"/>
  <c r="M9" i="37"/>
  <c r="M31" i="37"/>
  <c r="M8" i="37"/>
  <c r="M24" i="37"/>
  <c r="M108" i="37"/>
  <c r="M112" i="37"/>
  <c r="J122" i="4"/>
  <c r="M23" i="37"/>
  <c r="M93" i="37"/>
  <c r="M121" i="37"/>
  <c r="M125" i="37"/>
  <c r="M30" i="37"/>
  <c r="M116" i="37"/>
  <c r="M120" i="37"/>
  <c r="M104" i="37"/>
  <c r="J114" i="4"/>
  <c r="M98" i="37"/>
  <c r="M97" i="37"/>
  <c r="M97" i="13"/>
  <c r="M97" i="29"/>
  <c r="M97" i="33"/>
  <c r="M77" i="37"/>
  <c r="M106" i="13"/>
  <c r="M106" i="23"/>
  <c r="M106" i="29"/>
  <c r="M106" i="33"/>
  <c r="M83" i="13"/>
  <c r="M83" i="33"/>
  <c r="M83" i="23"/>
  <c r="M83" i="29"/>
  <c r="M74" i="13"/>
  <c r="M74" i="33"/>
  <c r="M74" i="23"/>
  <c r="M74" i="29"/>
  <c r="M24" i="13"/>
  <c r="M24" i="23"/>
  <c r="M24" i="33"/>
  <c r="M24" i="29"/>
  <c r="M88" i="13"/>
  <c r="M88" i="29"/>
  <c r="M88" i="23"/>
  <c r="M88" i="33"/>
  <c r="J28" i="4"/>
  <c r="M28" i="20"/>
  <c r="M28" i="25"/>
  <c r="M28" i="23"/>
  <c r="M28" i="51"/>
  <c r="M28" i="29"/>
  <c r="M28" i="16"/>
  <c r="M28" i="13"/>
  <c r="M85" i="13"/>
  <c r="M85" i="23"/>
  <c r="M85" i="29"/>
  <c r="M85" i="33"/>
  <c r="M121" i="23"/>
  <c r="M121" i="13"/>
  <c r="M121" i="29"/>
  <c r="M121" i="33"/>
  <c r="M125" i="23"/>
  <c r="M125" i="13"/>
  <c r="M125" i="29"/>
  <c r="M125" i="33"/>
  <c r="M124" i="13"/>
  <c r="M114" i="33"/>
  <c r="M72" i="13"/>
  <c r="M72" i="23"/>
  <c r="M72" i="33"/>
  <c r="M72" i="29"/>
  <c r="M31" i="23"/>
  <c r="M31" i="13"/>
  <c r="M31" i="29"/>
  <c r="M31" i="33"/>
  <c r="M78" i="23"/>
  <c r="M78" i="13"/>
  <c r="M78" i="29"/>
  <c r="M78" i="33"/>
  <c r="M113" i="23"/>
  <c r="M113" i="13"/>
  <c r="M113" i="29"/>
  <c r="M113" i="33"/>
  <c r="J116" i="4"/>
  <c r="M116" i="13"/>
  <c r="M116" i="23"/>
  <c r="M116" i="33"/>
  <c r="M117" i="23"/>
  <c r="M117" i="13"/>
  <c r="M117" i="29"/>
  <c r="M117" i="33"/>
  <c r="M23" i="20"/>
  <c r="M23" i="23"/>
  <c r="M23" i="13"/>
  <c r="M23" i="29"/>
  <c r="M23" i="33"/>
  <c r="M32" i="13"/>
  <c r="M32" i="33"/>
  <c r="M32" i="23"/>
  <c r="M32" i="29"/>
  <c r="M104" i="13"/>
  <c r="M104" i="23"/>
  <c r="M104" i="33"/>
  <c r="M104" i="29"/>
  <c r="M79" i="13"/>
  <c r="M79" i="23"/>
  <c r="M79" i="33"/>
  <c r="M79" i="29"/>
  <c r="M8" i="20"/>
  <c r="M8" i="13"/>
  <c r="M8" i="22"/>
  <c r="M8" i="51"/>
  <c r="M8" i="25"/>
  <c r="M8" i="29"/>
  <c r="M8" i="33"/>
  <c r="M8" i="16"/>
  <c r="M30" i="20"/>
  <c r="M30" i="13"/>
  <c r="M30" i="23"/>
  <c r="M30" i="33"/>
  <c r="M30" i="29"/>
  <c r="M30" i="16"/>
  <c r="M99" i="23"/>
  <c r="M99" i="29"/>
  <c r="M99" i="13"/>
  <c r="M99" i="33"/>
  <c r="M110" i="33"/>
  <c r="M95" i="13"/>
  <c r="M95" i="23"/>
  <c r="M95" i="33"/>
  <c r="M95" i="29"/>
  <c r="M120" i="13"/>
  <c r="M120" i="23"/>
  <c r="M120" i="29"/>
  <c r="M120" i="33"/>
  <c r="M100" i="13"/>
  <c r="M100" i="29"/>
  <c r="M100" i="33"/>
  <c r="M100" i="23"/>
  <c r="M122" i="33"/>
  <c r="M108" i="13"/>
  <c r="M108" i="23"/>
  <c r="M108" i="33"/>
  <c r="M108" i="29"/>
  <c r="M9" i="25"/>
  <c r="M9" i="20"/>
  <c r="M9" i="22"/>
  <c r="M9" i="51"/>
  <c r="M9" i="13"/>
  <c r="M9" i="16"/>
  <c r="M9" i="29"/>
  <c r="M9" i="33"/>
  <c r="M86" i="23"/>
  <c r="M86" i="29"/>
  <c r="M86" i="13"/>
  <c r="M86" i="33"/>
  <c r="J107" i="4"/>
  <c r="M107" i="23"/>
  <c r="M107" i="13"/>
  <c r="M107" i="29"/>
  <c r="M107" i="33"/>
  <c r="M98" i="13"/>
  <c r="M98" i="23"/>
  <c r="M98" i="29"/>
  <c r="M98" i="33"/>
  <c r="M90" i="13"/>
  <c r="M90" i="29"/>
  <c r="M91" i="13"/>
  <c r="M77" i="13"/>
  <c r="M77" i="23"/>
  <c r="M77" i="29"/>
  <c r="M77" i="33"/>
  <c r="M126" i="33"/>
  <c r="M67" i="13"/>
  <c r="M67" i="23"/>
  <c r="M67" i="29"/>
  <c r="M67" i="33"/>
  <c r="M93" i="13"/>
  <c r="M93" i="23"/>
  <c r="M93" i="29"/>
  <c r="M93" i="33"/>
  <c r="M109" i="13"/>
  <c r="M109" i="23"/>
  <c r="M109" i="29"/>
  <c r="M109" i="33"/>
  <c r="M112" i="13"/>
  <c r="M112" i="23"/>
  <c r="M112" i="33"/>
  <c r="J108" i="4"/>
  <c r="M38" i="8"/>
  <c r="D38" i="9"/>
  <c r="H60" i="9"/>
  <c r="N40" i="8"/>
  <c r="I14" i="9"/>
  <c r="B65" i="9"/>
  <c r="D29" i="9"/>
  <c r="D13" i="9"/>
  <c r="B49" i="9"/>
  <c r="D20" i="9"/>
  <c r="B56" i="9"/>
  <c r="B41" i="9"/>
  <c r="I22" i="9"/>
  <c r="H49" i="9"/>
  <c r="B64" i="9"/>
  <c r="D28" i="9"/>
  <c r="I17" i="9"/>
  <c r="N38" i="8"/>
  <c r="C56" i="9"/>
  <c r="B53" i="9"/>
  <c r="D17" i="9"/>
  <c r="H50" i="9"/>
  <c r="N37" i="8"/>
  <c r="N36" i="8"/>
  <c r="C63" i="9"/>
  <c r="N39" i="8"/>
  <c r="M40" i="8"/>
  <c r="D40" i="9"/>
  <c r="B63" i="9"/>
  <c r="I31" i="9"/>
  <c r="C45" i="9"/>
  <c r="M85" i="8"/>
  <c r="I35" i="9"/>
  <c r="H52" i="9"/>
  <c r="D39" i="9"/>
  <c r="M39" i="8"/>
  <c r="H56" i="9"/>
  <c r="I18" i="9"/>
  <c r="D12" i="9"/>
  <c r="B60" i="9"/>
  <c r="D24" i="9"/>
  <c r="C53" i="9"/>
  <c r="D31" i="9"/>
  <c r="D9" i="9"/>
  <c r="B45" i="9"/>
  <c r="M86" i="8"/>
  <c r="I36" i="9"/>
  <c r="I26" i="9"/>
  <c r="H62" i="9"/>
  <c r="H63" i="9"/>
  <c r="N90" i="8"/>
  <c r="H58" i="9"/>
  <c r="N86" i="8"/>
  <c r="H45" i="9"/>
  <c r="C50" i="9"/>
  <c r="I38" i="9"/>
  <c r="M88" i="8"/>
  <c r="N88" i="8"/>
  <c r="C65" i="9"/>
  <c r="C62" i="9"/>
  <c r="D18" i="9"/>
  <c r="B54" i="9"/>
  <c r="C51" i="9"/>
  <c r="N89" i="8"/>
  <c r="C41" i="9"/>
  <c r="M37" i="8"/>
  <c r="D37" i="9"/>
  <c r="I24" i="9"/>
  <c r="B58" i="9"/>
  <c r="D22" i="9"/>
  <c r="D35" i="9"/>
  <c r="M35" i="8"/>
  <c r="N87" i="8"/>
  <c r="D27" i="9"/>
  <c r="H41" i="9"/>
  <c r="C60" i="9"/>
  <c r="N35" i="8"/>
  <c r="B51" i="9"/>
  <c r="D15" i="9"/>
  <c r="C54" i="9"/>
  <c r="N85" i="8"/>
  <c r="C64" i="9"/>
  <c r="I37" i="9"/>
  <c r="M87" i="8"/>
  <c r="C49" i="9"/>
  <c r="G41" i="9"/>
  <c r="F27" i="10" s="1"/>
  <c r="D26" i="9"/>
  <c r="B62" i="9"/>
  <c r="H51" i="9"/>
  <c r="M89" i="8"/>
  <c r="I39" i="9"/>
  <c r="H54" i="9"/>
  <c r="D16" i="9"/>
  <c r="B52" i="9"/>
  <c r="H64" i="9"/>
  <c r="C52" i="9"/>
  <c r="M90" i="8"/>
  <c r="I40" i="9"/>
  <c r="I16" i="9"/>
  <c r="M36" i="8"/>
  <c r="D36" i="9"/>
  <c r="D25" i="9"/>
  <c r="B50" i="9"/>
  <c r="D14" i="9"/>
  <c r="I12" i="9"/>
  <c r="I27" i="9"/>
  <c r="I15" i="9"/>
  <c r="C58" i="9"/>
  <c r="J109" i="4"/>
  <c r="J117" i="4"/>
  <c r="J125" i="4"/>
  <c r="J124" i="4"/>
  <c r="J120" i="4"/>
  <c r="J8" i="4"/>
  <c r="J112" i="4"/>
  <c r="J78" i="4"/>
  <c r="J9" i="4"/>
  <c r="J67" i="4"/>
  <c r="J86" i="4"/>
  <c r="J113" i="4"/>
  <c r="J88" i="4"/>
  <c r="J99" i="4"/>
  <c r="J100" i="4"/>
  <c r="J121" i="4"/>
  <c r="J77" i="4"/>
  <c r="J79" i="4"/>
  <c r="J98" i="4"/>
  <c r="K21" i="10"/>
  <c r="H75" i="4"/>
  <c r="H25" i="10"/>
  <c r="G55" i="10"/>
  <c r="H136" i="4"/>
  <c r="H96" i="4"/>
  <c r="K42" i="10"/>
  <c r="G53" i="10"/>
  <c r="H29" i="4"/>
  <c r="H89" i="4"/>
  <c r="K12" i="10"/>
  <c r="K14" i="10"/>
  <c r="K23" i="10"/>
  <c r="H87" i="4"/>
  <c r="H111" i="4"/>
  <c r="K44" i="10"/>
  <c r="K24" i="10"/>
  <c r="G46" i="10"/>
  <c r="H43" i="10"/>
  <c r="H31" i="4"/>
  <c r="J31" i="4" s="1"/>
  <c r="H32" i="4"/>
  <c r="J32" i="4" s="1"/>
  <c r="J10" i="10"/>
  <c r="D10" i="10"/>
  <c r="J24" i="10"/>
  <c r="D24" i="10"/>
  <c r="B60" i="10"/>
  <c r="D38" i="10"/>
  <c r="J38" i="10"/>
  <c r="I37" i="4"/>
  <c r="F55" i="10"/>
  <c r="H33" i="10"/>
  <c r="D23" i="10"/>
  <c r="J23" i="10"/>
  <c r="H34" i="4"/>
  <c r="H134" i="4"/>
  <c r="J14" i="10"/>
  <c r="D14" i="10"/>
  <c r="I87" i="4"/>
  <c r="J11" i="10"/>
  <c r="L11" i="10" s="1"/>
  <c r="D11" i="10"/>
  <c r="K32" i="10"/>
  <c r="C54" i="10"/>
  <c r="K15" i="10"/>
  <c r="H41" i="10"/>
  <c r="F46" i="10"/>
  <c r="D42" i="10"/>
  <c r="J42" i="10"/>
  <c r="C52" i="10"/>
  <c r="C35" i="10"/>
  <c r="K30" i="10"/>
  <c r="H23" i="10"/>
  <c r="K25" i="10"/>
  <c r="D33" i="10"/>
  <c r="B55" i="10"/>
  <c r="J33" i="10"/>
  <c r="J45" i="10"/>
  <c r="J16" i="10"/>
  <c r="L16" i="10" s="1"/>
  <c r="D16" i="10"/>
  <c r="I75" i="4"/>
  <c r="I137" i="4"/>
  <c r="D22" i="10"/>
  <c r="J22" i="10"/>
  <c r="G54" i="10"/>
  <c r="J31" i="10"/>
  <c r="B53" i="10"/>
  <c r="D31" i="10"/>
  <c r="J15" i="10"/>
  <c r="D15" i="10"/>
  <c r="I96" i="4"/>
  <c r="H20" i="10"/>
  <c r="K22" i="10"/>
  <c r="K10" i="10"/>
  <c r="D44" i="10"/>
  <c r="J44" i="10"/>
  <c r="I111" i="4"/>
  <c r="C55" i="10"/>
  <c r="K33" i="10"/>
  <c r="J13" i="10"/>
  <c r="D13" i="10"/>
  <c r="K13" i="10"/>
  <c r="H35" i="4"/>
  <c r="C56" i="10"/>
  <c r="K56" i="10" s="1"/>
  <c r="K34" i="10"/>
  <c r="I119" i="4"/>
  <c r="F35" i="10"/>
  <c r="F52" i="10"/>
  <c r="H30" i="10"/>
  <c r="I135" i="4"/>
  <c r="I29" i="4"/>
  <c r="H31" i="10"/>
  <c r="F53" i="10"/>
  <c r="I89" i="4"/>
  <c r="J32" i="10"/>
  <c r="D32" i="10"/>
  <c r="B54" i="10"/>
  <c r="I66" i="4"/>
  <c r="J20" i="10"/>
  <c r="D20" i="10"/>
  <c r="B56" i="10"/>
  <c r="J34" i="10"/>
  <c r="H66" i="4"/>
  <c r="H32" i="10"/>
  <c r="F54" i="10"/>
  <c r="I22" i="4"/>
  <c r="K41" i="10"/>
  <c r="C46" i="10"/>
  <c r="H119" i="4"/>
  <c r="H137" i="4"/>
  <c r="I136" i="4"/>
  <c r="H68" i="4"/>
  <c r="I68" i="4"/>
  <c r="K43" i="10"/>
  <c r="I10" i="4"/>
  <c r="M10" i="91" s="1"/>
  <c r="H135" i="4"/>
  <c r="H12" i="4"/>
  <c r="J26" i="10"/>
  <c r="L26" i="10" s="1"/>
  <c r="D26" i="10"/>
  <c r="I34" i="4"/>
  <c r="H9" i="10"/>
  <c r="J9" i="10"/>
  <c r="L9" i="10" s="1"/>
  <c r="J49" i="10"/>
  <c r="L49" i="10" s="1"/>
  <c r="D49" i="10"/>
  <c r="D21" i="10"/>
  <c r="J21" i="10"/>
  <c r="I36" i="4"/>
  <c r="B35" i="10"/>
  <c r="J30" i="10"/>
  <c r="B52" i="10"/>
  <c r="D30" i="10"/>
  <c r="I7" i="4"/>
  <c r="M7" i="91" s="1"/>
  <c r="K60" i="10"/>
  <c r="K38" i="10"/>
  <c r="H13" i="10"/>
  <c r="G35" i="10"/>
  <c r="G52" i="10"/>
  <c r="I35" i="4"/>
  <c r="D12" i="10"/>
  <c r="J12" i="10"/>
  <c r="I12" i="4"/>
  <c r="D43" i="10"/>
  <c r="J43" i="10"/>
  <c r="I134" i="4"/>
  <c r="I11" i="4"/>
  <c r="K20" i="10"/>
  <c r="D25" i="10"/>
  <c r="J25" i="10"/>
  <c r="D41" i="10"/>
  <c r="J41" i="10"/>
  <c r="B46" i="10"/>
  <c r="K31" i="10"/>
  <c r="C53" i="10"/>
  <c r="L37" i="9"/>
  <c r="B68" i="9" l="1"/>
  <c r="H68" i="9"/>
  <c r="J55" i="9" s="1"/>
  <c r="M119" i="79"/>
  <c r="M111" i="79"/>
  <c r="M37" i="79"/>
  <c r="M36" i="79"/>
  <c r="M22" i="79"/>
  <c r="M29" i="79"/>
  <c r="M10" i="79"/>
  <c r="M66" i="79"/>
  <c r="M7" i="79"/>
  <c r="M87" i="79"/>
  <c r="J66" i="9"/>
  <c r="B17" i="10"/>
  <c r="L14" i="9"/>
  <c r="M27" i="9"/>
  <c r="J57" i="9" l="1"/>
  <c r="J59" i="9"/>
  <c r="J46" i="9"/>
  <c r="M7" i="72"/>
  <c r="M7" i="74"/>
  <c r="J37" i="9"/>
  <c r="L28" i="9"/>
  <c r="M37" i="9"/>
  <c r="O31" i="9"/>
  <c r="N24" i="9"/>
  <c r="N40" i="9"/>
  <c r="M31" i="9"/>
  <c r="N27" i="9"/>
  <c r="N39" i="9"/>
  <c r="L15" i="9"/>
  <c r="L24" i="9"/>
  <c r="N16" i="9"/>
  <c r="N11" i="9"/>
  <c r="M17" i="9"/>
  <c r="L29" i="9"/>
  <c r="L13" i="9"/>
  <c r="N22" i="9"/>
  <c r="O14" i="9"/>
  <c r="O28" i="9"/>
  <c r="L16" i="9"/>
  <c r="L27" i="9"/>
  <c r="N20" i="9"/>
  <c r="O29" i="9"/>
  <c r="O24" i="9"/>
  <c r="O25" i="9"/>
  <c r="O9" i="9"/>
  <c r="L35" i="9"/>
  <c r="M29" i="9"/>
  <c r="L38" i="9"/>
  <c r="N37" i="9"/>
  <c r="L18" i="9"/>
  <c r="O16" i="9"/>
  <c r="M22" i="9"/>
  <c r="M18" i="9"/>
  <c r="N26" i="9"/>
  <c r="N14" i="9"/>
  <c r="N31" i="9"/>
  <c r="L25" i="9"/>
  <c r="O22" i="9"/>
  <c r="L22" i="9"/>
  <c r="M9" i="9"/>
  <c r="N9" i="9"/>
  <c r="N38" i="9"/>
  <c r="O26" i="9"/>
  <c r="O17" i="9"/>
  <c r="N17" i="9"/>
  <c r="M15" i="9"/>
  <c r="O11" i="9"/>
  <c r="N25" i="9"/>
  <c r="O40" i="9"/>
  <c r="N35" i="9"/>
  <c r="M13" i="9"/>
  <c r="O27" i="9"/>
  <c r="N29" i="9"/>
  <c r="M36" i="9"/>
  <c r="L20" i="9"/>
  <c r="O15" i="9"/>
  <c r="M20" i="9"/>
  <c r="O35" i="9"/>
  <c r="O13" i="9"/>
  <c r="O18" i="9"/>
  <c r="L26" i="9"/>
  <c r="M35" i="9"/>
  <c r="N36" i="9"/>
  <c r="O30" i="9"/>
  <c r="M11" i="9"/>
  <c r="L17" i="9"/>
  <c r="L40" i="9"/>
  <c r="O39" i="9"/>
  <c r="L36" i="9"/>
  <c r="N28" i="9"/>
  <c r="M14" i="9"/>
  <c r="L31" i="9"/>
  <c r="M28" i="9"/>
  <c r="L11" i="9"/>
  <c r="O37" i="9"/>
  <c r="O36" i="9"/>
  <c r="N18" i="9"/>
  <c r="O38" i="9"/>
  <c r="M25" i="9"/>
  <c r="O20" i="9"/>
  <c r="N30" i="9"/>
  <c r="M24" i="9"/>
  <c r="N13" i="9"/>
  <c r="M30" i="9"/>
  <c r="L9" i="9"/>
  <c r="N15" i="9"/>
  <c r="M38" i="9"/>
  <c r="M26" i="9"/>
  <c r="M16" i="9"/>
  <c r="M40" i="9"/>
  <c r="L39" i="9"/>
  <c r="M39" i="9"/>
  <c r="J25" i="4" l="1"/>
  <c r="M33" i="29"/>
  <c r="M35" i="37"/>
  <c r="M22" i="37"/>
  <c r="M29" i="37"/>
  <c r="M135" i="37"/>
  <c r="M37" i="37"/>
  <c r="M137" i="37"/>
  <c r="M66" i="37"/>
  <c r="M111" i="37"/>
  <c r="M10" i="37"/>
  <c r="M136" i="37"/>
  <c r="M75" i="37"/>
  <c r="M134" i="37"/>
  <c r="M36" i="37"/>
  <c r="M12" i="37"/>
  <c r="M89" i="37"/>
  <c r="M87" i="37"/>
  <c r="M25" i="37"/>
  <c r="M11" i="37"/>
  <c r="M7" i="37"/>
  <c r="M34" i="37"/>
  <c r="M119" i="37"/>
  <c r="M68" i="37"/>
  <c r="M96" i="37"/>
  <c r="L24" i="10"/>
  <c r="L14" i="10"/>
  <c r="J75" i="4"/>
  <c r="J96" i="4"/>
  <c r="L15" i="10"/>
  <c r="L45" i="9"/>
  <c r="M41" i="9"/>
  <c r="M63" i="9"/>
  <c r="O62" i="9"/>
  <c r="L49" i="9"/>
  <c r="M45" i="9"/>
  <c r="M51" i="9"/>
  <c r="O51" i="9"/>
  <c r="N54" i="9"/>
  <c r="O65" i="9"/>
  <c r="O50" i="9"/>
  <c r="M54" i="9"/>
  <c r="N51" i="9"/>
  <c r="N48" i="9"/>
  <c r="O64" i="9"/>
  <c r="M62" i="9"/>
  <c r="L60" i="9"/>
  <c r="L52" i="9"/>
  <c r="L58" i="9"/>
  <c r="M67" i="9"/>
  <c r="L64" i="9"/>
  <c r="M32" i="9"/>
  <c r="O49" i="9"/>
  <c r="L41" i="9"/>
  <c r="L48" i="9"/>
  <c r="M65" i="9"/>
  <c r="N32" i="9"/>
  <c r="M56" i="9"/>
  <c r="O41" i="9"/>
  <c r="N50" i="9"/>
  <c r="O45" i="9"/>
  <c r="L54" i="9"/>
  <c r="N65" i="9"/>
  <c r="M58" i="9"/>
  <c r="O58" i="9"/>
  <c r="N63" i="9"/>
  <c r="O53" i="9"/>
  <c r="L56" i="9"/>
  <c r="L63" i="9"/>
  <c r="N60" i="9"/>
  <c r="N49" i="9"/>
  <c r="O54" i="9"/>
  <c r="O67" i="9"/>
  <c r="O63" i="9"/>
  <c r="L53" i="9"/>
  <c r="O60" i="9"/>
  <c r="N45" i="9"/>
  <c r="L67" i="9"/>
  <c r="M64" i="9"/>
  <c r="N58" i="9"/>
  <c r="M49" i="9"/>
  <c r="O32" i="9"/>
  <c r="M52" i="9"/>
  <c r="M53" i="9"/>
  <c r="N64" i="9"/>
  <c r="L62" i="9"/>
  <c r="M48" i="9"/>
  <c r="M50" i="9"/>
  <c r="N41" i="9"/>
  <c r="N56" i="9"/>
  <c r="N67" i="9"/>
  <c r="N53" i="9"/>
  <c r="L32" i="9"/>
  <c r="M60" i="9"/>
  <c r="L50" i="9"/>
  <c r="O52" i="9"/>
  <c r="O48" i="9"/>
  <c r="N62" i="9"/>
  <c r="O56" i="9"/>
  <c r="L42" i="10"/>
  <c r="J11" i="4"/>
  <c r="M11" i="13"/>
  <c r="M11" i="33"/>
  <c r="M11" i="23"/>
  <c r="M11" i="29"/>
  <c r="J10" i="4"/>
  <c r="M10" i="20"/>
  <c r="M10" i="25"/>
  <c r="M10" i="23"/>
  <c r="M10" i="22"/>
  <c r="M10" i="13"/>
  <c r="M10" i="51"/>
  <c r="M10" i="16"/>
  <c r="M10" i="29"/>
  <c r="M10" i="33"/>
  <c r="M68" i="13"/>
  <c r="M68" i="23"/>
  <c r="M68" i="29"/>
  <c r="M68" i="33"/>
  <c r="M136" i="26"/>
  <c r="M119" i="23"/>
  <c r="M119" i="13"/>
  <c r="M119" i="29"/>
  <c r="M119" i="33"/>
  <c r="M111" i="23"/>
  <c r="M111" i="29"/>
  <c r="M111" i="13"/>
  <c r="M111" i="33"/>
  <c r="J7" i="4"/>
  <c r="M7" i="13"/>
  <c r="M7" i="23"/>
  <c r="M7" i="22"/>
  <c r="M7" i="25"/>
  <c r="M7" i="20"/>
  <c r="M7" i="29"/>
  <c r="M7" i="16"/>
  <c r="M7" i="51"/>
  <c r="M7" i="33"/>
  <c r="J22" i="4"/>
  <c r="M22" i="20"/>
  <c r="M22" i="13"/>
  <c r="M22" i="51"/>
  <c r="M22" i="23"/>
  <c r="M22" i="29"/>
  <c r="M22" i="33"/>
  <c r="M22" i="16"/>
  <c r="M29" i="23"/>
  <c r="M29" i="13"/>
  <c r="M29" i="29"/>
  <c r="M29" i="51"/>
  <c r="M29" i="16"/>
  <c r="M29" i="20"/>
  <c r="M29" i="33"/>
  <c r="M137" i="26"/>
  <c r="M87" i="13"/>
  <c r="M87" i="23"/>
  <c r="M87" i="33"/>
  <c r="M87" i="29"/>
  <c r="M35" i="13"/>
  <c r="M35" i="23"/>
  <c r="M35" i="29"/>
  <c r="M35" i="33"/>
  <c r="M34" i="13"/>
  <c r="M34" i="23"/>
  <c r="M34" i="29"/>
  <c r="M34" i="33"/>
  <c r="M66" i="13"/>
  <c r="M66" i="33"/>
  <c r="M66" i="23"/>
  <c r="M66" i="29"/>
  <c r="M89" i="13"/>
  <c r="M89" i="23"/>
  <c r="M89" i="29"/>
  <c r="M89" i="33"/>
  <c r="M96" i="33"/>
  <c r="M75" i="33"/>
  <c r="J37" i="4"/>
  <c r="M37" i="13"/>
  <c r="I63" i="9"/>
  <c r="M134" i="26"/>
  <c r="M134" i="34"/>
  <c r="M12" i="13"/>
  <c r="M12" i="23"/>
  <c r="M12" i="29"/>
  <c r="M12" i="33"/>
  <c r="J36" i="4"/>
  <c r="M36" i="13"/>
  <c r="L21" i="10"/>
  <c r="H53" i="10"/>
  <c r="M135" i="26"/>
  <c r="M135" i="34"/>
  <c r="M25" i="13"/>
  <c r="M25" i="29"/>
  <c r="M25" i="33"/>
  <c r="L31" i="10"/>
  <c r="L22" i="10"/>
  <c r="L12" i="10"/>
  <c r="L10" i="10"/>
  <c r="I58" i="9"/>
  <c r="I67" i="9"/>
  <c r="I51" i="9"/>
  <c r="I48" i="9"/>
  <c r="I32" i="9"/>
  <c r="D41" i="9"/>
  <c r="G17" i="10"/>
  <c r="E36" i="9"/>
  <c r="E35" i="9"/>
  <c r="E40" i="9"/>
  <c r="E39" i="9"/>
  <c r="E38" i="9"/>
  <c r="F17" i="10"/>
  <c r="J17" i="10" s="1"/>
  <c r="E37" i="9"/>
  <c r="B27" i="10"/>
  <c r="J27" i="10" s="1"/>
  <c r="J38" i="9"/>
  <c r="G27" i="10"/>
  <c r="H27" i="10" s="1"/>
  <c r="J47" i="9"/>
  <c r="C27" i="10"/>
  <c r="J39" i="9"/>
  <c r="J35" i="9"/>
  <c r="I41" i="9"/>
  <c r="J36" i="9"/>
  <c r="J40" i="9"/>
  <c r="J119" i="4"/>
  <c r="J137" i="4"/>
  <c r="J135" i="4"/>
  <c r="J111" i="4"/>
  <c r="J12" i="4"/>
  <c r="J66" i="4"/>
  <c r="J35" i="4"/>
  <c r="J134" i="4"/>
  <c r="J34" i="4"/>
  <c r="J136" i="4"/>
  <c r="J68" i="4"/>
  <c r="J89" i="4"/>
  <c r="J87" i="4"/>
  <c r="J29" i="4"/>
  <c r="K53" i="10"/>
  <c r="K55" i="10"/>
  <c r="L44" i="10"/>
  <c r="L23" i="10"/>
  <c r="H55" i="10"/>
  <c r="L30" i="10"/>
  <c r="G57" i="10"/>
  <c r="L32" i="10"/>
  <c r="H54" i="10"/>
  <c r="L43" i="10"/>
  <c r="K46" i="10"/>
  <c r="H46" i="10"/>
  <c r="L41" i="10"/>
  <c r="L13" i="10"/>
  <c r="L25" i="10"/>
  <c r="H30" i="4"/>
  <c r="J30" i="4" s="1"/>
  <c r="K54" i="10"/>
  <c r="L38" i="10"/>
  <c r="D46" i="10"/>
  <c r="J46" i="10"/>
  <c r="D52" i="10"/>
  <c r="J52" i="10"/>
  <c r="B57" i="10"/>
  <c r="J54" i="10"/>
  <c r="D54" i="10"/>
  <c r="F57" i="10"/>
  <c r="H52" i="10"/>
  <c r="L33" i="10"/>
  <c r="K35" i="10"/>
  <c r="L20" i="10"/>
  <c r="H35" i="10"/>
  <c r="J53" i="10"/>
  <c r="D53" i="10"/>
  <c r="D55" i="10"/>
  <c r="J55" i="10"/>
  <c r="K52" i="10"/>
  <c r="C57" i="10"/>
  <c r="J60" i="10"/>
  <c r="L60" i="10" s="1"/>
  <c r="D60" i="10"/>
  <c r="J35" i="10"/>
  <c r="D35" i="10"/>
  <c r="J56" i="10"/>
  <c r="L30" i="9"/>
  <c r="N52" i="9" l="1"/>
  <c r="L51" i="9"/>
  <c r="L68" i="9" s="1"/>
  <c r="L65" i="9"/>
  <c r="J65" i="9"/>
  <c r="J61" i="9"/>
  <c r="L55" i="10"/>
  <c r="M68" i="9"/>
  <c r="O68" i="9"/>
  <c r="N68" i="9"/>
  <c r="L53" i="10"/>
  <c r="J41" i="9"/>
  <c r="I68" i="9"/>
  <c r="E41" i="9"/>
  <c r="H17" i="10"/>
  <c r="J51" i="9"/>
  <c r="J50" i="9"/>
  <c r="I50" i="9" s="1"/>
  <c r="D27" i="10"/>
  <c r="K27" i="10"/>
  <c r="L27" i="10" s="1"/>
  <c r="J53" i="9"/>
  <c r="I53" i="9" s="1"/>
  <c r="J56" i="9"/>
  <c r="J45" i="9"/>
  <c r="I45" i="9" s="1"/>
  <c r="J58" i="9"/>
  <c r="J52" i="9"/>
  <c r="I52" i="9" s="1"/>
  <c r="J60" i="9"/>
  <c r="I60" i="9" s="1"/>
  <c r="J48" i="9"/>
  <c r="J67" i="9"/>
  <c r="J64" i="9"/>
  <c r="J54" i="9"/>
  <c r="I54" i="9" s="1"/>
  <c r="J49" i="9"/>
  <c r="J62" i="9"/>
  <c r="I62" i="9" s="1"/>
  <c r="J63" i="9"/>
  <c r="K57" i="10"/>
  <c r="H57" i="10"/>
  <c r="L46" i="10"/>
  <c r="L35" i="10"/>
  <c r="L54" i="10"/>
  <c r="J57" i="10"/>
  <c r="D57" i="10"/>
  <c r="L52" i="10"/>
  <c r="J68" i="9" l="1"/>
  <c r="L57" i="10"/>
  <c r="D30" i="9" l="1"/>
  <c r="N29" i="8" l="1"/>
  <c r="C66" i="9"/>
  <c r="D66" i="9" l="1"/>
  <c r="C68" i="9"/>
  <c r="E10" i="9"/>
  <c r="E25" i="9"/>
  <c r="D32" i="9"/>
  <c r="E22" i="9"/>
  <c r="E12" i="9"/>
  <c r="E31" i="9"/>
  <c r="E18" i="9"/>
  <c r="E28" i="9"/>
  <c r="E13" i="9"/>
  <c r="E9" i="9"/>
  <c r="E24" i="9"/>
  <c r="E11" i="9"/>
  <c r="C17" i="10"/>
  <c r="K17" i="10" s="1"/>
  <c r="L17" i="10" s="1"/>
  <c r="E26" i="9"/>
  <c r="E30" i="9"/>
  <c r="E16" i="9"/>
  <c r="E20" i="9"/>
  <c r="E15" i="9"/>
  <c r="E27" i="9"/>
  <c r="E29" i="9"/>
  <c r="E14" i="9"/>
  <c r="E17" i="9"/>
  <c r="E66" i="9"/>
  <c r="E59" i="9" l="1"/>
  <c r="E55" i="9"/>
  <c r="E32" i="9"/>
  <c r="E46" i="9"/>
  <c r="E57" i="9"/>
  <c r="D68" i="9"/>
  <c r="D17" i="10"/>
  <c r="E47" i="9"/>
  <c r="E56" i="9"/>
  <c r="D56" i="9" s="1"/>
  <c r="E67" i="9"/>
  <c r="D67" i="9" s="1"/>
  <c r="E60" i="9"/>
  <c r="D60" i="9" s="1"/>
  <c r="E62" i="9"/>
  <c r="D62" i="9" s="1"/>
  <c r="E50" i="9"/>
  <c r="D50" i="9" s="1"/>
  <c r="E53" i="9"/>
  <c r="D53" i="9" s="1"/>
  <c r="E54" i="9"/>
  <c r="D54" i="9" s="1"/>
  <c r="E45" i="9"/>
  <c r="D45" i="9" s="1"/>
  <c r="E51" i="9"/>
  <c r="D51" i="9" s="1"/>
  <c r="E63" i="9"/>
  <c r="D63" i="9" s="1"/>
  <c r="E61" i="9"/>
  <c r="E48" i="9"/>
  <c r="D48" i="9" s="1"/>
  <c r="E65" i="9"/>
  <c r="D65" i="9" s="1"/>
  <c r="E52" i="9"/>
  <c r="D52" i="9" s="1"/>
  <c r="E64" i="9"/>
  <c r="D64" i="9" s="1"/>
  <c r="E49" i="9"/>
  <c r="D49" i="9" s="1"/>
  <c r="E58" i="9"/>
  <c r="D58" i="9" s="1"/>
  <c r="E68"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pørring - Data" description="Tilkobling til spørringen Data i arbeidsboken." type="5" refreshedVersion="8" background="1" refreshOnLoad="1">
    <dbPr connection="Provider=Microsoft.Mashup.OleDb.1;Data Source=$Workbook$;Location=Data;Extended Properties=&quot;&quot;" command="SELECT * FROM [Data]"/>
  </connection>
</connections>
</file>

<file path=xl/sharedStrings.xml><?xml version="1.0" encoding="utf-8"?>
<sst xmlns="http://schemas.openxmlformats.org/spreadsheetml/2006/main" count="6034" uniqueCount="501">
  <si>
    <t>INNHOLDSFORTEGNELSE</t>
  </si>
  <si>
    <t>FIGURER</t>
  </si>
  <si>
    <t>Figur 1</t>
  </si>
  <si>
    <t>Brutto forfalt premie livprodukter - produkter uten investeringsvalg</t>
  </si>
  <si>
    <t>Figur 2</t>
  </si>
  <si>
    <t>Brutto forfalt premie livprodukter - produkter med investeringsvalg</t>
  </si>
  <si>
    <t>Figur 3</t>
  </si>
  <si>
    <t>Forsikringsforpliktelser livprodukter - produkter uten investeringsvalg</t>
  </si>
  <si>
    <t>Figur 4</t>
  </si>
  <si>
    <t>Forsikringsforpliktelser livprodukter - produkter med investeringsvalg</t>
  </si>
  <si>
    <t>Figur 5</t>
  </si>
  <si>
    <t>Netto tilflytting livprodukter - produkter uten investeringsvalg</t>
  </si>
  <si>
    <t>Figur 6</t>
  </si>
  <si>
    <t>Netto tilflytting livprodukter - produkter med investeringsvalg</t>
  </si>
  <si>
    <t>TABELLER</t>
  </si>
  <si>
    <t>MARKEDSDEL</t>
  </si>
  <si>
    <t>Tabell 1.1</t>
  </si>
  <si>
    <t>Hovedtall - produkter uten  og med investeringsvalg</t>
  </si>
  <si>
    <t>Tabell 1.2</t>
  </si>
  <si>
    <t>Hovedtall - fordelt på bransjer</t>
  </si>
  <si>
    <t>Tabell 1.3</t>
  </si>
  <si>
    <t>Hovedtall - aktivaposter</t>
  </si>
  <si>
    <t>Skjema total MA</t>
  </si>
  <si>
    <t>Totalt - alle produkter</t>
  </si>
  <si>
    <t>Selskapsnavn</t>
  </si>
  <si>
    <t>Tall pr. selskap - alle produkter</t>
  </si>
  <si>
    <t>REGNSKAPSDEL</t>
  </si>
  <si>
    <t>Tabell 4</t>
  </si>
  <si>
    <t>Resultatregnskap - alle produkter</t>
  </si>
  <si>
    <t>Tabell 5.1</t>
  </si>
  <si>
    <t>Resultatanalyse - Individuell kapital og individuell pensjon - alle produkter</t>
  </si>
  <si>
    <t>Tabell 5.2</t>
  </si>
  <si>
    <t>Resultatanalyse - Kollektiv pensjon - alle produkter</t>
  </si>
  <si>
    <t>Tabell 5.3</t>
  </si>
  <si>
    <t>Resultatanalyse - Gruppeliv, ulykke o.a. og total - alle produkter</t>
  </si>
  <si>
    <t>Tabell 6</t>
  </si>
  <si>
    <t>Balanse - alle produkter</t>
  </si>
  <si>
    <t>Tabell 7a</t>
  </si>
  <si>
    <t>Spesifikasjon av post 12 - forsikringsforpliktelser - produkter uten investeringsvalg</t>
  </si>
  <si>
    <t>Tabell 7b</t>
  </si>
  <si>
    <t>Spesifikasjon post 13 forsikringsforpliktelser - produkter med investeringsvalg</t>
  </si>
  <si>
    <t>Tabell 8</t>
  </si>
  <si>
    <t>Diverse nøkkeltall - produkter uten investeringsvalg</t>
  </si>
  <si>
    <t>NOTER OG KOMMENTARER</t>
  </si>
  <si>
    <t>Tilbake</t>
  </si>
  <si>
    <t xml:space="preserve">Brutto forfalt premie livprodukter </t>
  </si>
  <si>
    <t>Produkter uten investeringsvalg</t>
  </si>
  <si>
    <t>DNB Liv</t>
  </si>
  <si>
    <t>Euro Accident</t>
  </si>
  <si>
    <t>Fremtind Livsfors</t>
  </si>
  <si>
    <t>Frende Livsfors</t>
  </si>
  <si>
    <t>Frende Skade</t>
  </si>
  <si>
    <t>Gjensidige Fors</t>
  </si>
  <si>
    <t>Gjensidige Pensj</t>
  </si>
  <si>
    <t>If Skadefors</t>
  </si>
  <si>
    <t>KLP</t>
  </si>
  <si>
    <t>KLP Skadef</t>
  </si>
  <si>
    <t>Knif Trygghet Fors.</t>
  </si>
  <si>
    <t>Landkreditt Fors.</t>
  </si>
  <si>
    <t>Ly Forsikring</t>
  </si>
  <si>
    <t>Nordea Liv</t>
  </si>
  <si>
    <t>Oslo Forsikring</t>
  </si>
  <si>
    <t>OPF</t>
  </si>
  <si>
    <t>Protector Fors</t>
  </si>
  <si>
    <t>SpareBank 1 Forsikring</t>
  </si>
  <si>
    <t>Storebrand Liv</t>
  </si>
  <si>
    <t>Telenor Fors</t>
  </si>
  <si>
    <t>Tryg Fors</t>
  </si>
  <si>
    <t>WaterCircles Fors.</t>
  </si>
  <si>
    <t>Youplus Livsf</t>
  </si>
  <si>
    <t>Produkter med investeringsvalg</t>
  </si>
  <si>
    <t>Forsikringsforpliktelser i livsforsikring</t>
  </si>
  <si>
    <t>Landkreditt Fors</t>
  </si>
  <si>
    <t>Telenor Forsikring</t>
  </si>
  <si>
    <t>Tryg Forsikring</t>
  </si>
  <si>
    <t>WaterCicles Fors.</t>
  </si>
  <si>
    <t xml:space="preserve">Netto tilflytting </t>
  </si>
  <si>
    <t>Netto tilflytting</t>
  </si>
  <si>
    <t>Markedsdel, endelig år</t>
  </si>
  <si>
    <t>Tabell 1.1 Hovedtall</t>
  </si>
  <si>
    <t>Produkter med og uten investeringsvalg</t>
  </si>
  <si>
    <r>
      <t>Brutto forfalt premie</t>
    </r>
    <r>
      <rPr>
        <sz val="14"/>
        <rFont val="Times New Roman"/>
        <family val="1"/>
      </rPr>
      <t xml:space="preserve"> </t>
    </r>
    <r>
      <rPr>
        <vertAlign val="superscript"/>
        <sz val="14"/>
        <rFont val="Times New Roman"/>
        <family val="1"/>
      </rPr>
      <t>1)</t>
    </r>
  </si>
  <si>
    <r>
      <t>Forsikringsforpliktelser</t>
    </r>
    <r>
      <rPr>
        <sz val="14"/>
        <rFont val="Times New Roman"/>
        <family val="1"/>
      </rPr>
      <t xml:space="preserve"> </t>
    </r>
    <r>
      <rPr>
        <vertAlign val="superscript"/>
        <sz val="14"/>
        <rFont val="Times New Roman"/>
        <family val="1"/>
      </rPr>
      <t>4)</t>
    </r>
  </si>
  <si>
    <t>Flytting fra andre</t>
  </si>
  <si>
    <t>Flytting til andre</t>
  </si>
  <si>
    <t>%-</t>
  </si>
  <si>
    <t>Markeds-</t>
  </si>
  <si>
    <t>Beløp i 1000  kroner</t>
  </si>
  <si>
    <t>endring</t>
  </si>
  <si>
    <t>andel</t>
  </si>
  <si>
    <t>Q10</t>
  </si>
  <si>
    <t>R10</t>
  </si>
  <si>
    <t>DNB Livsforsikring</t>
  </si>
  <si>
    <t>R7</t>
  </si>
  <si>
    <t>R11</t>
  </si>
  <si>
    <t>Fremtind Livsforsikring</t>
  </si>
  <si>
    <t>R8</t>
  </si>
  <si>
    <t>Frende Livsforsikring</t>
  </si>
  <si>
    <t>Frende Skadeforsikring</t>
  </si>
  <si>
    <t>Q9</t>
  </si>
  <si>
    <t>Gjensidige Forsikring</t>
  </si>
  <si>
    <t>R9</t>
  </si>
  <si>
    <t>Gjensidige Pensjon</t>
  </si>
  <si>
    <t>If Skadeforsikring NUF</t>
  </si>
  <si>
    <t>KLP Skadeforsikring AS</t>
  </si>
  <si>
    <t>Knif Trygghet Forsikring</t>
  </si>
  <si>
    <t>Landkreditt Forsikring</t>
  </si>
  <si>
    <t xml:space="preserve">Nordea Liv </t>
  </si>
  <si>
    <t>Oslo Pensjonsforsikring</t>
  </si>
  <si>
    <t>Protector Forsikring</t>
  </si>
  <si>
    <t>Storebrand Livsforsikring</t>
  </si>
  <si>
    <t>WaterCircles Forsikring</t>
  </si>
  <si>
    <t>Youplus Livsforsikring</t>
  </si>
  <si>
    <t>Totalt uten investeringsvalg</t>
  </si>
  <si>
    <t>Q17</t>
  </si>
  <si>
    <t>R14</t>
  </si>
  <si>
    <t>Q18</t>
  </si>
  <si>
    <t>R15</t>
  </si>
  <si>
    <t>Q16</t>
  </si>
  <si>
    <t>Totalt med investeringsvalg</t>
  </si>
  <si>
    <t>Alle produkter</t>
  </si>
  <si>
    <t>Totalt</t>
  </si>
  <si>
    <t>Noter : Se "Noter og kommentarer"</t>
  </si>
  <si>
    <t>Tabell 1.2 Hovedtall</t>
  </si>
  <si>
    <t>Fordelt på bransjer</t>
  </si>
  <si>
    <t>Totalt alle produkter</t>
  </si>
  <si>
    <t>%</t>
  </si>
  <si>
    <t>Beløp i 1000 kr.</t>
  </si>
  <si>
    <r>
      <t xml:space="preserve">Brutto forfalt premie </t>
    </r>
    <r>
      <rPr>
        <vertAlign val="superscript"/>
        <sz val="14"/>
        <rFont val="Times New Roman"/>
        <family val="1"/>
      </rPr>
      <t>1)</t>
    </r>
  </si>
  <si>
    <t xml:space="preserve">   Individuell kapitalforsikring</t>
  </si>
  <si>
    <t xml:space="preserve">   Individuell pensjonsforsikring</t>
  </si>
  <si>
    <t xml:space="preserve">   Gruppeliv</t>
  </si>
  <si>
    <t xml:space="preserve">   Privat kollektiv pensjon</t>
  </si>
  <si>
    <t xml:space="preserve">     - herav innskuddsbasert *</t>
  </si>
  <si>
    <t xml:space="preserve">     - herav etter tjenestepensjonsloven</t>
  </si>
  <si>
    <r>
      <t xml:space="preserve">   Kommunal kollektiv pensjon </t>
    </r>
    <r>
      <rPr>
        <vertAlign val="superscript"/>
        <sz val="14"/>
        <rFont val="Times New Roman"/>
        <family val="1"/>
      </rPr>
      <t>15)</t>
    </r>
  </si>
  <si>
    <t xml:space="preserve">   Foreningskollektiv</t>
  </si>
  <si>
    <t>Totalt brutto forfalt premie</t>
  </si>
  <si>
    <r>
      <t xml:space="preserve">Forsikringsforpliktelser </t>
    </r>
    <r>
      <rPr>
        <vertAlign val="superscript"/>
        <sz val="14"/>
        <rFont val="Times New Roman"/>
        <family val="1"/>
      </rPr>
      <t>4)</t>
    </r>
  </si>
  <si>
    <r>
      <t xml:space="preserve">     - herav innskuddsbasert </t>
    </r>
    <r>
      <rPr>
        <vertAlign val="superscript"/>
        <sz val="14"/>
        <rFont val="Times New Roman"/>
        <family val="1"/>
      </rPr>
      <t>*</t>
    </r>
  </si>
  <si>
    <t>Totalt forsikringsforpliktelser</t>
  </si>
  <si>
    <r>
      <t xml:space="preserve">Overførte reserver fra andre </t>
    </r>
    <r>
      <rPr>
        <vertAlign val="superscript"/>
        <sz val="14"/>
        <rFont val="Times New Roman"/>
        <family val="1"/>
      </rPr>
      <t>5)</t>
    </r>
  </si>
  <si>
    <t>Totalt overførte reserver fra andre</t>
  </si>
  <si>
    <r>
      <t xml:space="preserve">Flytting fra andre </t>
    </r>
    <r>
      <rPr>
        <vertAlign val="superscript"/>
        <sz val="14"/>
        <rFont val="Times New Roman"/>
        <family val="1"/>
      </rPr>
      <t>9)</t>
    </r>
  </si>
  <si>
    <r>
      <t xml:space="preserve">Overførte reserver til andre </t>
    </r>
    <r>
      <rPr>
        <vertAlign val="superscript"/>
        <sz val="14"/>
        <rFont val="Times New Roman"/>
        <family val="1"/>
      </rPr>
      <t>6)</t>
    </r>
  </si>
  <si>
    <t>Totalt overførte reserver til andre</t>
  </si>
  <si>
    <r>
      <t xml:space="preserve">Flytting til andre </t>
    </r>
    <r>
      <rPr>
        <vertAlign val="superscript"/>
        <sz val="14"/>
        <rFont val="Times New Roman"/>
        <family val="1"/>
      </rPr>
      <t>9)</t>
    </r>
  </si>
  <si>
    <r>
      <t xml:space="preserve">Netto overførte reserver fra andre </t>
    </r>
    <r>
      <rPr>
        <b/>
        <vertAlign val="superscript"/>
        <sz val="14"/>
        <rFont val="Times New Roman"/>
        <family val="1"/>
      </rPr>
      <t>9)</t>
    </r>
  </si>
  <si>
    <t>Totalt netto overførte reserver fra andre</t>
  </si>
  <si>
    <r>
      <t xml:space="preserve">Netto flytting fra andre </t>
    </r>
    <r>
      <rPr>
        <vertAlign val="superscript"/>
        <sz val="14"/>
        <rFont val="Times New Roman"/>
        <family val="1"/>
      </rPr>
      <t>9)</t>
    </r>
  </si>
  <si>
    <t xml:space="preserve">* "Innskuddsbasert" er summen av "Engangsbetalt" og "Innskuddspensjon". </t>
  </si>
  <si>
    <t>Tabell 1.3 Hovedtall</t>
  </si>
  <si>
    <t>Aktivaposter (aggregert)</t>
  </si>
  <si>
    <t>i mill. kr</t>
  </si>
  <si>
    <t>prosentvis andel</t>
  </si>
  <si>
    <t>Selskapsporteføljen</t>
  </si>
  <si>
    <t xml:space="preserve">   Aksjer</t>
  </si>
  <si>
    <t xml:space="preserve">   Rentebærende verdipapirer</t>
  </si>
  <si>
    <t xml:space="preserve">   Eiendom</t>
  </si>
  <si>
    <t xml:space="preserve">   Datterforetak m.m.</t>
  </si>
  <si>
    <t xml:space="preserve">   Utlån</t>
  </si>
  <si>
    <t xml:space="preserve">   Annet</t>
  </si>
  <si>
    <t>Kollektivporteføljen</t>
  </si>
  <si>
    <t>Investeringsvalgporteføljen</t>
  </si>
  <si>
    <t>Tallene er hentet fra tabell 6 Balanse.</t>
  </si>
  <si>
    <t>Tabell 1 : Individuell kapitalforsikring*</t>
  </si>
  <si>
    <t>Endring</t>
  </si>
  <si>
    <t>i %</t>
  </si>
  <si>
    <r>
      <t xml:space="preserve">Brutto forfalt premie </t>
    </r>
    <r>
      <rPr>
        <b/>
        <vertAlign val="superscript"/>
        <sz val="10"/>
        <rFont val="Times New Roman"/>
        <family val="1"/>
      </rPr>
      <t>1</t>
    </r>
  </si>
  <si>
    <r>
      <t xml:space="preserve">    Herav brutto risikopremie død </t>
    </r>
    <r>
      <rPr>
        <vertAlign val="superscript"/>
        <sz val="10"/>
        <rFont val="Times New Roman"/>
        <family val="1"/>
      </rPr>
      <t>2</t>
    </r>
  </si>
  <si>
    <r>
      <t xml:space="preserve">    Herav brutto risikopremie uførekapital </t>
    </r>
    <r>
      <rPr>
        <vertAlign val="superscript"/>
        <sz val="10"/>
        <rFont val="Times New Roman"/>
        <family val="1"/>
      </rPr>
      <t>2</t>
    </r>
  </si>
  <si>
    <r>
      <t xml:space="preserve">Forsikringsforpliktelser </t>
    </r>
    <r>
      <rPr>
        <b/>
        <vertAlign val="superscript"/>
        <sz val="10"/>
        <rFont val="Times New Roman"/>
        <family val="1"/>
      </rPr>
      <t>4</t>
    </r>
  </si>
  <si>
    <r>
      <t xml:space="preserve">Overførte reserver fra andre </t>
    </r>
    <r>
      <rPr>
        <b/>
        <vertAlign val="superscript"/>
        <sz val="10"/>
        <rFont val="Times New Roman"/>
        <family val="1"/>
      </rPr>
      <t>5</t>
    </r>
  </si>
  <si>
    <r>
      <t>Overførte reserver til andre</t>
    </r>
    <r>
      <rPr>
        <b/>
        <vertAlign val="superscript"/>
        <sz val="10"/>
        <rFont val="Times New Roman"/>
        <family val="1"/>
      </rPr>
      <t xml:space="preserve"> 6</t>
    </r>
  </si>
  <si>
    <t>* Brutto risiokopremie for invidiuell uførepensjon fremkommer i tabell 2.</t>
  </si>
  <si>
    <t>Tabell 2: Individuell  pensjonsforsikring, herunder foreningskollektiv</t>
  </si>
  <si>
    <t xml:space="preserve">                     </t>
  </si>
  <si>
    <r>
      <t xml:space="preserve">    Livrenter </t>
    </r>
    <r>
      <rPr>
        <vertAlign val="superscript"/>
        <sz val="10"/>
        <rFont val="Times New Roman"/>
        <family val="1"/>
      </rPr>
      <t>10</t>
    </r>
  </si>
  <si>
    <r>
      <t xml:space="preserve">    IPA </t>
    </r>
    <r>
      <rPr>
        <vertAlign val="superscript"/>
        <sz val="10"/>
        <rFont val="Times New Roman"/>
        <family val="1"/>
      </rPr>
      <t>10</t>
    </r>
  </si>
  <si>
    <r>
      <t xml:space="preserve">    IPS 2008 </t>
    </r>
    <r>
      <rPr>
        <vertAlign val="superscript"/>
        <sz val="10"/>
        <rFont val="Times New Roman"/>
        <family val="1"/>
      </rPr>
      <t>10</t>
    </r>
  </si>
  <si>
    <r>
      <t xml:space="preserve">    IPS </t>
    </r>
    <r>
      <rPr>
        <vertAlign val="superscript"/>
        <sz val="10"/>
        <rFont val="Times New Roman"/>
        <family val="1"/>
      </rPr>
      <t>10</t>
    </r>
  </si>
  <si>
    <t xml:space="preserve">      herav kapitaliseringsprodukt IPA+IPS</t>
  </si>
  <si>
    <r>
      <t xml:space="preserve">Brutto risikopremie for individuell uførepensjon </t>
    </r>
    <r>
      <rPr>
        <vertAlign val="superscript"/>
        <sz val="10"/>
        <rFont val="Times New Roman"/>
        <family val="1"/>
      </rPr>
      <t>3</t>
    </r>
  </si>
  <si>
    <r>
      <t xml:space="preserve">Forsikringsforpliktelser </t>
    </r>
    <r>
      <rPr>
        <b/>
        <vertAlign val="superscript"/>
        <sz val="10"/>
        <rFont val="Times New Roman"/>
        <family val="1"/>
      </rPr>
      <t>6</t>
    </r>
  </si>
  <si>
    <r>
      <t xml:space="preserve">Brutto forfalt premie - Foreningskollektiv </t>
    </r>
    <r>
      <rPr>
        <b/>
        <vertAlign val="superscript"/>
        <sz val="10"/>
        <rFont val="Times New Roman"/>
        <family val="1"/>
      </rPr>
      <t>1</t>
    </r>
  </si>
  <si>
    <r>
      <t xml:space="preserve">Forsikringsforpliktelser  - Foreningskollektiv </t>
    </r>
    <r>
      <rPr>
        <b/>
        <vertAlign val="superscript"/>
        <sz val="10"/>
        <rFont val="Times New Roman"/>
        <family val="1"/>
      </rPr>
      <t>4</t>
    </r>
  </si>
  <si>
    <r>
      <t xml:space="preserve">Overførte reserver fra andre - Foreningskollektiv </t>
    </r>
    <r>
      <rPr>
        <b/>
        <vertAlign val="superscript"/>
        <sz val="10"/>
        <rFont val="Times New Roman"/>
        <family val="1"/>
      </rPr>
      <t>5</t>
    </r>
  </si>
  <si>
    <r>
      <t xml:space="preserve">Overførte reserver til andre - Foreningskollektiv </t>
    </r>
    <r>
      <rPr>
        <b/>
        <vertAlign val="superscript"/>
        <sz val="10"/>
        <rFont val="Times New Roman"/>
        <family val="1"/>
      </rPr>
      <t>6</t>
    </r>
  </si>
  <si>
    <t>Tabell 3: Gruppelivsforsikring</t>
  </si>
  <si>
    <r>
      <t xml:space="preserve">    Bedrift </t>
    </r>
    <r>
      <rPr>
        <vertAlign val="superscript"/>
        <sz val="10"/>
        <rFont val="Times New Roman"/>
        <family val="1"/>
      </rPr>
      <t>7</t>
    </r>
  </si>
  <si>
    <r>
      <t xml:space="preserve">    Privat </t>
    </r>
    <r>
      <rPr>
        <vertAlign val="superscript"/>
        <sz val="10"/>
        <rFont val="Times New Roman"/>
        <family val="1"/>
      </rPr>
      <t>8</t>
    </r>
  </si>
  <si>
    <t xml:space="preserve">      Gjeldsgruppeliv</t>
  </si>
  <si>
    <t xml:space="preserve">      Foreningsgruppeliv</t>
  </si>
  <si>
    <t xml:space="preserve">      Andre grupper</t>
  </si>
  <si>
    <r>
      <t xml:space="preserve">Flytting fra andre </t>
    </r>
    <r>
      <rPr>
        <b/>
        <vertAlign val="superscript"/>
        <sz val="10"/>
        <rFont val="Times New Roman"/>
        <family val="1"/>
      </rPr>
      <t>9</t>
    </r>
  </si>
  <si>
    <r>
      <t xml:space="preserve">Flytting til andre </t>
    </r>
    <r>
      <rPr>
        <b/>
        <vertAlign val="superscript"/>
        <sz val="10"/>
        <rFont val="Times New Roman"/>
        <family val="1"/>
      </rPr>
      <t>9</t>
    </r>
  </si>
  <si>
    <t>Tabell 4: Privat kollektiv pensjonsforsikring, herunder fripoliser, pensjonskapitalbevis og pensjonsbevis</t>
  </si>
  <si>
    <t xml:space="preserve">   Ytelsesbasert</t>
  </si>
  <si>
    <t xml:space="preserve">   Innskuddsbasert</t>
  </si>
  <si>
    <r>
      <t xml:space="preserve">      Engangsbetalt </t>
    </r>
    <r>
      <rPr>
        <vertAlign val="superscript"/>
        <sz val="10"/>
        <rFont val="Times New Roman"/>
        <family val="1"/>
      </rPr>
      <t>11</t>
    </r>
  </si>
  <si>
    <t xml:space="preserve">        Inv.valg foretak</t>
  </si>
  <si>
    <t xml:space="preserve">        Inv.valg kontohaver</t>
  </si>
  <si>
    <r>
      <t xml:space="preserve">      Innskuddspensjon </t>
    </r>
    <r>
      <rPr>
        <vertAlign val="superscript"/>
        <sz val="10"/>
        <rFont val="Times New Roman"/>
        <family val="1"/>
      </rPr>
      <t>12</t>
    </r>
  </si>
  <si>
    <t xml:space="preserve">  Etter tjenestepensjonsloven - Alderspensjon</t>
  </si>
  <si>
    <t xml:space="preserve">  Etter tjenestepensjonsloven - Uførepensjon</t>
  </si>
  <si>
    <r>
      <t xml:space="preserve">  Innenfor LOF/LOI </t>
    </r>
    <r>
      <rPr>
        <vertAlign val="superscript"/>
        <sz val="10"/>
        <rFont val="Times New Roman"/>
        <family val="1"/>
      </rPr>
      <t>13</t>
    </r>
  </si>
  <si>
    <t xml:space="preserve">   Innskuddsbasert (inkl. EPK)</t>
  </si>
  <si>
    <r>
      <t xml:space="preserve">  Utenfor LOF/LOI - Livrenter </t>
    </r>
    <r>
      <rPr>
        <vertAlign val="superscript"/>
        <sz val="10"/>
        <rFont val="Times New Roman"/>
        <family val="1"/>
      </rPr>
      <t>13,17</t>
    </r>
  </si>
  <si>
    <r>
      <t xml:space="preserve">  Herav fripoliser </t>
    </r>
    <r>
      <rPr>
        <vertAlign val="superscript"/>
        <sz val="10"/>
        <rFont val="Times New Roman"/>
        <family val="1"/>
      </rPr>
      <t>14,16</t>
    </r>
  </si>
  <si>
    <r>
      <t xml:space="preserve">  Herav pensjonskapitalbevis innenfor og utenfor EPK</t>
    </r>
    <r>
      <rPr>
        <vertAlign val="superscript"/>
        <sz val="10"/>
        <rFont val="Times New Roman"/>
        <family val="1"/>
      </rPr>
      <t>14) 18)</t>
    </r>
  </si>
  <si>
    <r>
      <t xml:space="preserve">  Herav pensjonsbevis</t>
    </r>
    <r>
      <rPr>
        <vertAlign val="superscript"/>
        <sz val="10"/>
        <rFont val="Times New Roman"/>
        <family val="1"/>
      </rPr>
      <t>14</t>
    </r>
  </si>
  <si>
    <t xml:space="preserve">   Etter tjenestepensjonsloven</t>
  </si>
  <si>
    <t xml:space="preserve">    Fra pensjonskasser</t>
  </si>
  <si>
    <r>
      <t xml:space="preserve">   Herav fripoliser </t>
    </r>
    <r>
      <rPr>
        <vertAlign val="superscript"/>
        <sz val="10"/>
        <rFont val="Times New Roman"/>
        <family val="1"/>
      </rPr>
      <t>14,16</t>
    </r>
  </si>
  <si>
    <t xml:space="preserve">    Til pensjonskasser</t>
  </si>
  <si>
    <t>Tabell 5: Kommunale ordninger</t>
  </si>
  <si>
    <r>
      <t xml:space="preserve">Brutto forfalt premie </t>
    </r>
    <r>
      <rPr>
        <b/>
        <vertAlign val="superscript"/>
        <sz val="10"/>
        <rFont val="Times New Roman"/>
        <family val="1"/>
      </rPr>
      <t>1, 15</t>
    </r>
  </si>
  <si>
    <r>
      <t xml:space="preserve">Forsikringsforpliktelser </t>
    </r>
    <r>
      <rPr>
        <b/>
        <vertAlign val="superscript"/>
        <sz val="10"/>
        <rFont val="Times New Roman"/>
        <family val="1"/>
      </rPr>
      <t>4, 15</t>
    </r>
  </si>
  <si>
    <r>
      <t xml:space="preserve">Overførte reserver fra andre </t>
    </r>
    <r>
      <rPr>
        <b/>
        <vertAlign val="superscript"/>
        <sz val="10"/>
        <rFont val="Times New Roman"/>
        <family val="1"/>
      </rPr>
      <t>5, 15</t>
    </r>
  </si>
  <si>
    <r>
      <t>Overførte reserver til andre</t>
    </r>
    <r>
      <rPr>
        <b/>
        <vertAlign val="superscript"/>
        <sz val="10"/>
        <rFont val="Times New Roman"/>
        <family val="1"/>
      </rPr>
      <t xml:space="preserve"> 6, 15</t>
    </r>
  </si>
  <si>
    <t>Selskap</t>
  </si>
  <si>
    <t xml:space="preserve">   Etter tjenestepensjonsloven - Alderspensjon</t>
  </si>
  <si>
    <t xml:space="preserve">   Etter tjenestepensjonsloven - Uførepensjon</t>
  </si>
  <si>
    <r>
      <t xml:space="preserve">  Herav fripoliser </t>
    </r>
    <r>
      <rPr>
        <vertAlign val="superscript"/>
        <sz val="10"/>
        <rFont val="Times New Roman"/>
        <family val="1"/>
      </rPr>
      <t>14</t>
    </r>
  </si>
  <si>
    <r>
      <t xml:space="preserve">Forsikringsforpliktelser </t>
    </r>
    <r>
      <rPr>
        <b/>
        <vertAlign val="superscript"/>
        <sz val="10"/>
        <rFont val="Times New Roman"/>
        <family val="1"/>
      </rPr>
      <t>5, 15</t>
    </r>
  </si>
  <si>
    <t>Frende Livsforsikring AS</t>
  </si>
  <si>
    <t>Frende Skadeforsikring AS</t>
  </si>
  <si>
    <t>If Skadeforsikring nuf</t>
  </si>
  <si>
    <t>KLP Skadeforsikring</t>
  </si>
  <si>
    <t>Nordea Liv Forsikring AS</t>
  </si>
  <si>
    <t>SpareBank 1 Forsikring AS</t>
  </si>
  <si>
    <t>Telenor Forsikring AS</t>
  </si>
  <si>
    <t>WaterCircle Forsikring</t>
  </si>
  <si>
    <t>Regnskapsdel, endelig kvartal</t>
  </si>
  <si>
    <t>Resultatregnskap</t>
  </si>
  <si>
    <t>31.12.</t>
  </si>
  <si>
    <t>DNB</t>
  </si>
  <si>
    <t>Frende</t>
  </si>
  <si>
    <t>Gjensidige</t>
  </si>
  <si>
    <t>Oslo</t>
  </si>
  <si>
    <t>Storebrand</t>
  </si>
  <si>
    <t>Youplus</t>
  </si>
  <si>
    <t xml:space="preserve">Totalt </t>
  </si>
  <si>
    <t>Livsforsikring</t>
  </si>
  <si>
    <t>Fremtind Liv</t>
  </si>
  <si>
    <t>Pensjon</t>
  </si>
  <si>
    <t>Pensjonsforsikring</t>
  </si>
  <si>
    <t>SpareBank 1</t>
  </si>
  <si>
    <t>norske livselskaper</t>
  </si>
  <si>
    <t>alle livselskaper</t>
  </si>
  <si>
    <t xml:space="preserve">Beløp i millioner kroner </t>
  </si>
  <si>
    <t>TEKNISK REGNSKAP FOR LIVSFORSIKRING</t>
  </si>
  <si>
    <t>1. Premieinntekter f.e.r.</t>
  </si>
  <si>
    <t xml:space="preserve">    1.1 Forfalt premier, brutto</t>
  </si>
  <si>
    <t xml:space="preserve">    1.2 - Avgitte gjenforsikringspremier</t>
  </si>
  <si>
    <t xml:space="preserve">    1.3 Overføring av premiereserve og pensjonskapital mv. fra andre f.selskap/p.kasser</t>
  </si>
  <si>
    <t xml:space="preserve">    Sum premieinntekter f.e.r.</t>
  </si>
  <si>
    <t>2. Netto inntekter fra investeringer i kollektivporteføljen</t>
  </si>
  <si>
    <t>3. Netto inntekter fra investeringer i investeringsvalgporteføljen</t>
  </si>
  <si>
    <t>4. Andre forsikringsrelaterte inntekter</t>
  </si>
  <si>
    <t>5. Erstatninger</t>
  </si>
  <si>
    <t xml:space="preserve">    5.1 Utbetalte erstatninger</t>
  </si>
  <si>
    <t xml:space="preserve">    5.2 Overføring av premiereserve, pensjonskapital mv. og bufferfond til andre f.selskap/p.kasser</t>
  </si>
  <si>
    <t>Sum erstatninger f.e.r.</t>
  </si>
  <si>
    <t>6. Resultatførte endringer i forsikringsforpliktelser - KF</t>
  </si>
  <si>
    <t xml:space="preserve">    6.1 Endring i premiereserve mv.</t>
  </si>
  <si>
    <t xml:space="preserve">    6.2 Endring i bufferfond</t>
  </si>
  <si>
    <t xml:space="preserve">    6.3 Endring i premiefond, innskuddsfond og fond for regulering av pensjoner mv.</t>
  </si>
  <si>
    <r>
      <t xml:space="preserve">    Endring i kursreguleringsfond</t>
    </r>
    <r>
      <rPr>
        <i/>
        <vertAlign val="superscript"/>
        <sz val="14"/>
        <rFont val="Times New Roman"/>
        <family val="1"/>
      </rPr>
      <t>19</t>
    </r>
  </si>
  <si>
    <t xml:space="preserve">    6.4 Endring i tekniske avsetninger for skadeforsikringsvirksomhet</t>
  </si>
  <si>
    <t xml:space="preserve">    6.5 Overføring av bufferfond fra andre fors.selskap/pensj.kasser</t>
  </si>
  <si>
    <t>Sum resultatførte endringer i forsikringsforpliktelser - KF</t>
  </si>
  <si>
    <t>7. Resultatførte endringer i forsikringsforpliktelser - SI</t>
  </si>
  <si>
    <t>8. Midler tilordnet forsikringskontrakter -KF</t>
  </si>
  <si>
    <t>9. Forsikringsrelaterte driftskostnader</t>
  </si>
  <si>
    <t>10. Andre forsikringsrelaterte kostnader</t>
  </si>
  <si>
    <t>11.Resultat av teknisk regnskap</t>
  </si>
  <si>
    <t>IKKE-TEKNISK REGNSKAP FOR LIVSFORSIKRING</t>
  </si>
  <si>
    <t>12. Netto inntekter fra investeringer i selskapsporteføljen</t>
  </si>
  <si>
    <t>13. Andre inntekter</t>
  </si>
  <si>
    <t>14. Forvaltningskostnader og andre kostnader knyttet til selskapsporteføljen</t>
  </si>
  <si>
    <t>15. Resultat av ikke-teknisk regnskap</t>
  </si>
  <si>
    <t>16. Resultat før skattekostnad</t>
  </si>
  <si>
    <t>17. Skattekostnader</t>
  </si>
  <si>
    <t>18. Resultat før andre inntekter og kostnader</t>
  </si>
  <si>
    <t>19. Andre inntekter og kostnader</t>
  </si>
  <si>
    <t>20. TOTALRESULTAT</t>
  </si>
  <si>
    <t>Overføringer og disponeringer</t>
  </si>
  <si>
    <t xml:space="preserve">    Overføringer</t>
  </si>
  <si>
    <t xml:space="preserve">        Mottatt konsernbidrag</t>
  </si>
  <si>
    <t xml:space="preserve">        Overført fra annen egenkapital</t>
  </si>
  <si>
    <t xml:space="preserve">    Sum overføringer</t>
  </si>
  <si>
    <t xml:space="preserve">    Disponeringer</t>
  </si>
  <si>
    <t xml:space="preserve">        Utbytte</t>
  </si>
  <si>
    <t xml:space="preserve">        Avgitt konsernbidrag</t>
  </si>
  <si>
    <t xml:space="preserve">        Overført til annen egenkapital</t>
  </si>
  <si>
    <t xml:space="preserve">    Sum disponeringer</t>
  </si>
  <si>
    <t>Sum overføringer og disponeringer</t>
  </si>
  <si>
    <t>Noter: Se "Noter og kommentarer"</t>
  </si>
  <si>
    <t>KF=Kontraktsfastsatte forpliktelser</t>
  </si>
  <si>
    <t>SI=Særskilt investeringsportefølje</t>
  </si>
  <si>
    <t>Regnskapsdel, endelig år</t>
  </si>
  <si>
    <t xml:space="preserve">Resultatanalyse - Individuell kapital og </t>
  </si>
  <si>
    <t>individuell pensjon</t>
  </si>
  <si>
    <t xml:space="preserve"> </t>
  </si>
  <si>
    <t>Forsikring</t>
  </si>
  <si>
    <t>Individuell kapital - gml. overskuddsmodell</t>
  </si>
  <si>
    <t>Administrasjonsresultat</t>
  </si>
  <si>
    <t>Fortjenesteelement for risiko</t>
  </si>
  <si>
    <t>Vederlag for rentegaranti</t>
  </si>
  <si>
    <t>Risikoresultat</t>
  </si>
  <si>
    <t xml:space="preserve">   -Herav til risikoutjevningsfond</t>
  </si>
  <si>
    <t>Annet</t>
  </si>
  <si>
    <t>Resultat til fordeling</t>
  </si>
  <si>
    <t>Herav kundetildeling</t>
  </si>
  <si>
    <t>Herav til selskap</t>
  </si>
  <si>
    <t>Individuell kapital - ny overskuddsmodell</t>
  </si>
  <si>
    <t>Individuell kapital - u. rett til andel overskudd</t>
  </si>
  <si>
    <t>Individuell kapital - med investeringsvalg</t>
  </si>
  <si>
    <t>Individuell pensjon - gml. overskuddsmodell</t>
  </si>
  <si>
    <t>Individuell pensjon - ny overskuddsmodell</t>
  </si>
  <si>
    <t>Individuell pensjon - u. rett til andel overskudd</t>
  </si>
  <si>
    <t>Individuell pensjon - med investeringsvalg</t>
  </si>
  <si>
    <t xml:space="preserve">Resultatanalyse - Kollektiv pensjon, </t>
  </si>
  <si>
    <t>privat og kommunal</t>
  </si>
  <si>
    <t>Privat - ytelsesbasert uten investeringsvalg</t>
  </si>
  <si>
    <t>Privat - ytelsesbasert med investeringsvalg</t>
  </si>
  <si>
    <t>Privat - innskuddsbasert uten investeringsvalg</t>
  </si>
  <si>
    <t>Privat - innskuddsbasert med investeringsvalg</t>
  </si>
  <si>
    <t>Privat - etter tjenestepensjonsloven uten investeringsvalg</t>
  </si>
  <si>
    <t>Privat - etter tjenestepensjonsloven med investeringsvalg</t>
  </si>
  <si>
    <t>Fripoliser (modifisert overskuddsdeling)</t>
  </si>
  <si>
    <t>Privat - u. rett til andel overskudd</t>
  </si>
  <si>
    <t>Pensjonsbevis med garanti</t>
  </si>
  <si>
    <t>Kommunal - ytelsesbaserte uten investeringsvalg</t>
  </si>
  <si>
    <t>Kommunal - ytelsesbaserte med investeringsvalg</t>
  </si>
  <si>
    <t xml:space="preserve">Resultatanalyse - Gruppeliv, ulykke o.a. </t>
  </si>
  <si>
    <t>skadebransjer og total</t>
  </si>
  <si>
    <t>Gruppeliv</t>
  </si>
  <si>
    <t>Ulykkesforsikring og andre skadebransjer</t>
  </si>
  <si>
    <t>Total</t>
  </si>
  <si>
    <t>Balanse</t>
  </si>
  <si>
    <r>
      <t>norske livselskaper</t>
    </r>
    <r>
      <rPr>
        <b/>
        <vertAlign val="superscript"/>
        <sz val="14"/>
        <rFont val="Times New Roman"/>
        <family val="1"/>
      </rPr>
      <t xml:space="preserve"> </t>
    </r>
  </si>
  <si>
    <r>
      <t>alle livselskaper</t>
    </r>
    <r>
      <rPr>
        <b/>
        <vertAlign val="superscript"/>
        <sz val="14"/>
        <rFont val="Times New Roman"/>
        <family val="1"/>
      </rPr>
      <t xml:space="preserve"> </t>
    </r>
  </si>
  <si>
    <t>Beløp i millioner kroner</t>
  </si>
  <si>
    <t>EIENDELER</t>
  </si>
  <si>
    <t>EIENDELER I SELSKAPSPORTEFØLJEN</t>
  </si>
  <si>
    <t>2. Investeringer i selskapsporteføljen</t>
  </si>
  <si>
    <t xml:space="preserve">    2.1 Bygninger og andre faste eiendommer</t>
  </si>
  <si>
    <t xml:space="preserve">    2.2 Datterforetak, tilknyttede foretak og felleskontrollerte foretak</t>
  </si>
  <si>
    <t xml:space="preserve">    2.3 Finansielle eiendeler som måles til amortisert kost</t>
  </si>
  <si>
    <t xml:space="preserve">         2.3.1 Rentebærende verdipapirer</t>
  </si>
  <si>
    <t xml:space="preserve">            - Obligasjoner</t>
  </si>
  <si>
    <t xml:space="preserve">         2.3.2 Utlån og fordringer</t>
  </si>
  <si>
    <t xml:space="preserve">    2.4 Finansielle eiendeler som måles til virkelig verdi</t>
  </si>
  <si>
    <t xml:space="preserve">         2.4.1 Aksjer og andeler (inkl. aksjer og andeler målt til kost)</t>
  </si>
  <si>
    <t xml:space="preserve">         2.4.2 Rentebærende verdipapirer</t>
  </si>
  <si>
    <t xml:space="preserve">         2.4.3 Utlån og fordringer</t>
  </si>
  <si>
    <t xml:space="preserve">         2.4.4 Finansielle derivater</t>
  </si>
  <si>
    <t xml:space="preserve">         2.4.5 Andre finansielle eiendeler</t>
  </si>
  <si>
    <t xml:space="preserve">    2.5 Gjenforsikringsdepoter</t>
  </si>
  <si>
    <t xml:space="preserve">    Sum investeringer i selskapsporteføljen</t>
  </si>
  <si>
    <t>Annet - postene 1, 3, 4 og 5</t>
  </si>
  <si>
    <t>Sum eiendeler i selskapsporteføljen</t>
  </si>
  <si>
    <t>EIENDELER I KUNDEPORTEFØLJENE</t>
  </si>
  <si>
    <t>6. Investeringer i kollektivporteføljen</t>
  </si>
  <si>
    <t xml:space="preserve">    6.1 Bygninger og andre faste eiendommer</t>
  </si>
  <si>
    <t xml:space="preserve">    6.2 Datterforetak, tilknyttede foretak og felleskontrollerte foretak</t>
  </si>
  <si>
    <t xml:space="preserve">    6.3 Finansielle eiendeler som måles til amortisert kost</t>
  </si>
  <si>
    <t xml:space="preserve">         6.3.1 Rentebærende verdipapirer</t>
  </si>
  <si>
    <t xml:space="preserve">         6.3.2 Utlån og fordringer</t>
  </si>
  <si>
    <t xml:space="preserve">    6.4 Finansielle eiendeler som måles til virkelig verdi</t>
  </si>
  <si>
    <t xml:space="preserve">         6.4.1 Aksjer og andeler (inkl. aksjer og andeler målt til kost)</t>
  </si>
  <si>
    <t xml:space="preserve">         6.4.2 Rentebærende verdipapirer</t>
  </si>
  <si>
    <t xml:space="preserve">         6.4.3 Utlån og fordringer</t>
  </si>
  <si>
    <t xml:space="preserve">         6.4.4 Finansielle derivater</t>
  </si>
  <si>
    <t xml:space="preserve">         6.4.5 Andre finansielle eiendeler</t>
  </si>
  <si>
    <t xml:space="preserve">    Sum investeringer i kollektivporteføljen</t>
  </si>
  <si>
    <t>7. Gjenforsikringsandel av forsikringsforpliktelser i kollektivporteføljen</t>
  </si>
  <si>
    <t>8. Investeringer i investeringsvalgporteføljen</t>
  </si>
  <si>
    <t xml:space="preserve">    8.1 Bygninger og andre faste eiendommer</t>
  </si>
  <si>
    <t xml:space="preserve">    8.2 Datterforetak, tilknyttede foretak og felleskontrollerte foretak</t>
  </si>
  <si>
    <t xml:space="preserve">    8.3 Finansielle eiendeler som måles til amortisert kost</t>
  </si>
  <si>
    <t xml:space="preserve">         8.3.1 Rentebærende verdipapirer</t>
  </si>
  <si>
    <t xml:space="preserve">         8.3.2 Utlån og fordringer</t>
  </si>
  <si>
    <t xml:space="preserve">    8.4 Finansielle eiendeler som måles til virkelig verdi</t>
  </si>
  <si>
    <t xml:space="preserve">         8.4.1 Aksjer og andeler (inkl. aksjer og andeler målt til kost)</t>
  </si>
  <si>
    <t xml:space="preserve">         8.4.2 Rentebærende verdipapirer</t>
  </si>
  <si>
    <t xml:space="preserve">         8.4.3 Utlån og fordringer</t>
  </si>
  <si>
    <t xml:space="preserve">         8.4.4 Finansielle derivater</t>
  </si>
  <si>
    <t xml:space="preserve">         8.4.5 Andre finansielle eiendeler</t>
  </si>
  <si>
    <t xml:space="preserve">    Sum investeringer i investeringsvalgsporteføljen</t>
  </si>
  <si>
    <t>9. Gjenforsikringsandel av forsikringsforpliktelser i investeringsvalgporteføljen</t>
  </si>
  <si>
    <t>Sum eiendeler i kundeporteføljene</t>
  </si>
  <si>
    <t>SUM EIENDELER</t>
  </si>
  <si>
    <t>EGENKAPITAL OG FORPLIKTELSER</t>
  </si>
  <si>
    <t>10. Innskutt egenkapital</t>
  </si>
  <si>
    <t>11. Opptjent egenkapital</t>
  </si>
  <si>
    <t xml:space="preserve">    11.1 Risikoutjevningsfond</t>
  </si>
  <si>
    <t>12. Ansvarlig lånekapital mv.</t>
  </si>
  <si>
    <t>13. Forsikringsforpliktelser i livsforsikring - KF</t>
  </si>
  <si>
    <t xml:space="preserve">    13.1 Premiereserve mv.</t>
  </si>
  <si>
    <r>
      <t xml:space="preserve">    Kursreguleringsfond</t>
    </r>
    <r>
      <rPr>
        <i/>
        <vertAlign val="superscript"/>
        <sz val="14"/>
        <rFont val="Times New Roman"/>
        <family val="1"/>
      </rPr>
      <t>19</t>
    </r>
  </si>
  <si>
    <t xml:space="preserve">    13.2 Bufferfond</t>
  </si>
  <si>
    <t xml:space="preserve">    13.3 Premiefond, innskuddsfond og fond for regulering av pensjoner mv.</t>
  </si>
  <si>
    <t xml:space="preserve">    13.4 Andre tekniske avsetninger for skadeforsikringsvirksomheten</t>
  </si>
  <si>
    <t xml:space="preserve">    Ufordelte overskuddsmidler til forsikringskontraktene</t>
  </si>
  <si>
    <t>Sum forsikringsforpliktelser i livsforsikring - KF</t>
  </si>
  <si>
    <t>14. Forsikringsforpliktelser i livsforsikring - SI</t>
  </si>
  <si>
    <t xml:space="preserve">    14.1 Pensjonskapital mv.</t>
  </si>
  <si>
    <t xml:space="preserve">    14.2 Bufferfond</t>
  </si>
  <si>
    <t xml:space="preserve">    14.3 Premiefond, innskuddsfond og fond for regulering av pensjoner mv.</t>
  </si>
  <si>
    <t>Sum forsikringsforpliktelser i livsforsikring - SI</t>
  </si>
  <si>
    <t>15. Avsetninger for forpliktelser</t>
  </si>
  <si>
    <t>16. Premiedepot fra gjenforsikringsselskaper</t>
  </si>
  <si>
    <t>17. Forpliktelser</t>
  </si>
  <si>
    <t>18. Påløpte kostnader og mottatte ikke opptjente inntekter</t>
  </si>
  <si>
    <t>SUM EGENKAPTAL OG FORPLIKTELSER</t>
  </si>
  <si>
    <t>Tabell 7.a</t>
  </si>
  <si>
    <t>Spesifikasjon av post 13. Forsikringsforpliktelser - KF</t>
  </si>
  <si>
    <t>Produkter uten</t>
  </si>
  <si>
    <t>Totalt produkter</t>
  </si>
  <si>
    <t>investeringsvalg</t>
  </si>
  <si>
    <t>uten investeringsvalg</t>
  </si>
  <si>
    <t>13. Forsikringsmessige avsetninger</t>
  </si>
  <si>
    <t>13.1 Premiereserve brutto</t>
  </si>
  <si>
    <t xml:space="preserve">         Individuell kapital</t>
  </si>
  <si>
    <t xml:space="preserve">         - Herav med gammel overskuddsmodell</t>
  </si>
  <si>
    <t xml:space="preserve">         - Herav med modifisert/ny overskuddsmodell</t>
  </si>
  <si>
    <t xml:space="preserve">         Individuell pensjon</t>
  </si>
  <si>
    <t xml:space="preserve">         Gruppeliv</t>
  </si>
  <si>
    <t xml:space="preserve">         Privat kollektiv pensjon</t>
  </si>
  <si>
    <t xml:space="preserve">         - Herav fripoliser med modifisert/ny overskuddsmodell</t>
  </si>
  <si>
    <t xml:space="preserve">         Kommunal kollektiv pensjon</t>
  </si>
  <si>
    <t xml:space="preserve">         Ulykke/andre</t>
  </si>
  <si>
    <t xml:space="preserve">        Premiereserve for egen regning</t>
  </si>
  <si>
    <t>13.2 Bufferfond</t>
  </si>
  <si>
    <r>
      <t>Kursreguleringsfond</t>
    </r>
    <r>
      <rPr>
        <b/>
        <i/>
        <vertAlign val="superscript"/>
        <sz val="14"/>
        <rFont val="Times New Roman"/>
        <family val="1"/>
      </rPr>
      <t>19</t>
    </r>
  </si>
  <si>
    <t>13.3 Premiefond, innskuddsfond og fond for regulering av pensjoner mv.</t>
  </si>
  <si>
    <t>13.4 Andre tekniske avsetninger for skadeforsikringsvirksomheten</t>
  </si>
  <si>
    <t>Sum avsetning til forsikringsforpliktelser - KF</t>
  </si>
  <si>
    <t xml:space="preserve">         Annet</t>
  </si>
  <si>
    <t>Tabell 7.b</t>
  </si>
  <si>
    <t>Spesifikasjon av post 14. Forsikringsforpliktelser - SI</t>
  </si>
  <si>
    <t>Produkter med</t>
  </si>
  <si>
    <t>med investeringsvalg</t>
  </si>
  <si>
    <t>alle produkter KF + SI</t>
  </si>
  <si>
    <t>14. Forsikringsmessige avsetninger</t>
  </si>
  <si>
    <t>14.1 Pensjonskapital mv. brutto</t>
  </si>
  <si>
    <t xml:space="preserve">        Pensjonskapital mv. for egen regning</t>
  </si>
  <si>
    <t>14.2 Bufferfond</t>
  </si>
  <si>
    <r>
      <t>14.3 Premiefond, innskuddsfond og fond for regulering av pensjoner mv.</t>
    </r>
    <r>
      <rPr>
        <b/>
        <strike/>
        <sz val="14"/>
        <rFont val="Times New Roman"/>
        <family val="1"/>
      </rPr>
      <t>Premie-, innskudds- og pensjonistenes overskuddsfond</t>
    </r>
  </si>
  <si>
    <t>Sum avsetning til forsikringsforpliktelser - SI</t>
  </si>
  <si>
    <t>Diverse nøkkeltall</t>
  </si>
  <si>
    <r>
      <t>Soliditetskapital</t>
    </r>
    <r>
      <rPr>
        <sz val="14"/>
        <rFont val="Times New Roman"/>
        <family val="1"/>
      </rPr>
      <t xml:space="preserve"> (%)</t>
    </r>
  </si>
  <si>
    <r>
      <t>Kursreguleringsfond</t>
    </r>
    <r>
      <rPr>
        <i/>
        <vertAlign val="superscript"/>
        <sz val="14"/>
        <rFont val="Times New Roman"/>
        <family val="1"/>
      </rPr>
      <t>19</t>
    </r>
  </si>
  <si>
    <t>Bufferfond</t>
  </si>
  <si>
    <t>Mer/mindre-verdier</t>
  </si>
  <si>
    <t>Avkastningstall</t>
  </si>
  <si>
    <t>Gammel overskuddsmodell</t>
  </si>
  <si>
    <t>Modifisert/ny overskuddsmodell</t>
  </si>
  <si>
    <t>Noter til tabellene</t>
  </si>
  <si>
    <t>Brutto forfalt premie tilsvarer post 1.1 i resultatregnskapet, jf. forskrift til årsregnskap for livsforsikringsfortak.</t>
  </si>
  <si>
    <t>Brutto risikopremie rapporteres for produkter både med og uten sparing. Risikopremie for tilknyttede dekninger, som kritisk sykdom, ulykke m.m. skal ikke tas med. For Brutto risikopremie for individuell uførepensjon, se note 3.</t>
  </si>
  <si>
    <t xml:space="preserve">Risikopremie for individuell uførepensjon blir i noen selskap regnskapsført under Individuell kapital, mens den for de fleste regnskapsføres under Individuell pensjon. Brutto risikopremie for uførepensjon er derfor ikke en heravpost for verken Individuell kapital eller Individuell pensjon, men gjelder som en heravpost samlet for disse. </t>
  </si>
  <si>
    <t xml:space="preserve">Forsikringsforpliktelser i livsforsikring tilsvarer post 13 i balansen uten investeringsvalg og post 14 i balansen for produkter med investeringsvalg. Gjenforsikringsandel skal ikke tas hensyn til i markedsdelen. </t>
  </si>
  <si>
    <t>Overførte reserver fra andre tilsvarer post 1.3 i resultatregnskapet samt overførte tilleggsavsetninger som tilsvarer post 6.6 i  resultatregnskapet.</t>
  </si>
  <si>
    <t>Overførte reserver til andre tilsvarer post 5.2 i resultatregnskapet.</t>
  </si>
  <si>
    <t>Gruppeliv bedrift tilsvarer tjenestegruppeliv.</t>
  </si>
  <si>
    <t>Gruppeliv privat består av foreningsgruppeliv, gjeldsgruppeliv og annet.</t>
  </si>
  <si>
    <t>Flytting av en gruppelivsordning fra andre eller til andre måles i brutto årlig premie (ikke brutto forfalt premie).</t>
  </si>
  <si>
    <t>Livrenter, IPA og IPS er individuelle pensjonsspareavtaler etter skattereglene (kun i årsstatistikken / 4.kvartal). IPS forsikring etablert før 1.11.2017 defineres som IPS forsikring 2008, etter lov om individuell pensjonsordning vedtatt i 2008. Nye ordningen for skattefavorisert individuell pensjonssparing fra 1. november 2017 defineres som IPS forsikring.</t>
  </si>
  <si>
    <t xml:space="preserve">Engangsbetalt alderspensjon er innskuddsbasert pensjon med dødelighetsarv. </t>
  </si>
  <si>
    <t>Innskuddspensjon er innskuddsbasert pensjon uten dødelighetsarv.</t>
  </si>
  <si>
    <t>LOF/LOI betyr lov om foretakspensjon og lov om innskuddspensjon.</t>
  </si>
  <si>
    <t>Herav fripoliser, herav pensjonskapitalbevis og herav pensjonsbevis omfatter også fortsettelsesforsikringer. Herav-postene er uttrekk fra hovedpostene i tabellen Privat kollektiv pensjonsforsikring, uansett om det er Innenfor LOF/LOI eller Utenfor LOF/LOI - Livrenter.</t>
  </si>
  <si>
    <t xml:space="preserve">Med kommunal kollektiv pensjon menes kollektive pensjonsordninger som definert i lov om forsikringsvirksomhet § 4-1 og § 4-2.   </t>
  </si>
  <si>
    <t>Herav fripoliser med investeringsvalg betraktes som innskuddsbasert.</t>
  </si>
  <si>
    <t>Gjelder ikke ordninger etter lov om tjenestepensjon</t>
  </si>
  <si>
    <t>Postene Herav pensjonskapitalbevis omfatter pensjonskapitalbevis innenfor og utenfor Egen pensjonskonto. Med pensjonskapitalbevis innenfor Egen pensjonskonto menes passiv kapital. Se for øvrig note 14.</t>
  </si>
  <si>
    <t>Fra og med 2024 inngår mye av kursreserven i bufferfondet og er dermed rapportert i egen post.</t>
  </si>
  <si>
    <t>DNB Livsforsikring ASA</t>
  </si>
  <si>
    <t>Kapitalavkastning (%)</t>
  </si>
  <si>
    <t>Gjennomsnitt 2021 - 2025</t>
  </si>
  <si>
    <t>Figur 2  Brutto forfalt premie livprodukter  -  produkter med investeringsvalg pr. 31.12.</t>
  </si>
  <si>
    <t>Figur 3  Forsikringsforpliktelser i livsforsikring  -  produkter uten investeringsvalg pr. 31.12.</t>
  </si>
  <si>
    <t>Figur 4  Forsikringsforpliktelser i livsforsikring -  produkter med investeringsvalg pr. 31.12.</t>
  </si>
  <si>
    <t>Figur 5  Netto tilflytting livprodukter  -  produkter uten investeringsvalg pr. 31.12.</t>
  </si>
  <si>
    <t>Figur 6  Netto tilflytting livprodukter  -  produkter med investeringsvalg pr. 31.12.</t>
  </si>
  <si>
    <t>Figur 1  Brutto forfalt premie livprodukter  -  produkter uten investeringsvalg pr. 31.12.</t>
  </si>
  <si>
    <t>Posten omfatter brutto forfalt premie for uførepensjon etter tjenestepensjonsloven. Brutto forfalt premie for innskuddsfritak inngår også her.</t>
  </si>
  <si>
    <t>31.12.2024</t>
  </si>
  <si>
    <t>31.12.2025</t>
  </si>
  <si>
    <r>
      <t xml:space="preserve">  Etter tjenestepensjonsloven - Uførepensjon (inkl.  Innskuddsfritak)</t>
    </r>
    <r>
      <rPr>
        <vertAlign val="superscript"/>
        <sz val="14"/>
        <color theme="1"/>
        <rFont val="Times New Roman"/>
        <family val="1"/>
      </rPr>
      <t>20)</t>
    </r>
  </si>
  <si>
    <r>
      <t xml:space="preserve">  Etter tjenestepensjonsloven - Uførepensjon (inkl.  Innskuddsfritak)</t>
    </r>
    <r>
      <rPr>
        <vertAlign val="superscript"/>
        <sz val="10"/>
        <rFont val="Times New Roman"/>
        <family val="1"/>
      </rPr>
      <t>20)</t>
    </r>
  </si>
  <si>
    <t xml:space="preserve">    Endring i tilleggsavsetninger</t>
  </si>
  <si>
    <t xml:space="preserve">    Tilleggsavsetninger</t>
  </si>
  <si>
    <t>Avkastningsresultat  før fra/til tilleggsreserver</t>
  </si>
  <si>
    <t>Fra/til tilleggsreserver</t>
  </si>
  <si>
    <t>Avkastningsresultat før fra/til tilleggsreserver</t>
  </si>
  <si>
    <t>Tilleggsavsetninger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</si>
</sst>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0.0"/>
    <numFmt numFmtId="165" formatCode="_ * #,##0_ ;_ * \-#,##0_ ;_ * &quot;-&quot;??_ ;_ @_ "/>
    <numFmt numFmtId="166" formatCode="dd/mm/yy;@"/>
    <numFmt numFmtId="167" formatCode="0;\-0;;@"/>
    <numFmt numFmtId="168" formatCode="0.0"/>
    <numFmt numFmtId="169" formatCode="#,##0_ ;\-#,##0\ "/>
    <numFmt numFmtId="170" formatCode="_ * #,##0_ ;_ * \-#,##0_ ;_ * &quot;&quot;??_ ;_ @_ "/>
    <numFmt numFmtId="171" formatCode="_ * #,##0.0_ ;_ * \-#,##0.0_ ;_ * &quot;&quot;??_ ;_ @_ "/>
    <numFmt numFmtId="172" formatCode="#,##0.00_ ;[Red]\-#,##0.00\ "/>
  </numFmts>
  <fonts count="8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Times New Roman"/>
      <family val="1"/>
    </font>
    <font>
      <sz val="12"/>
      <name val="Times New Roman"/>
      <family val="1"/>
    </font>
    <font>
      <b/>
      <sz val="10"/>
      <name val="Times New Roman"/>
      <family val="1"/>
    </font>
    <font>
      <b/>
      <sz val="9"/>
      <name val="Times New Roman"/>
      <family val="1"/>
    </font>
    <font>
      <sz val="10"/>
      <name val="Times New Roman"/>
      <family val="1"/>
    </font>
    <font>
      <sz val="10"/>
      <color rgb="FFFF0000"/>
      <name val="Times New Roman"/>
      <family val="1"/>
    </font>
    <font>
      <sz val="10"/>
      <name val="Arial"/>
      <family val="2"/>
    </font>
    <font>
      <b/>
      <vertAlign val="superscript"/>
      <sz val="10"/>
      <name val="Times New Roman"/>
      <family val="1"/>
    </font>
    <font>
      <sz val="12"/>
      <color rgb="FFFF0000"/>
      <name val="Times New Roman"/>
      <family val="1"/>
    </font>
    <font>
      <sz val="10"/>
      <color theme="1"/>
      <name val="Times New Roman"/>
      <family val="1"/>
    </font>
    <font>
      <i/>
      <sz val="10"/>
      <name val="Times New Roman"/>
      <family val="1"/>
    </font>
    <font>
      <vertAlign val="superscript"/>
      <sz val="10"/>
      <name val="Times New Roman"/>
      <family val="1"/>
    </font>
    <font>
      <sz val="10"/>
      <name val="Arial"/>
      <family val="2"/>
    </font>
    <font>
      <sz val="10"/>
      <color indexed="23"/>
      <name val="Arial"/>
      <family val="2"/>
    </font>
    <font>
      <sz val="18"/>
      <color indexed="23"/>
      <name val="Times New Roman"/>
      <family val="1"/>
    </font>
    <font>
      <b/>
      <sz val="28"/>
      <color rgb="FF3B6E8F"/>
      <name val="Cambria"/>
      <family val="1"/>
      <scheme val="major"/>
    </font>
    <font>
      <b/>
      <sz val="26"/>
      <color rgb="FF3B6E8F"/>
      <name val="Cambria"/>
      <family val="1"/>
      <scheme val="major"/>
    </font>
    <font>
      <sz val="14"/>
      <name val="Times New Roman"/>
      <family val="1"/>
    </font>
    <font>
      <sz val="12"/>
      <name val="Arial"/>
      <family val="2"/>
    </font>
    <font>
      <sz val="20"/>
      <color theme="1"/>
      <name val="Calibri"/>
      <family val="2"/>
      <scheme val="minor"/>
    </font>
    <font>
      <sz val="14"/>
      <color theme="1"/>
      <name val="Calibri"/>
      <family val="2"/>
      <scheme val="minor"/>
    </font>
    <font>
      <b/>
      <sz val="28"/>
      <color rgb="FF54758C"/>
      <name val="Arial"/>
      <family val="2"/>
    </font>
    <font>
      <sz val="26"/>
      <color rgb="FF54758C"/>
      <name val="Arial"/>
      <family val="2"/>
    </font>
    <font>
      <sz val="14"/>
      <name val="Arial"/>
      <family val="2"/>
    </font>
    <font>
      <sz val="20"/>
      <name val="Arial"/>
      <family val="2"/>
    </font>
    <font>
      <sz val="18"/>
      <name val="Times New Roman"/>
      <family val="1"/>
    </font>
    <font>
      <sz val="18"/>
      <name val="Arial"/>
      <family val="2"/>
    </font>
    <font>
      <b/>
      <sz val="16"/>
      <name val="Times New Roman"/>
      <family val="1"/>
    </font>
    <font>
      <sz val="16"/>
      <name val="Times New Roman"/>
      <family val="1"/>
    </font>
    <font>
      <u/>
      <sz val="10"/>
      <color indexed="12"/>
      <name val="Arial"/>
      <family val="2"/>
    </font>
    <font>
      <sz val="20"/>
      <name val="Times New Roman"/>
      <family val="1"/>
    </font>
    <font>
      <b/>
      <sz val="14"/>
      <name val="Times New Roman"/>
      <family val="1"/>
    </font>
    <font>
      <sz val="14"/>
      <color rgb="FFFF0000"/>
      <name val="Times New Roman"/>
      <family val="1"/>
    </font>
    <font>
      <vertAlign val="superscript"/>
      <sz val="14"/>
      <name val="Times New Roman"/>
      <family val="1"/>
    </font>
    <font>
      <b/>
      <i/>
      <sz val="12"/>
      <color indexed="63"/>
      <name val="Times New Roman"/>
      <family val="1"/>
    </font>
    <font>
      <b/>
      <sz val="10"/>
      <name val="Arial"/>
      <family val="2"/>
    </font>
    <font>
      <b/>
      <i/>
      <sz val="12"/>
      <name val="Times New Roman"/>
      <family val="1"/>
    </font>
    <font>
      <sz val="14"/>
      <color theme="1"/>
      <name val="Times New Roman"/>
      <family val="1"/>
    </font>
    <font>
      <sz val="14"/>
      <color rgb="FFFF0000"/>
      <name val="Arial"/>
      <family val="2"/>
    </font>
    <font>
      <b/>
      <sz val="14"/>
      <name val="Arial"/>
      <family val="2"/>
    </font>
    <font>
      <b/>
      <vertAlign val="superscript"/>
      <sz val="14"/>
      <name val="Times New Roman"/>
      <family val="1"/>
    </font>
    <font>
      <sz val="11"/>
      <name val="Calibri"/>
      <family val="2"/>
      <scheme val="minor"/>
    </font>
    <font>
      <b/>
      <sz val="10"/>
      <color rgb="FFFF0000"/>
      <name val="Times New Roman"/>
      <family val="1"/>
    </font>
    <font>
      <b/>
      <sz val="16"/>
      <color indexed="10"/>
      <name val="Times New Roman"/>
      <family val="1"/>
    </font>
    <font>
      <b/>
      <sz val="14"/>
      <color indexed="8"/>
      <name val="Times New Roman"/>
      <family val="1"/>
    </font>
    <font>
      <b/>
      <sz val="10"/>
      <color indexed="8"/>
      <name val="Times New Roman"/>
      <family val="1"/>
    </font>
    <font>
      <b/>
      <sz val="14"/>
      <color indexed="63"/>
      <name val="Times New Roman"/>
      <family val="1"/>
    </font>
    <font>
      <sz val="14"/>
      <color indexed="10"/>
      <name val="Times New Roman"/>
      <family val="1"/>
    </font>
    <font>
      <b/>
      <sz val="14"/>
      <color indexed="10"/>
      <name val="Times New Roman"/>
      <family val="1"/>
    </font>
    <font>
      <sz val="12"/>
      <color indexed="10"/>
      <name val="Times New Roman"/>
      <family val="1"/>
    </font>
    <font>
      <sz val="20"/>
      <color rgb="FFFF0000"/>
      <name val="Times New Roman"/>
      <family val="1"/>
    </font>
    <font>
      <sz val="20"/>
      <color rgb="FFFF0000"/>
      <name val="Arial"/>
      <family val="2"/>
    </font>
    <font>
      <sz val="16"/>
      <color theme="1"/>
      <name val="Times New Roman"/>
      <family val="1"/>
    </font>
    <font>
      <b/>
      <sz val="10"/>
      <color theme="1"/>
      <name val="Times New Roman"/>
      <family val="1"/>
    </font>
    <font>
      <sz val="12"/>
      <color theme="1"/>
      <name val="Times New Roman"/>
      <family val="1"/>
    </font>
    <font>
      <b/>
      <sz val="14"/>
      <color rgb="FFFF0000"/>
      <name val="Times New Roman"/>
      <family val="1"/>
    </font>
    <font>
      <sz val="10"/>
      <color rgb="FFFF0000"/>
      <name val="Arial"/>
      <family val="2"/>
    </font>
    <font>
      <u/>
      <sz val="12"/>
      <name val="Times New Roman"/>
      <family val="1"/>
    </font>
    <font>
      <b/>
      <sz val="12"/>
      <color rgb="FFFF0000"/>
      <name val="Times New Roman"/>
      <family val="1"/>
    </font>
    <font>
      <sz val="10"/>
      <color theme="0"/>
      <name val="Times New Roman"/>
      <family val="1"/>
    </font>
    <font>
      <b/>
      <i/>
      <sz val="10"/>
      <name val="Times New Roman"/>
      <family val="1"/>
    </font>
    <font>
      <b/>
      <sz val="14"/>
      <color theme="1"/>
      <name val="Times New Roman"/>
      <family val="1"/>
    </font>
    <font>
      <sz val="10"/>
      <color indexed="10"/>
      <name val="Arial"/>
      <family val="2"/>
    </font>
    <font>
      <b/>
      <sz val="10"/>
      <color rgb="FFFF0000"/>
      <name val="Arial"/>
      <family val="2"/>
    </font>
    <font>
      <b/>
      <sz val="15"/>
      <name val="Arial"/>
      <family val="2"/>
    </font>
    <font>
      <b/>
      <strike/>
      <sz val="14"/>
      <name val="Times New Roman"/>
      <family val="1"/>
    </font>
    <font>
      <i/>
      <sz val="14"/>
      <name val="Times New Roman"/>
      <family val="1"/>
    </font>
    <font>
      <b/>
      <i/>
      <sz val="16"/>
      <color rgb="FFFF0000"/>
      <name val="Times New Roman"/>
      <family val="1"/>
    </font>
    <font>
      <b/>
      <i/>
      <sz val="14"/>
      <name val="Times New Roman"/>
      <family val="1"/>
    </font>
    <font>
      <i/>
      <vertAlign val="superscript"/>
      <sz val="14"/>
      <name val="Times New Roman"/>
      <family val="1"/>
    </font>
    <font>
      <b/>
      <i/>
      <vertAlign val="superscript"/>
      <sz val="14"/>
      <name val="Times New Roman"/>
      <family val="1"/>
    </font>
    <font>
      <sz val="10"/>
      <name val="Arial"/>
      <family val="2"/>
    </font>
    <font>
      <b/>
      <sz val="10"/>
      <color theme="0"/>
      <name val="Times New Roman"/>
      <family val="1"/>
    </font>
    <font>
      <vertAlign val="superscript"/>
      <sz val="14"/>
      <color theme="1"/>
      <name val="Times New Roman"/>
      <family val="1"/>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rgb="FFFFFFCC"/>
      </patternFill>
    </fill>
    <fill>
      <patternFill patternType="solid">
        <fgColor theme="7" tint="0.59999389629810485"/>
        <bgColor indexed="65"/>
      </patternFill>
    </fill>
    <fill>
      <patternFill patternType="solid">
        <fgColor theme="5" tint="0.79998168889431442"/>
        <bgColor indexed="65"/>
      </patternFill>
    </fill>
    <fill>
      <patternFill patternType="solid">
        <fgColor theme="2"/>
        <bgColor indexed="64"/>
      </patternFill>
    </fill>
    <fill>
      <patternFill patternType="solid">
        <fgColor rgb="FFFFFF00"/>
        <bgColor indexed="64"/>
      </patternFill>
    </fill>
    <fill>
      <patternFill patternType="solid">
        <fgColor indexed="9"/>
        <bgColor indexed="9"/>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1689">
    <xf numFmtId="0" fontId="0" fillId="0" borderId="0"/>
    <xf numFmtId="0" fontId="21" fillId="0" borderId="0"/>
    <xf numFmtId="43" fontId="27" fillId="0" borderId="0" applyFont="0" applyFill="0" applyBorder="0" applyAlignment="0" applyProtection="0"/>
    <xf numFmtId="0" fontId="44" fillId="0" borderId="0" applyNumberFormat="0" applyFill="0" applyBorder="0" applyAlignment="0" applyProtection="0">
      <alignment vertical="top"/>
      <protection locked="0"/>
    </xf>
    <xf numFmtId="0" fontId="14" fillId="0" borderId="0"/>
    <xf numFmtId="0" fontId="21" fillId="0" borderId="0"/>
    <xf numFmtId="0" fontId="13" fillId="0" borderId="0"/>
    <xf numFmtId="0" fontId="21" fillId="0" borderId="0"/>
    <xf numFmtId="0" fontId="12" fillId="0" borderId="0"/>
    <xf numFmtId="0" fontId="21" fillId="0" borderId="0"/>
    <xf numFmtId="0" fontId="27" fillId="0" borderId="0"/>
    <xf numFmtId="0" fontId="12"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43" fontId="21" fillId="0" borderId="0" applyFont="0" applyFill="0" applyBorder="0" applyAlignment="0" applyProtection="0"/>
    <xf numFmtId="0" fontId="12" fillId="0" borderId="0"/>
    <xf numFmtId="0" fontId="21" fillId="0" borderId="0"/>
    <xf numFmtId="0" fontId="21" fillId="0" borderId="0"/>
    <xf numFmtId="43" fontId="21"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21"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6" borderId="0" applyNumberFormat="0" applyBorder="0" applyAlignment="0" applyProtection="0"/>
    <xf numFmtId="0" fontId="21" fillId="0" borderId="0"/>
    <xf numFmtId="43" fontId="21"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21"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21" fillId="0" borderId="0"/>
    <xf numFmtId="43" fontId="21"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6" borderId="0" applyNumberFormat="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21" fillId="5" borderId="16" applyNumberFormat="0" applyFont="0" applyAlignment="0" applyProtection="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43" fontId="27" fillId="0" borderId="0" applyFont="0" applyFill="0" applyBorder="0" applyAlignment="0" applyProtection="0"/>
    <xf numFmtId="0" fontId="12"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6" borderId="0" applyNumberFormat="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6" borderId="0" applyNumberFormat="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4" fillId="0" borderId="0"/>
    <xf numFmtId="0" fontId="4"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3" fontId="21" fillId="0" borderId="0" applyFont="0" applyFill="0" applyBorder="0" applyAlignment="0" applyProtection="0"/>
    <xf numFmtId="0" fontId="4" fillId="0" borderId="0"/>
    <xf numFmtId="43" fontId="21"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6" borderId="0" applyNumberFormat="0" applyBorder="0" applyAlignment="0" applyProtection="0"/>
    <xf numFmtId="43" fontId="21"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21"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 fillId="7" borderId="0" applyNumberFormat="0" applyBorder="0" applyAlignment="0" applyProtection="0"/>
    <xf numFmtId="0" fontId="16" fillId="0" borderId="0"/>
    <xf numFmtId="170" fontId="17" fillId="0" borderId="7" applyFont="0" applyFill="0" applyBorder="0" applyAlignment="0" applyProtection="0">
      <alignment horizontal="right"/>
    </xf>
    <xf numFmtId="43" fontId="21" fillId="0" borderId="0" applyFont="0" applyFill="0" applyBorder="0" applyAlignment="0" applyProtection="0"/>
    <xf numFmtId="0" fontId="16" fillId="0" borderId="0"/>
    <xf numFmtId="43" fontId="21" fillId="0" borderId="0" applyFont="0" applyFill="0" applyBorder="0" applyAlignment="0" applyProtection="0"/>
    <xf numFmtId="43" fontId="21" fillId="0" borderId="0" applyFont="0" applyFill="0" applyBorder="0" applyAlignment="0" applyProtection="0"/>
    <xf numFmtId="0" fontId="2" fillId="0" borderId="0"/>
    <xf numFmtId="0" fontId="21" fillId="0" borderId="0"/>
    <xf numFmtId="9" fontId="86" fillId="0" borderId="0" applyFont="0" applyFill="0" applyBorder="0" applyAlignment="0" applyProtection="0"/>
    <xf numFmtId="43" fontId="21" fillId="0" borderId="0" applyFont="0" applyFill="0" applyBorder="0" applyAlignment="0" applyProtection="0"/>
    <xf numFmtId="0" fontId="1" fillId="0" borderId="0"/>
    <xf numFmtId="0" fontId="1" fillId="0" borderId="0"/>
    <xf numFmtId="0" fontId="1" fillId="0" borderId="0"/>
    <xf numFmtId="0" fontId="21" fillId="0" borderId="0"/>
    <xf numFmtId="0" fontId="1"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0" fontId="1" fillId="0" borderId="0"/>
    <xf numFmtId="43" fontId="2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43" fontId="2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0" fontId="1" fillId="0" borderId="0"/>
    <xf numFmtId="43" fontId="2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43" fontId="2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7" borderId="0" applyNumberFormat="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cellStyleXfs>
  <cellXfs count="803">
    <xf numFmtId="0" fontId="0" fillId="0" borderId="0" xfId="0"/>
    <xf numFmtId="0" fontId="19" fillId="0" borderId="0" xfId="1" applyFont="1"/>
    <xf numFmtId="0" fontId="25" fillId="0" borderId="0" xfId="1" applyFont="1"/>
    <xf numFmtId="49" fontId="19" fillId="0" borderId="0" xfId="1" applyNumberFormat="1" applyFont="1" applyAlignment="1">
      <alignment horizontal="center"/>
    </xf>
    <xf numFmtId="164" fontId="19" fillId="0" borderId="0" xfId="1" applyNumberFormat="1" applyFont="1"/>
    <xf numFmtId="0" fontId="19" fillId="0" borderId="0" xfId="1" applyFont="1" applyAlignment="1">
      <alignment horizontal="left"/>
    </xf>
    <xf numFmtId="164" fontId="17" fillId="3" borderId="5" xfId="1" applyNumberFormat="1" applyFont="1" applyFill="1" applyBorder="1" applyAlignment="1">
      <alignment horizontal="right"/>
    </xf>
    <xf numFmtId="0" fontId="19" fillId="0" borderId="6" xfId="1" applyFont="1" applyBorder="1"/>
    <xf numFmtId="164" fontId="17" fillId="3" borderId="2" xfId="1" applyNumberFormat="1" applyFont="1" applyFill="1" applyBorder="1" applyAlignment="1">
      <alignment horizontal="right"/>
    </xf>
    <xf numFmtId="0" fontId="17" fillId="0" borderId="4" xfId="1" applyFont="1" applyBorder="1"/>
    <xf numFmtId="0" fontId="17" fillId="0" borderId="3" xfId="1" applyFont="1" applyBorder="1"/>
    <xf numFmtId="0" fontId="17" fillId="0" borderId="7" xfId="1" applyFont="1" applyBorder="1"/>
    <xf numFmtId="0" fontId="17" fillId="0" borderId="6" xfId="1" applyFont="1" applyBorder="1" applyAlignment="1">
      <alignment horizontal="center"/>
    </xf>
    <xf numFmtId="0" fontId="17" fillId="0" borderId="11" xfId="1" applyFont="1" applyBorder="1" applyAlignment="1">
      <alignment horizontal="center"/>
    </xf>
    <xf numFmtId="0" fontId="17" fillId="0" borderId="5" xfId="1" applyFont="1" applyBorder="1" applyAlignment="1">
      <alignment horizontal="center"/>
    </xf>
    <xf numFmtId="0" fontId="17" fillId="0" borderId="11" xfId="1" applyFont="1" applyBorder="1"/>
    <xf numFmtId="0" fontId="17" fillId="0" borderId="7" xfId="1" applyFont="1" applyBorder="1" applyAlignment="1">
      <alignment horizontal="center"/>
    </xf>
    <xf numFmtId="14" fontId="18" fillId="0" borderId="4" xfId="1" applyNumberFormat="1" applyFont="1" applyBorder="1" applyAlignment="1">
      <alignment horizontal="center"/>
    </xf>
    <xf numFmtId="0" fontId="19" fillId="0" borderId="3" xfId="1" applyFont="1" applyBorder="1"/>
    <xf numFmtId="164" fontId="19" fillId="3" borderId="6" xfId="1" applyNumberFormat="1" applyFont="1" applyFill="1" applyBorder="1" applyAlignment="1">
      <alignment horizontal="right"/>
    </xf>
    <xf numFmtId="164" fontId="19" fillId="3" borderId="3" xfId="1" applyNumberFormat="1" applyFont="1" applyFill="1" applyBorder="1" applyAlignment="1">
      <alignment horizontal="right"/>
    </xf>
    <xf numFmtId="164" fontId="17" fillId="3" borderId="3" xfId="1" applyNumberFormat="1" applyFont="1" applyFill="1" applyBorder="1" applyAlignment="1">
      <alignment horizontal="right"/>
    </xf>
    <xf numFmtId="3" fontId="19" fillId="0" borderId="0" xfId="1" applyNumberFormat="1" applyFont="1"/>
    <xf numFmtId="164" fontId="19" fillId="3" borderId="2" xfId="1" applyNumberFormat="1" applyFont="1" applyFill="1" applyBorder="1" applyAlignment="1">
      <alignment horizontal="right"/>
    </xf>
    <xf numFmtId="0" fontId="16" fillId="0" borderId="0" xfId="1" applyFont="1"/>
    <xf numFmtId="0" fontId="23" fillId="0" borderId="0" xfId="1" applyFont="1"/>
    <xf numFmtId="164" fontId="17" fillId="0" borderId="0" xfId="1" applyNumberFormat="1" applyFont="1" applyAlignment="1">
      <alignment horizontal="right"/>
    </xf>
    <xf numFmtId="3" fontId="19" fillId="0" borderId="0" xfId="1" applyNumberFormat="1" applyFont="1" applyAlignment="1">
      <alignment horizontal="center"/>
    </xf>
    <xf numFmtId="164" fontId="19" fillId="0" borderId="0" xfId="1" applyNumberFormat="1" applyFont="1" applyAlignment="1">
      <alignment horizontal="right"/>
    </xf>
    <xf numFmtId="49" fontId="19" fillId="0" borderId="0" xfId="1" applyNumberFormat="1" applyFont="1" applyAlignment="1">
      <alignment horizontal="right"/>
    </xf>
    <xf numFmtId="164" fontId="17" fillId="3" borderId="6" xfId="1" applyNumberFormat="1" applyFont="1" applyFill="1" applyBorder="1" applyAlignment="1">
      <alignment horizontal="right"/>
    </xf>
    <xf numFmtId="3" fontId="19" fillId="0" borderId="0" xfId="1" quotePrefix="1" applyNumberFormat="1" applyFont="1" applyAlignment="1">
      <alignment horizontal="center"/>
    </xf>
    <xf numFmtId="0" fontId="17" fillId="0" borderId="0" xfId="1" applyFont="1" applyAlignment="1">
      <alignment horizontal="center"/>
    </xf>
    <xf numFmtId="0" fontId="17" fillId="0" borderId="6" xfId="1" applyFont="1" applyBorder="1"/>
    <xf numFmtId="14" fontId="18" fillId="0" borderId="0" xfId="1" applyNumberFormat="1" applyFont="1" applyAlignment="1">
      <alignment horizontal="center"/>
    </xf>
    <xf numFmtId="0" fontId="17" fillId="0" borderId="0" xfId="1" applyFont="1"/>
    <xf numFmtId="3" fontId="19" fillId="0" borderId="3" xfId="1" applyNumberFormat="1" applyFont="1" applyBorder="1" applyAlignment="1">
      <alignment horizontal="right"/>
    </xf>
    <xf numFmtId="3" fontId="19" fillId="0" borderId="6" xfId="1" applyNumberFormat="1" applyFont="1" applyBorder="1" applyAlignment="1">
      <alignment horizontal="right"/>
    </xf>
    <xf numFmtId="3" fontId="20" fillId="0" borderId="0" xfId="1" applyNumberFormat="1" applyFont="1" applyAlignment="1">
      <alignment horizontal="right"/>
    </xf>
    <xf numFmtId="0" fontId="19" fillId="0" borderId="4" xfId="1" applyFont="1" applyBorder="1"/>
    <xf numFmtId="0" fontId="19" fillId="0" borderId="0" xfId="1" applyFont="1" applyAlignment="1">
      <alignment horizontal="right"/>
    </xf>
    <xf numFmtId="0" fontId="39" fillId="0" borderId="0" xfId="0" applyFont="1"/>
    <xf numFmtId="0" fontId="40" fillId="0" borderId="0" xfId="0" applyFont="1"/>
    <xf numFmtId="0" fontId="41" fillId="0" borderId="0" xfId="0" applyFont="1"/>
    <xf numFmtId="0" fontId="43" fillId="0" borderId="0" xfId="0" applyFont="1"/>
    <xf numFmtId="0" fontId="43" fillId="0" borderId="0" xfId="3" applyFont="1" applyAlignment="1" applyProtection="1"/>
    <xf numFmtId="0" fontId="45" fillId="0" borderId="0" xfId="0" applyFont="1"/>
    <xf numFmtId="0" fontId="19" fillId="0" borderId="0" xfId="3" applyFont="1" applyFill="1" applyAlignment="1" applyProtection="1"/>
    <xf numFmtId="0" fontId="32" fillId="0" borderId="0" xfId="0" applyFont="1"/>
    <xf numFmtId="0" fontId="46" fillId="0" borderId="0" xfId="0" applyFont="1"/>
    <xf numFmtId="0" fontId="47" fillId="0" borderId="0" xfId="0" applyFont="1"/>
    <xf numFmtId="3" fontId="32" fillId="0" borderId="0" xfId="0" applyNumberFormat="1" applyFont="1"/>
    <xf numFmtId="0" fontId="42" fillId="0" borderId="0" xfId="0" applyFont="1"/>
    <xf numFmtId="0" fontId="38" fillId="0" borderId="0" xfId="0" applyFont="1"/>
    <xf numFmtId="14" fontId="15" fillId="0" borderId="13" xfId="0" applyNumberFormat="1" applyFont="1" applyBorder="1" applyAlignment="1">
      <alignment horizontal="left"/>
    </xf>
    <xf numFmtId="0" fontId="32" fillId="0" borderId="10" xfId="0" applyFont="1" applyBorder="1"/>
    <xf numFmtId="0" fontId="32" fillId="0" borderId="8" xfId="0" applyFont="1" applyBorder="1"/>
    <xf numFmtId="0" fontId="32" fillId="0" borderId="9" xfId="0" applyFont="1" applyBorder="1"/>
    <xf numFmtId="0" fontId="32" fillId="0" borderId="3" xfId="0" applyFont="1" applyBorder="1"/>
    <xf numFmtId="0" fontId="19" fillId="0" borderId="0" xfId="0" applyFont="1"/>
    <xf numFmtId="3" fontId="46" fillId="0" borderId="7" xfId="0" applyNumberFormat="1" applyFont="1" applyBorder="1"/>
    <xf numFmtId="0" fontId="46" fillId="0" borderId="0" xfId="0" applyFont="1" applyAlignment="1">
      <alignment horizontal="center"/>
    </xf>
    <xf numFmtId="0" fontId="46" fillId="0" borderId="3" xfId="0" applyFont="1" applyBorder="1" applyAlignment="1">
      <alignment horizontal="center"/>
    </xf>
    <xf numFmtId="3" fontId="46" fillId="0" borderId="3" xfId="0" applyNumberFormat="1" applyFont="1" applyBorder="1"/>
    <xf numFmtId="0" fontId="17" fillId="0" borderId="4" xfId="0" applyFont="1" applyBorder="1" applyAlignment="1">
      <alignment horizontal="center"/>
    </xf>
    <xf numFmtId="0" fontId="17" fillId="0" borderId="1" xfId="0" applyFont="1" applyBorder="1" applyAlignment="1">
      <alignment horizontal="center"/>
    </xf>
    <xf numFmtId="0" fontId="17" fillId="0" borderId="7" xfId="0" applyFont="1" applyBorder="1" applyAlignment="1">
      <alignment horizontal="center"/>
    </xf>
    <xf numFmtId="0" fontId="17" fillId="0" borderId="3" xfId="0" applyFont="1" applyBorder="1" applyAlignment="1">
      <alignment horizontal="center"/>
    </xf>
    <xf numFmtId="3" fontId="49" fillId="4" borderId="6" xfId="0" applyNumberFormat="1" applyFont="1" applyFill="1" applyBorder="1"/>
    <xf numFmtId="0" fontId="15" fillId="0" borderId="11" xfId="0" applyFont="1" applyBorder="1" applyAlignment="1">
      <alignment horizontal="center"/>
    </xf>
    <xf numFmtId="0" fontId="17" fillId="0" borderId="11" xfId="0" applyFont="1" applyBorder="1" applyAlignment="1">
      <alignment horizontal="center"/>
    </xf>
    <xf numFmtId="0" fontId="17" fillId="0" borderId="6" xfId="0" applyFont="1" applyBorder="1" applyAlignment="1">
      <alignment horizontal="center"/>
    </xf>
    <xf numFmtId="0" fontId="17" fillId="0" borderId="0" xfId="0" applyFont="1" applyAlignment="1">
      <alignment horizontal="center"/>
    </xf>
    <xf numFmtId="0" fontId="46" fillId="0" borderId="3" xfId="0" applyFont="1" applyBorder="1"/>
    <xf numFmtId="0" fontId="32" fillId="0" borderId="1" xfId="0" applyFont="1" applyBorder="1"/>
    <xf numFmtId="3" fontId="32" fillId="0" borderId="4" xfId="0" applyNumberFormat="1" applyFont="1" applyBorder="1"/>
    <xf numFmtId="3" fontId="32" fillId="0" borderId="4" xfId="0" applyNumberFormat="1" applyFont="1" applyBorder="1" applyAlignment="1">
      <alignment horizontal="right"/>
    </xf>
    <xf numFmtId="0" fontId="32" fillId="0" borderId="4" xfId="0" applyFont="1" applyBorder="1"/>
    <xf numFmtId="3" fontId="46" fillId="0" borderId="4" xfId="0" applyNumberFormat="1" applyFont="1" applyBorder="1"/>
    <xf numFmtId="3" fontId="46" fillId="0" borderId="4" xfId="0" applyNumberFormat="1" applyFont="1" applyBorder="1" applyAlignment="1">
      <alignment horizontal="right"/>
    </xf>
    <xf numFmtId="0" fontId="17" fillId="0" borderId="0" xfId="0" applyFont="1"/>
    <xf numFmtId="0" fontId="46" fillId="0" borderId="6" xfId="0" applyFont="1" applyBorder="1"/>
    <xf numFmtId="3" fontId="46" fillId="0" borderId="11" xfId="0" applyNumberFormat="1" applyFont="1" applyBorder="1"/>
    <xf numFmtId="3" fontId="46" fillId="0" borderId="11" xfId="0" applyNumberFormat="1" applyFont="1" applyBorder="1" applyAlignment="1">
      <alignment horizontal="right"/>
    </xf>
    <xf numFmtId="0" fontId="32" fillId="0" borderId="0" xfId="0" applyFont="1" applyAlignment="1">
      <alignment horizontal="left"/>
    </xf>
    <xf numFmtId="0" fontId="46" fillId="0" borderId="0" xfId="0" applyFont="1" applyAlignment="1">
      <alignment horizontal="left"/>
    </xf>
    <xf numFmtId="0" fontId="32" fillId="0" borderId="14" xfId="0" applyFont="1" applyBorder="1"/>
    <xf numFmtId="0" fontId="32" fillId="0" borderId="15" xfId="0" applyFont="1" applyBorder="1"/>
    <xf numFmtId="166" fontId="46" fillId="0" borderId="7" xfId="0" applyNumberFormat="1" applyFont="1" applyBorder="1" applyAlignment="1">
      <alignment horizontal="left"/>
    </xf>
    <xf numFmtId="0" fontId="46" fillId="0" borderId="2" xfId="0" applyFont="1" applyBorder="1" applyAlignment="1">
      <alignment horizontal="center"/>
    </xf>
    <xf numFmtId="166" fontId="46" fillId="0" borderId="3" xfId="0" applyNumberFormat="1" applyFont="1" applyBorder="1" applyAlignment="1">
      <alignment horizontal="left"/>
    </xf>
    <xf numFmtId="0" fontId="46" fillId="0" borderId="4" xfId="0" applyFont="1" applyBorder="1" applyAlignment="1">
      <alignment horizontal="center"/>
    </xf>
    <xf numFmtId="0" fontId="46" fillId="0" borderId="1" xfId="0" applyFont="1" applyBorder="1" applyAlignment="1">
      <alignment horizontal="center"/>
    </xf>
    <xf numFmtId="0" fontId="17" fillId="0" borderId="2" xfId="0" applyFont="1" applyBorder="1" applyAlignment="1">
      <alignment horizontal="center"/>
    </xf>
    <xf numFmtId="166" fontId="51" fillId="0" borderId="6" xfId="0" applyNumberFormat="1" applyFont="1" applyBorder="1" applyAlignment="1">
      <alignment horizontal="left"/>
    </xf>
    <xf numFmtId="0" fontId="15" fillId="0" borderId="6" xfId="0" applyFont="1" applyBorder="1" applyAlignment="1">
      <alignment horizontal="center"/>
    </xf>
    <xf numFmtId="0" fontId="17" fillId="0" borderId="12" xfId="0" applyFont="1" applyBorder="1" applyAlignment="1">
      <alignment horizontal="center"/>
    </xf>
    <xf numFmtId="3" fontId="32" fillId="0" borderId="1" xfId="0" applyNumberFormat="1" applyFont="1" applyBorder="1"/>
    <xf numFmtId="3" fontId="32" fillId="0" borderId="2" xfId="0" applyNumberFormat="1" applyFont="1" applyBorder="1"/>
    <xf numFmtId="3" fontId="52" fillId="0" borderId="4" xfId="0" applyNumberFormat="1" applyFont="1" applyBorder="1" applyAlignment="1">
      <alignment horizontal="right"/>
    </xf>
    <xf numFmtId="0" fontId="53" fillId="0" borderId="0" xfId="0" applyFont="1"/>
    <xf numFmtId="3" fontId="54" fillId="0" borderId="0" xfId="0" applyNumberFormat="1" applyFont="1"/>
    <xf numFmtId="0" fontId="54" fillId="0" borderId="0" xfId="0" applyFont="1"/>
    <xf numFmtId="0" fontId="46" fillId="0" borderId="4" xfId="0" applyFont="1" applyBorder="1"/>
    <xf numFmtId="3" fontId="46" fillId="0" borderId="0" xfId="0" applyNumberFormat="1" applyFont="1" applyAlignment="1">
      <alignment horizontal="right"/>
    </xf>
    <xf numFmtId="3" fontId="17" fillId="0" borderId="4" xfId="1" applyNumberFormat="1" applyFont="1" applyBorder="1"/>
    <xf numFmtId="3" fontId="16" fillId="0" borderId="0" xfId="1" applyNumberFormat="1" applyFont="1"/>
    <xf numFmtId="3" fontId="17" fillId="0" borderId="0" xfId="1" applyNumberFormat="1" applyFont="1"/>
    <xf numFmtId="3" fontId="17" fillId="0" borderId="1" xfId="1" applyNumberFormat="1" applyFont="1" applyBorder="1"/>
    <xf numFmtId="3" fontId="19" fillId="0" borderId="0" xfId="1" applyNumberFormat="1" applyFont="1" applyAlignment="1">
      <alignment horizontal="right"/>
    </xf>
    <xf numFmtId="3" fontId="15" fillId="0" borderId="0" xfId="1" applyNumberFormat="1" applyFont="1"/>
    <xf numFmtId="3" fontId="17" fillId="0" borderId="5" xfId="1" applyNumberFormat="1" applyFont="1" applyBorder="1" applyAlignment="1">
      <alignment horizontal="center"/>
    </xf>
    <xf numFmtId="3" fontId="23" fillId="0" borderId="0" xfId="1" applyNumberFormat="1" applyFont="1"/>
    <xf numFmtId="3" fontId="18" fillId="0" borderId="4" xfId="1" applyNumberFormat="1" applyFont="1" applyBorder="1" applyAlignment="1">
      <alignment horizontal="center"/>
    </xf>
    <xf numFmtId="3" fontId="19" fillId="0" borderId="4" xfId="1" applyNumberFormat="1" applyFont="1" applyBorder="1"/>
    <xf numFmtId="3" fontId="19" fillId="0" borderId="0" xfId="1" applyNumberFormat="1" applyFont="1" applyAlignment="1">
      <alignment horizontal="left"/>
    </xf>
    <xf numFmtId="3" fontId="17" fillId="0" borderId="6" xfId="1" applyNumberFormat="1" applyFont="1" applyBorder="1" applyAlignment="1">
      <alignment horizontal="center"/>
    </xf>
    <xf numFmtId="3" fontId="17" fillId="0" borderId="3" xfId="1" applyNumberFormat="1" applyFont="1" applyBorder="1"/>
    <xf numFmtId="3" fontId="17" fillId="0" borderId="0" xfId="1" applyNumberFormat="1" applyFont="1" applyAlignment="1">
      <alignment horizontal="right"/>
    </xf>
    <xf numFmtId="3" fontId="17" fillId="3" borderId="2" xfId="1" applyNumberFormat="1" applyFont="1" applyFill="1" applyBorder="1" applyAlignment="1">
      <alignment horizontal="right"/>
    </xf>
    <xf numFmtId="3" fontId="17" fillId="0" borderId="11" xfId="1" applyNumberFormat="1" applyFont="1" applyBorder="1" applyAlignment="1">
      <alignment horizontal="center"/>
    </xf>
    <xf numFmtId="3" fontId="17" fillId="0" borderId="7" xfId="1" applyNumberFormat="1" applyFont="1" applyBorder="1" applyAlignment="1">
      <alignment horizontal="center"/>
    </xf>
    <xf numFmtId="3" fontId="15" fillId="0" borderId="12" xfId="1" applyNumberFormat="1" applyFont="1" applyBorder="1"/>
    <xf numFmtId="3" fontId="19" fillId="3" borderId="3" xfId="1" applyNumberFormat="1" applyFont="1" applyFill="1" applyBorder="1" applyAlignment="1">
      <alignment horizontal="right"/>
    </xf>
    <xf numFmtId="3" fontId="19" fillId="3" borderId="6" xfId="1" applyNumberFormat="1" applyFont="1" applyFill="1" applyBorder="1" applyAlignment="1">
      <alignment horizontal="right"/>
    </xf>
    <xf numFmtId="3" fontId="17" fillId="3" borderId="6" xfId="1" applyNumberFormat="1" applyFont="1" applyFill="1" applyBorder="1" applyAlignment="1">
      <alignment horizontal="right"/>
    </xf>
    <xf numFmtId="3" fontId="17" fillId="3" borderId="5" xfId="1" applyNumberFormat="1" applyFont="1" applyFill="1" applyBorder="1" applyAlignment="1">
      <alignment horizontal="right"/>
    </xf>
    <xf numFmtId="3" fontId="17" fillId="3" borderId="3" xfId="1" applyNumberFormat="1" applyFont="1" applyFill="1" applyBorder="1" applyAlignment="1">
      <alignment horizontal="right"/>
    </xf>
    <xf numFmtId="3" fontId="19" fillId="0" borderId="10" xfId="1" applyNumberFormat="1" applyFont="1" applyBorder="1" applyAlignment="1">
      <alignment horizontal="left"/>
    </xf>
    <xf numFmtId="3" fontId="18" fillId="0" borderId="7" xfId="1" applyNumberFormat="1" applyFont="1" applyBorder="1" applyAlignment="1">
      <alignment horizontal="center"/>
    </xf>
    <xf numFmtId="3" fontId="17" fillId="0" borderId="0" xfId="1" applyNumberFormat="1" applyFont="1" applyAlignment="1">
      <alignment horizontal="center"/>
    </xf>
    <xf numFmtId="3" fontId="18" fillId="0" borderId="0" xfId="1" applyNumberFormat="1" applyFont="1" applyAlignment="1">
      <alignment horizontal="center"/>
    </xf>
    <xf numFmtId="3" fontId="19" fillId="3" borderId="2" xfId="1" applyNumberFormat="1" applyFont="1" applyFill="1" applyBorder="1" applyAlignment="1">
      <alignment horizontal="right"/>
    </xf>
    <xf numFmtId="3" fontId="32" fillId="0" borderId="3" xfId="0" applyNumberFormat="1" applyFont="1" applyBorder="1"/>
    <xf numFmtId="3" fontId="46" fillId="0" borderId="0" xfId="0" applyNumberFormat="1" applyFont="1"/>
    <xf numFmtId="3" fontId="46" fillId="0" borderId="6" xfId="0" applyNumberFormat="1" applyFont="1" applyBorder="1"/>
    <xf numFmtId="3" fontId="32" fillId="0" borderId="0" xfId="0" applyNumberFormat="1" applyFont="1" applyAlignment="1">
      <alignment horizontal="right"/>
    </xf>
    <xf numFmtId="3" fontId="52" fillId="0" borderId="0" xfId="0" applyNumberFormat="1" applyFont="1" applyAlignment="1">
      <alignment horizontal="right"/>
    </xf>
    <xf numFmtId="0" fontId="15" fillId="0" borderId="4" xfId="0" applyFont="1" applyBorder="1" applyAlignment="1">
      <alignment horizontal="center"/>
    </xf>
    <xf numFmtId="0" fontId="15" fillId="0" borderId="3" xfId="0" applyFont="1" applyBorder="1" applyAlignment="1">
      <alignment horizontal="center"/>
    </xf>
    <xf numFmtId="3" fontId="19" fillId="2" borderId="3" xfId="1" applyNumberFormat="1" applyFont="1" applyFill="1" applyBorder="1" applyAlignment="1">
      <alignment horizontal="right"/>
    </xf>
    <xf numFmtId="3" fontId="24" fillId="0" borderId="4" xfId="1" applyNumberFormat="1" applyFont="1" applyBorder="1" applyAlignment="1">
      <alignment horizontal="right"/>
    </xf>
    <xf numFmtId="3" fontId="24" fillId="0" borderId="3" xfId="1" applyNumberFormat="1" applyFont="1" applyBorder="1" applyAlignment="1">
      <alignment horizontal="right"/>
    </xf>
    <xf numFmtId="3" fontId="19" fillId="0" borderId="4" xfId="1" quotePrefix="1" applyNumberFormat="1" applyFont="1" applyBorder="1" applyAlignment="1">
      <alignment horizontal="right"/>
    </xf>
    <xf numFmtId="166" fontId="46" fillId="0" borderId="4" xfId="0" applyNumberFormat="1" applyFont="1" applyBorder="1" applyAlignment="1">
      <alignment horizontal="left"/>
    </xf>
    <xf numFmtId="0" fontId="52" fillId="0" borderId="4" xfId="0" applyFont="1" applyBorder="1"/>
    <xf numFmtId="0" fontId="46" fillId="0" borderId="11" xfId="0" applyFont="1" applyBorder="1"/>
    <xf numFmtId="3" fontId="32" fillId="0" borderId="3" xfId="0" applyNumberFormat="1" applyFont="1" applyBorder="1" applyAlignment="1">
      <alignment horizontal="right"/>
    </xf>
    <xf numFmtId="3" fontId="52" fillId="0" borderId="3" xfId="0" applyNumberFormat="1" applyFont="1" applyBorder="1" applyAlignment="1">
      <alignment horizontal="right"/>
    </xf>
    <xf numFmtId="3" fontId="46" fillId="0" borderId="3" xfId="0" applyNumberFormat="1" applyFont="1" applyBorder="1" applyAlignment="1">
      <alignment horizontal="right"/>
    </xf>
    <xf numFmtId="3" fontId="46" fillId="0" borderId="6" xfId="0" applyNumberFormat="1" applyFont="1" applyBorder="1" applyAlignment="1">
      <alignment horizontal="right"/>
    </xf>
    <xf numFmtId="0" fontId="38" fillId="0" borderId="4" xfId="0" applyFont="1" applyBorder="1" applyAlignment="1">
      <alignment horizontal="right"/>
    </xf>
    <xf numFmtId="3" fontId="32" fillId="0" borderId="7" xfId="0" applyNumberFormat="1" applyFont="1" applyBorder="1" applyAlignment="1">
      <alignment horizontal="right"/>
    </xf>
    <xf numFmtId="3" fontId="32" fillId="0" borderId="14" xfId="0" applyNumberFormat="1" applyFont="1" applyBorder="1" applyAlignment="1">
      <alignment horizontal="right"/>
    </xf>
    <xf numFmtId="0" fontId="38" fillId="0" borderId="3" xfId="0" applyFont="1" applyBorder="1" applyAlignment="1">
      <alignment horizontal="right"/>
    </xf>
    <xf numFmtId="3" fontId="32" fillId="0" borderId="6" xfId="0" applyNumberFormat="1" applyFont="1" applyBorder="1" applyAlignment="1">
      <alignment horizontal="right"/>
    </xf>
    <xf numFmtId="3" fontId="17" fillId="0" borderId="0" xfId="0" applyNumberFormat="1" applyFont="1"/>
    <xf numFmtId="3" fontId="17" fillId="0" borderId="4" xfId="1" applyNumberFormat="1" applyFont="1" applyBorder="1" applyAlignment="1">
      <alignment horizontal="center"/>
    </xf>
    <xf numFmtId="3" fontId="19" fillId="0" borderId="0" xfId="0" applyNumberFormat="1" applyFont="1"/>
    <xf numFmtId="0" fontId="19" fillId="8" borderId="1" xfId="0" applyFont="1" applyFill="1" applyBorder="1"/>
    <xf numFmtId="0" fontId="19" fillId="8" borderId="15" xfId="0" applyFont="1" applyFill="1" applyBorder="1"/>
    <xf numFmtId="0" fontId="19" fillId="8" borderId="14" xfId="0" applyFont="1" applyFill="1" applyBorder="1"/>
    <xf numFmtId="0" fontId="17" fillId="8" borderId="1" xfId="0" applyFont="1" applyFill="1" applyBorder="1" applyAlignment="1">
      <alignment horizontal="center"/>
    </xf>
    <xf numFmtId="0" fontId="17" fillId="8" borderId="15" xfId="0" applyFont="1" applyFill="1" applyBorder="1" applyAlignment="1">
      <alignment horizontal="center"/>
    </xf>
    <xf numFmtId="0" fontId="17" fillId="8" borderId="14" xfId="0" applyFont="1" applyFill="1" applyBorder="1" applyAlignment="1">
      <alignment horizontal="center"/>
    </xf>
    <xf numFmtId="0" fontId="17" fillId="8" borderId="11" xfId="0" applyFont="1" applyFill="1" applyBorder="1" applyAlignment="1">
      <alignment horizontal="center"/>
    </xf>
    <xf numFmtId="0" fontId="17" fillId="8" borderId="5" xfId="0" applyFont="1" applyFill="1" applyBorder="1" applyAlignment="1">
      <alignment horizontal="center"/>
    </xf>
    <xf numFmtId="0" fontId="17" fillId="8" borderId="12" xfId="0" applyFont="1" applyFill="1" applyBorder="1" applyAlignment="1">
      <alignment horizontal="center"/>
    </xf>
    <xf numFmtId="0" fontId="17" fillId="8" borderId="3" xfId="0" applyFont="1" applyFill="1" applyBorder="1"/>
    <xf numFmtId="3" fontId="19" fillId="8" borderId="2" xfId="0" applyNumberFormat="1" applyFont="1" applyFill="1" applyBorder="1"/>
    <xf numFmtId="3" fontId="19" fillId="8" borderId="7" xfId="0" applyNumberFormat="1" applyFont="1" applyFill="1" applyBorder="1"/>
    <xf numFmtId="3" fontId="19" fillId="8" borderId="3" xfId="0" applyNumberFormat="1" applyFont="1" applyFill="1" applyBorder="1"/>
    <xf numFmtId="0" fontId="17" fillId="8" borderId="3" xfId="0" applyFont="1" applyFill="1" applyBorder="1" applyAlignment="1">
      <alignment horizontal="center"/>
    </xf>
    <xf numFmtId="0" fontId="17" fillId="8" borderId="2" xfId="0" applyFont="1" applyFill="1" applyBorder="1" applyAlignment="1">
      <alignment horizontal="center"/>
    </xf>
    <xf numFmtId="0" fontId="19" fillId="8" borderId="2" xfId="0" applyFont="1" applyFill="1" applyBorder="1"/>
    <xf numFmtId="0" fontId="19" fillId="8" borderId="3" xfId="0" applyFont="1" applyFill="1" applyBorder="1"/>
    <xf numFmtId="3" fontId="17" fillId="8" borderId="6" xfId="0" applyNumberFormat="1" applyFont="1" applyFill="1" applyBorder="1"/>
    <xf numFmtId="3" fontId="17" fillId="8" borderId="5" xfId="0" applyNumberFormat="1" applyFont="1" applyFill="1" applyBorder="1"/>
    <xf numFmtId="3" fontId="32" fillId="0" borderId="2" xfId="0" quotePrefix="1" applyNumberFormat="1" applyFont="1" applyBorder="1" applyAlignment="1">
      <alignment horizontal="right"/>
    </xf>
    <xf numFmtId="0" fontId="38" fillId="0" borderId="1" xfId="0" applyFont="1" applyBorder="1" applyAlignment="1">
      <alignment horizontal="right"/>
    </xf>
    <xf numFmtId="3" fontId="32" fillId="0" borderId="3" xfId="0" quotePrefix="1" applyNumberFormat="1" applyFont="1" applyBorder="1" applyAlignment="1">
      <alignment horizontal="right"/>
    </xf>
    <xf numFmtId="3" fontId="19" fillId="0" borderId="2" xfId="1" applyNumberFormat="1" applyFont="1" applyBorder="1" applyAlignment="1">
      <alignment horizontal="right"/>
    </xf>
    <xf numFmtId="3" fontId="19" fillId="2" borderId="2" xfId="1" applyNumberFormat="1" applyFont="1" applyFill="1" applyBorder="1" applyAlignment="1">
      <alignment horizontal="right"/>
    </xf>
    <xf numFmtId="3" fontId="17" fillId="0" borderId="3" xfId="1" applyNumberFormat="1" applyFont="1" applyBorder="1" applyAlignment="1">
      <alignment horizontal="right"/>
    </xf>
    <xf numFmtId="3" fontId="19" fillId="0" borderId="2" xfId="1" quotePrefix="1" applyNumberFormat="1" applyFont="1" applyBorder="1" applyAlignment="1">
      <alignment horizontal="right"/>
    </xf>
    <xf numFmtId="3" fontId="19" fillId="0" borderId="6" xfId="1" quotePrefix="1" applyNumberFormat="1" applyFont="1" applyBorder="1" applyAlignment="1">
      <alignment horizontal="right"/>
    </xf>
    <xf numFmtId="3" fontId="19" fillId="0" borderId="5" xfId="1" quotePrefix="1" applyNumberFormat="1" applyFont="1" applyBorder="1" applyAlignment="1">
      <alignment horizontal="right"/>
    </xf>
    <xf numFmtId="3" fontId="19" fillId="3" borderId="0" xfId="1" applyNumberFormat="1" applyFont="1" applyFill="1" applyAlignment="1">
      <alignment horizontal="right"/>
    </xf>
    <xf numFmtId="164" fontId="56" fillId="7" borderId="3" xfId="844" applyNumberFormat="1" applyFont="1" applyBorder="1" applyAlignment="1">
      <alignment horizontal="right"/>
    </xf>
    <xf numFmtId="3" fontId="46" fillId="0" borderId="2" xfId="0" applyNumberFormat="1" applyFont="1" applyBorder="1"/>
    <xf numFmtId="3" fontId="18" fillId="0" borderId="1" xfId="1" applyNumberFormat="1" applyFont="1" applyBorder="1" applyAlignment="1">
      <alignment horizontal="center"/>
    </xf>
    <xf numFmtId="3" fontId="15" fillId="0" borderId="9" xfId="1" applyNumberFormat="1" applyFont="1" applyBorder="1" applyAlignment="1">
      <alignment horizontal="center"/>
    </xf>
    <xf numFmtId="3" fontId="18" fillId="0" borderId="6" xfId="1" applyNumberFormat="1" applyFont="1" applyBorder="1" applyAlignment="1">
      <alignment horizontal="center"/>
    </xf>
    <xf numFmtId="3" fontId="17" fillId="0" borderId="3" xfId="1" applyNumberFormat="1" applyFont="1" applyBorder="1" applyAlignment="1">
      <alignment horizontal="center"/>
    </xf>
    <xf numFmtId="3" fontId="18" fillId="0" borderId="3" xfId="1" applyNumberFormat="1" applyFont="1" applyBorder="1" applyAlignment="1">
      <alignment horizontal="center"/>
    </xf>
    <xf numFmtId="3" fontId="17" fillId="0" borderId="2" xfId="1" applyNumberFormat="1" applyFont="1" applyBorder="1" applyAlignment="1">
      <alignment horizontal="center"/>
    </xf>
    <xf numFmtId="3" fontId="15" fillId="0" borderId="1" xfId="1" applyNumberFormat="1" applyFont="1" applyBorder="1"/>
    <xf numFmtId="0" fontId="19" fillId="0" borderId="6" xfId="0" applyFont="1" applyBorder="1"/>
    <xf numFmtId="0" fontId="17" fillId="0" borderId="3" xfId="1" applyFont="1" applyBorder="1" applyAlignment="1">
      <alignment horizontal="center"/>
    </xf>
    <xf numFmtId="0" fontId="17" fillId="0" borderId="15" xfId="1" applyFont="1" applyBorder="1" applyAlignment="1">
      <alignment horizontal="center"/>
    </xf>
    <xf numFmtId="14" fontId="18" fillId="0" borderId="1" xfId="1" applyNumberFormat="1" applyFont="1" applyBorder="1" applyAlignment="1">
      <alignment horizontal="center"/>
    </xf>
    <xf numFmtId="14" fontId="18" fillId="0" borderId="7" xfId="1" applyNumberFormat="1" applyFont="1" applyBorder="1" applyAlignment="1">
      <alignment horizontal="center"/>
    </xf>
    <xf numFmtId="14" fontId="18" fillId="0" borderId="15" xfId="1" applyNumberFormat="1" applyFont="1" applyBorder="1" applyAlignment="1">
      <alignment horizontal="center"/>
    </xf>
    <xf numFmtId="0" fontId="19" fillId="0" borderId="5" xfId="1" applyFont="1" applyBorder="1"/>
    <xf numFmtId="0" fontId="19" fillId="0" borderId="9" xfId="1" applyFont="1" applyBorder="1"/>
    <xf numFmtId="167" fontId="19" fillId="0" borderId="0" xfId="1" applyNumberFormat="1" applyFont="1" applyAlignment="1">
      <alignment horizontal="center"/>
    </xf>
    <xf numFmtId="167" fontId="19" fillId="3" borderId="3" xfId="1" applyNumberFormat="1" applyFont="1" applyFill="1" applyBorder="1" applyAlignment="1">
      <alignment horizontal="right"/>
    </xf>
    <xf numFmtId="167" fontId="19" fillId="3" borderId="6" xfId="1" applyNumberFormat="1" applyFont="1" applyFill="1" applyBorder="1" applyAlignment="1">
      <alignment horizontal="right"/>
    </xf>
    <xf numFmtId="0" fontId="46" fillId="0" borderId="7" xfId="0" applyFont="1" applyBorder="1"/>
    <xf numFmtId="166" fontId="17" fillId="0" borderId="4" xfId="0" applyNumberFormat="1" applyFont="1" applyBorder="1" applyAlignment="1">
      <alignment horizontal="center"/>
    </xf>
    <xf numFmtId="166" fontId="17" fillId="0" borderId="11" xfId="0" applyNumberFormat="1" applyFont="1" applyBorder="1" applyAlignment="1">
      <alignment horizontal="center"/>
    </xf>
    <xf numFmtId="0" fontId="17" fillId="0" borderId="5" xfId="0" applyFont="1" applyBorder="1" applyAlignment="1">
      <alignment horizontal="center"/>
    </xf>
    <xf numFmtId="164" fontId="46" fillId="0" borderId="4" xfId="0" applyNumberFormat="1" applyFont="1" applyBorder="1" applyAlignment="1">
      <alignment horizontal="right"/>
    </xf>
    <xf numFmtId="164" fontId="46" fillId="0" borderId="3" xfId="0" applyNumberFormat="1" applyFont="1" applyBorder="1" applyAlignment="1">
      <alignment horizontal="right"/>
    </xf>
    <xf numFmtId="164" fontId="32" fillId="0" borderId="4" xfId="0" applyNumberFormat="1" applyFont="1" applyBorder="1" applyAlignment="1">
      <alignment horizontal="right"/>
    </xf>
    <xf numFmtId="164" fontId="32" fillId="0" borderId="3" xfId="0" applyNumberFormat="1" applyFont="1" applyBorder="1" applyAlignment="1">
      <alignment horizontal="right"/>
    </xf>
    <xf numFmtId="0" fontId="32" fillId="0" borderId="11" xfId="0" applyFont="1" applyBorder="1"/>
    <xf numFmtId="3" fontId="32" fillId="0" borderId="11" xfId="0" applyNumberFormat="1" applyFont="1" applyBorder="1"/>
    <xf numFmtId="164" fontId="32" fillId="0" borderId="11" xfId="0" applyNumberFormat="1" applyFont="1" applyBorder="1" applyAlignment="1">
      <alignment horizontal="right"/>
    </xf>
    <xf numFmtId="164" fontId="32" fillId="0" borderId="6" xfId="0" applyNumberFormat="1" applyFont="1" applyBorder="1" applyAlignment="1">
      <alignment horizontal="right"/>
    </xf>
    <xf numFmtId="0" fontId="43" fillId="9" borderId="0" xfId="0" applyFont="1" applyFill="1"/>
    <xf numFmtId="0" fontId="67" fillId="0" borderId="0" xfId="3" applyFont="1" applyAlignment="1" applyProtection="1"/>
    <xf numFmtId="0" fontId="42" fillId="0" borderId="0" xfId="0" applyFont="1" applyAlignment="1">
      <alignment horizontal="center"/>
    </xf>
    <xf numFmtId="3" fontId="17" fillId="0" borderId="6" xfId="1" applyNumberFormat="1" applyFont="1" applyBorder="1" applyAlignment="1">
      <alignment horizontal="right"/>
    </xf>
    <xf numFmtId="3" fontId="68" fillId="0" borderId="4" xfId="1" applyNumberFormat="1" applyFont="1" applyBorder="1" applyAlignment="1">
      <alignment horizontal="right"/>
    </xf>
    <xf numFmtId="3" fontId="68" fillId="0" borderId="3" xfId="1" applyNumberFormat="1" applyFont="1" applyBorder="1" applyAlignment="1">
      <alignment horizontal="right"/>
    </xf>
    <xf numFmtId="3" fontId="68" fillId="0" borderId="11" xfId="1" applyNumberFormat="1" applyFont="1" applyBorder="1" applyAlignment="1">
      <alignment horizontal="right"/>
    </xf>
    <xf numFmtId="3" fontId="68" fillId="0" borderId="6" xfId="1" applyNumberFormat="1" applyFont="1" applyBorder="1" applyAlignment="1">
      <alignment horizontal="right"/>
    </xf>
    <xf numFmtId="3" fontId="19" fillId="0" borderId="3" xfId="2" applyNumberFormat="1" applyFont="1" applyFill="1" applyBorder="1" applyAlignment="1">
      <alignment horizontal="right"/>
    </xf>
    <xf numFmtId="3" fontId="19" fillId="0" borderId="4" xfId="2" applyNumberFormat="1" applyFont="1" applyFill="1" applyBorder="1" applyAlignment="1">
      <alignment horizontal="right"/>
    </xf>
    <xf numFmtId="3" fontId="19" fillId="0" borderId="6" xfId="2" applyNumberFormat="1" applyFont="1" applyFill="1" applyBorder="1" applyAlignment="1">
      <alignment horizontal="right"/>
    </xf>
    <xf numFmtId="3" fontId="19" fillId="0" borderId="11" xfId="2" applyNumberFormat="1" applyFont="1" applyFill="1" applyBorder="1" applyAlignment="1">
      <alignment horizontal="right"/>
    </xf>
    <xf numFmtId="3" fontId="19" fillId="2" borderId="3" xfId="2" applyNumberFormat="1" applyFont="1" applyFill="1" applyBorder="1" applyAlignment="1">
      <alignment horizontal="right"/>
    </xf>
    <xf numFmtId="3" fontId="19" fillId="2" borderId="4" xfId="2" applyNumberFormat="1" applyFont="1" applyFill="1" applyBorder="1" applyAlignment="1">
      <alignment horizontal="right"/>
    </xf>
    <xf numFmtId="3" fontId="19" fillId="0" borderId="4" xfId="1" applyNumberFormat="1" applyFont="1" applyBorder="1" applyAlignment="1">
      <alignment horizontal="right"/>
    </xf>
    <xf numFmtId="3" fontId="19" fillId="0" borderId="11" xfId="1" applyNumberFormat="1" applyFont="1" applyBorder="1" applyAlignment="1">
      <alignment horizontal="right"/>
    </xf>
    <xf numFmtId="3" fontId="19" fillId="2" borderId="0" xfId="1" applyNumberFormat="1" applyFont="1" applyFill="1" applyAlignment="1">
      <alignment horizontal="right"/>
    </xf>
    <xf numFmtId="3" fontId="19" fillId="0" borderId="3" xfId="2" applyNumberFormat="1" applyFont="1" applyBorder="1" applyAlignment="1">
      <alignment horizontal="right"/>
    </xf>
    <xf numFmtId="3" fontId="19" fillId="0" borderId="4" xfId="2" applyNumberFormat="1" applyFont="1" applyBorder="1" applyAlignment="1">
      <alignment horizontal="right"/>
    </xf>
    <xf numFmtId="3" fontId="24" fillId="0" borderId="2" xfId="1" applyNumberFormat="1" applyFont="1" applyBorder="1" applyAlignment="1">
      <alignment horizontal="right"/>
    </xf>
    <xf numFmtId="3" fontId="24" fillId="0" borderId="0" xfId="1" applyNumberFormat="1" applyFont="1" applyAlignment="1">
      <alignment horizontal="right"/>
    </xf>
    <xf numFmtId="3" fontId="20" fillId="2" borderId="2" xfId="1" applyNumberFormat="1" applyFont="1" applyFill="1" applyBorder="1" applyAlignment="1">
      <alignment horizontal="right"/>
    </xf>
    <xf numFmtId="3" fontId="20" fillId="2" borderId="0" xfId="1" applyNumberFormat="1" applyFont="1" applyFill="1" applyAlignment="1">
      <alignment horizontal="right"/>
    </xf>
    <xf numFmtId="3" fontId="19" fillId="0" borderId="3" xfId="2" applyNumberFormat="1" applyFont="1" applyBorder="1" applyAlignment="1">
      <alignment horizontal="left"/>
    </xf>
    <xf numFmtId="0" fontId="15" fillId="0" borderId="0" xfId="1" applyFont="1" applyAlignment="1">
      <alignment horizontal="center"/>
    </xf>
    <xf numFmtId="3" fontId="15" fillId="0" borderId="0" xfId="1" applyNumberFormat="1" applyFont="1" applyAlignment="1">
      <alignment horizontal="center"/>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5" fillId="0" borderId="12" xfId="1" applyNumberFormat="1" applyFont="1" applyBorder="1" applyAlignment="1">
      <alignment horizontal="center"/>
    </xf>
    <xf numFmtId="3" fontId="17" fillId="0" borderId="9" xfId="1" applyNumberFormat="1" applyFont="1" applyBorder="1" applyAlignment="1">
      <alignment horizontal="center"/>
    </xf>
    <xf numFmtId="3" fontId="17" fillId="0" borderId="1" xfId="1" applyNumberFormat="1" applyFont="1" applyBorder="1" applyAlignment="1">
      <alignment horizontal="center"/>
    </xf>
    <xf numFmtId="3" fontId="17" fillId="0" borderId="7" xfId="2" applyNumberFormat="1" applyFont="1" applyFill="1" applyBorder="1" applyAlignment="1">
      <alignment horizontal="right"/>
    </xf>
    <xf numFmtId="3" fontId="17" fillId="0" borderId="1" xfId="2" applyNumberFormat="1" applyFont="1" applyFill="1" applyBorder="1" applyAlignment="1">
      <alignment horizontal="right"/>
    </xf>
    <xf numFmtId="3" fontId="17" fillId="0" borderId="2" xfId="1" applyNumberFormat="1" applyFont="1" applyBorder="1" applyAlignment="1">
      <alignment horizontal="right"/>
    </xf>
    <xf numFmtId="3" fontId="17" fillId="0" borderId="4" xfId="1" applyNumberFormat="1" applyFont="1" applyBorder="1" applyAlignment="1">
      <alignment horizontal="right"/>
    </xf>
    <xf numFmtId="3" fontId="17" fillId="0" borderId="3" xfId="2" applyNumberFormat="1" applyFont="1" applyFill="1" applyBorder="1" applyAlignment="1">
      <alignment horizontal="right"/>
    </xf>
    <xf numFmtId="3" fontId="17" fillId="0" borderId="4" xfId="2" applyNumberFormat="1" applyFont="1" applyFill="1" applyBorder="1" applyAlignment="1">
      <alignment horizontal="right"/>
    </xf>
    <xf numFmtId="3" fontId="17" fillId="0" borderId="6" xfId="2" applyNumberFormat="1" applyFont="1" applyFill="1" applyBorder="1" applyAlignment="1">
      <alignment horizontal="right"/>
    </xf>
    <xf numFmtId="3" fontId="17" fillId="0" borderId="11" xfId="2" applyNumberFormat="1" applyFont="1" applyFill="1" applyBorder="1" applyAlignment="1">
      <alignment horizontal="right"/>
    </xf>
    <xf numFmtId="3" fontId="17" fillId="0" borderId="5" xfId="1" applyNumberFormat="1" applyFont="1" applyBorder="1" applyAlignment="1">
      <alignment horizontal="right"/>
    </xf>
    <xf numFmtId="3" fontId="17" fillId="0" borderId="11" xfId="1" applyNumberFormat="1" applyFont="1" applyBorder="1" applyAlignment="1">
      <alignment horizontal="right"/>
    </xf>
    <xf numFmtId="3" fontId="17" fillId="0" borderId="7" xfId="1" applyNumberFormat="1" applyFont="1" applyBorder="1" applyAlignment="1">
      <alignment horizontal="right"/>
    </xf>
    <xf numFmtId="3" fontId="17" fillId="0" borderId="1" xfId="1" applyNumberFormat="1" applyFont="1" applyBorder="1" applyAlignment="1">
      <alignment horizontal="right"/>
    </xf>
    <xf numFmtId="3" fontId="17" fillId="0" borderId="15" xfId="1" applyNumberFormat="1" applyFont="1" applyBorder="1" applyAlignment="1">
      <alignment horizontal="right"/>
    </xf>
    <xf numFmtId="3" fontId="17" fillId="2" borderId="2" xfId="1" applyNumberFormat="1" applyFont="1" applyFill="1" applyBorder="1" applyAlignment="1">
      <alignment horizontal="right"/>
    </xf>
    <xf numFmtId="3" fontId="17" fillId="2" borderId="0" xfId="1" applyNumberFormat="1" applyFont="1" applyFill="1" applyAlignment="1">
      <alignment horizontal="right"/>
    </xf>
    <xf numFmtId="3" fontId="17" fillId="2" borderId="4" xfId="1" applyNumberFormat="1" applyFont="1" applyFill="1" applyBorder="1" applyAlignment="1">
      <alignment horizontal="right"/>
    </xf>
    <xf numFmtId="3" fontId="17" fillId="2" borderId="5" xfId="1" applyNumberFormat="1" applyFont="1" applyFill="1" applyBorder="1" applyAlignment="1">
      <alignment horizontal="right"/>
    </xf>
    <xf numFmtId="3" fontId="17" fillId="2" borderId="11" xfId="1" applyNumberFormat="1" applyFont="1" applyFill="1" applyBorder="1" applyAlignment="1">
      <alignment horizontal="right"/>
    </xf>
    <xf numFmtId="3" fontId="17" fillId="2" borderId="3" xfId="1" applyNumberFormat="1" applyFont="1" applyFill="1" applyBorder="1" applyAlignment="1">
      <alignment horizontal="right"/>
    </xf>
    <xf numFmtId="3" fontId="17" fillId="2" borderId="6" xfId="1" applyNumberFormat="1" applyFont="1" applyFill="1" applyBorder="1" applyAlignment="1">
      <alignment horizontal="right"/>
    </xf>
    <xf numFmtId="14" fontId="18" fillId="0" borderId="10" xfId="1" applyNumberFormat="1" applyFont="1" applyBorder="1"/>
    <xf numFmtId="0" fontId="0" fillId="0" borderId="8" xfId="0" applyBorder="1"/>
    <xf numFmtId="3" fontId="17" fillId="0" borderId="2" xfId="1" quotePrefix="1" applyNumberFormat="1" applyFont="1" applyBorder="1" applyAlignment="1">
      <alignment horizontal="right"/>
    </xf>
    <xf numFmtId="0" fontId="57" fillId="0" borderId="0" xfId="1" applyFont="1"/>
    <xf numFmtId="0" fontId="16" fillId="0" borderId="0" xfId="1" applyFont="1" applyAlignment="1">
      <alignment horizontal="right" vertical="top"/>
    </xf>
    <xf numFmtId="0" fontId="16" fillId="0" borderId="0" xfId="1" applyFont="1" applyAlignment="1">
      <alignment vertical="top" wrapText="1"/>
    </xf>
    <xf numFmtId="0" fontId="16" fillId="0" borderId="0" xfId="1" applyFont="1" applyAlignment="1">
      <alignment horizontal="right"/>
    </xf>
    <xf numFmtId="0" fontId="16" fillId="0" borderId="0" xfId="1" applyFont="1" applyAlignment="1">
      <alignment wrapText="1"/>
    </xf>
    <xf numFmtId="0" fontId="15" fillId="0" borderId="0" xfId="1" applyFont="1" applyAlignment="1">
      <alignment horizontal="left"/>
    </xf>
    <xf numFmtId="3" fontId="32" fillId="4" borderId="3" xfId="0" applyNumberFormat="1" applyFont="1" applyFill="1" applyBorder="1" applyAlignment="1" applyProtection="1">
      <alignment horizontal="right"/>
      <protection locked="0"/>
    </xf>
    <xf numFmtId="0" fontId="69" fillId="0" borderId="0" xfId="0" applyFont="1" applyAlignment="1">
      <alignment horizontal="left" vertical="center" readingOrder="1"/>
    </xf>
    <xf numFmtId="0" fontId="72" fillId="0" borderId="0" xfId="1" applyFont="1" applyAlignment="1">
      <alignment horizontal="left"/>
    </xf>
    <xf numFmtId="0" fontId="20" fillId="0" borderId="0" xfId="1" applyFont="1"/>
    <xf numFmtId="0" fontId="43" fillId="9" borderId="0" xfId="3" applyFont="1" applyFill="1" applyAlignment="1" applyProtection="1"/>
    <xf numFmtId="0" fontId="65" fillId="0" borderId="0" xfId="0" applyFont="1"/>
    <xf numFmtId="0" fontId="66" fillId="0" borderId="0" xfId="0" applyFont="1"/>
    <xf numFmtId="0" fontId="43" fillId="0" borderId="0" xfId="3" applyFont="1" applyFill="1" applyAlignment="1" applyProtection="1"/>
    <xf numFmtId="3" fontId="17" fillId="3" borderId="7" xfId="1" applyNumberFormat="1" applyFont="1" applyFill="1" applyBorder="1" applyAlignment="1">
      <alignment horizontal="right"/>
    </xf>
    <xf numFmtId="0" fontId="74" fillId="0" borderId="0" xfId="1" applyFont="1" applyAlignment="1">
      <alignment horizontal="left"/>
    </xf>
    <xf numFmtId="3" fontId="68" fillId="0" borderId="2" xfId="1" applyNumberFormat="1" applyFont="1" applyBorder="1" applyAlignment="1">
      <alignment horizontal="right"/>
    </xf>
    <xf numFmtId="3" fontId="60" fillId="0" borderId="2" xfId="1" applyNumberFormat="1" applyFont="1" applyBorder="1" applyAlignment="1">
      <alignment horizontal="right"/>
    </xf>
    <xf numFmtId="3" fontId="15" fillId="0" borderId="14" xfId="1" applyNumberFormat="1" applyFont="1" applyBorder="1" applyAlignment="1">
      <alignment horizontal="center"/>
    </xf>
    <xf numFmtId="170" fontId="17" fillId="0" borderId="7" xfId="846" applyFont="1" applyFill="1" applyBorder="1" applyAlignment="1">
      <alignment horizontal="right"/>
    </xf>
    <xf numFmtId="170" fontId="17" fillId="0" borderId="1" xfId="846" applyFont="1" applyFill="1" applyBorder="1" applyAlignment="1">
      <alignment horizontal="right"/>
    </xf>
    <xf numFmtId="170" fontId="19" fillId="0" borderId="3" xfId="846" applyFont="1" applyBorder="1" applyAlignment="1">
      <alignment horizontal="right"/>
    </xf>
    <xf numFmtId="170" fontId="19" fillId="0" borderId="3" xfId="846" applyFont="1" applyFill="1" applyBorder="1" applyAlignment="1">
      <alignment horizontal="right"/>
    </xf>
    <xf numFmtId="170" fontId="19" fillId="0" borderId="4" xfId="846" applyFont="1" applyFill="1" applyBorder="1" applyAlignment="1">
      <alignment horizontal="right"/>
    </xf>
    <xf numFmtId="170" fontId="17" fillId="0" borderId="3" xfId="846" applyFont="1" applyFill="1" applyBorder="1" applyAlignment="1">
      <alignment horizontal="right"/>
    </xf>
    <xf numFmtId="170" fontId="17" fillId="0" borderId="4" xfId="846" applyFont="1" applyFill="1" applyBorder="1" applyAlignment="1">
      <alignment horizontal="right"/>
    </xf>
    <xf numFmtId="170" fontId="17" fillId="0" borderId="6" xfId="846" applyFont="1" applyFill="1" applyBorder="1" applyAlignment="1">
      <alignment horizontal="right"/>
    </xf>
    <xf numFmtId="170" fontId="17" fillId="0" borderId="11" xfId="846" applyFont="1" applyFill="1" applyBorder="1" applyAlignment="1">
      <alignment horizontal="right"/>
    </xf>
    <xf numFmtId="170" fontId="19" fillId="3" borderId="7" xfId="846" applyFont="1" applyFill="1" applyBorder="1" applyAlignment="1">
      <alignment horizontal="right"/>
    </xf>
    <xf numFmtId="170" fontId="19" fillId="3" borderId="2" xfId="846" applyFont="1" applyFill="1" applyBorder="1" applyAlignment="1">
      <alignment horizontal="right"/>
    </xf>
    <xf numFmtId="170" fontId="17" fillId="0" borderId="2" xfId="846" applyFont="1" applyFill="1" applyBorder="1" applyAlignment="1">
      <alignment horizontal="right"/>
    </xf>
    <xf numFmtId="170" fontId="19" fillId="3" borderId="3" xfId="846" applyFont="1" applyFill="1" applyBorder="1" applyAlignment="1">
      <alignment horizontal="right"/>
    </xf>
    <xf numFmtId="170" fontId="19" fillId="2" borderId="3" xfId="846" applyFont="1" applyFill="1" applyBorder="1" applyAlignment="1">
      <alignment horizontal="right"/>
    </xf>
    <xf numFmtId="170" fontId="19" fillId="2" borderId="4" xfId="846" applyFont="1" applyFill="1" applyBorder="1" applyAlignment="1">
      <alignment horizontal="right"/>
    </xf>
    <xf numFmtId="170" fontId="19" fillId="0" borderId="2" xfId="846" applyFont="1" applyFill="1" applyBorder="1" applyAlignment="1">
      <alignment horizontal="right"/>
    </xf>
    <xf numFmtId="170" fontId="19" fillId="3" borderId="6" xfId="846" applyFont="1" applyFill="1" applyBorder="1" applyAlignment="1">
      <alignment horizontal="right"/>
    </xf>
    <xf numFmtId="170" fontId="17" fillId="0" borderId="5" xfId="846" applyFont="1" applyFill="1" applyBorder="1" applyAlignment="1">
      <alignment horizontal="right"/>
    </xf>
    <xf numFmtId="170" fontId="17" fillId="0" borderId="15" xfId="846" applyFont="1" applyFill="1" applyBorder="1" applyAlignment="1">
      <alignment horizontal="right"/>
    </xf>
    <xf numFmtId="170" fontId="17" fillId="2" borderId="2" xfId="846" applyFont="1" applyFill="1" applyBorder="1" applyAlignment="1">
      <alignment horizontal="right"/>
    </xf>
    <xf numFmtId="170" fontId="17" fillId="2" borderId="0" xfId="846" applyFont="1" applyFill="1" applyBorder="1" applyAlignment="1">
      <alignment horizontal="right"/>
    </xf>
    <xf numFmtId="170" fontId="17" fillId="2" borderId="4" xfId="846" applyFont="1" applyFill="1" applyBorder="1" applyAlignment="1">
      <alignment horizontal="right"/>
    </xf>
    <xf numFmtId="170" fontId="17" fillId="2" borderId="5" xfId="846" applyFont="1" applyFill="1" applyBorder="1" applyAlignment="1">
      <alignment horizontal="right"/>
    </xf>
    <xf numFmtId="170" fontId="17" fillId="2" borderId="11" xfId="846" applyFont="1" applyFill="1" applyBorder="1" applyAlignment="1">
      <alignment horizontal="right"/>
    </xf>
    <xf numFmtId="170" fontId="19" fillId="0" borderId="4" xfId="846" applyFont="1" applyBorder="1" applyAlignment="1">
      <alignment horizontal="right"/>
    </xf>
    <xf numFmtId="170" fontId="19" fillId="0" borderId="6" xfId="846" applyFont="1" applyFill="1" applyBorder="1" applyAlignment="1">
      <alignment horizontal="right"/>
    </xf>
    <xf numFmtId="170" fontId="19" fillId="0" borderId="11" xfId="846" applyFont="1" applyFill="1" applyBorder="1" applyAlignment="1">
      <alignment horizontal="right"/>
    </xf>
    <xf numFmtId="170" fontId="68" fillId="0" borderId="2" xfId="846" applyFont="1" applyFill="1" applyBorder="1" applyAlignment="1">
      <alignment horizontal="right"/>
    </xf>
    <xf numFmtId="170" fontId="19" fillId="0" borderId="0" xfId="846" applyFont="1" applyFill="1" applyBorder="1" applyAlignment="1">
      <alignment horizontal="right"/>
    </xf>
    <xf numFmtId="170" fontId="24" fillId="0" borderId="2" xfId="846" applyFont="1" applyFill="1" applyBorder="1" applyAlignment="1">
      <alignment horizontal="right"/>
    </xf>
    <xf numFmtId="170" fontId="24" fillId="0" borderId="0" xfId="846" applyFont="1" applyFill="1" applyBorder="1" applyAlignment="1">
      <alignment horizontal="right"/>
    </xf>
    <xf numFmtId="170" fontId="20" fillId="2" borderId="2" xfId="846" applyFont="1" applyFill="1" applyBorder="1" applyAlignment="1">
      <alignment horizontal="right"/>
    </xf>
    <xf numFmtId="170" fontId="20" fillId="2" borderId="0" xfId="846" applyFont="1" applyFill="1" applyBorder="1" applyAlignment="1">
      <alignment horizontal="right"/>
    </xf>
    <xf numFmtId="170" fontId="19" fillId="2" borderId="2" xfId="846" applyFont="1" applyFill="1" applyBorder="1" applyAlignment="1">
      <alignment horizontal="right"/>
    </xf>
    <xf numFmtId="170" fontId="19" fillId="2" borderId="0" xfId="846" applyFont="1" applyFill="1" applyBorder="1" applyAlignment="1">
      <alignment horizontal="right"/>
    </xf>
    <xf numFmtId="170" fontId="17" fillId="0" borderId="0" xfId="846" applyFont="1" applyFill="1" applyBorder="1" applyAlignment="1">
      <alignment horizontal="right"/>
    </xf>
    <xf numFmtId="170" fontId="19" fillId="3" borderId="5" xfId="846" applyFont="1" applyFill="1" applyBorder="1" applyAlignment="1">
      <alignment horizontal="right"/>
    </xf>
    <xf numFmtId="170" fontId="19" fillId="3" borderId="0" xfId="846" applyFont="1" applyFill="1" applyBorder="1" applyAlignment="1">
      <alignment horizontal="right"/>
    </xf>
    <xf numFmtId="170" fontId="19" fillId="3" borderId="1" xfId="846" applyFont="1" applyFill="1" applyBorder="1" applyAlignment="1">
      <alignment horizontal="right"/>
    </xf>
    <xf numFmtId="170" fontId="19" fillId="3" borderId="4" xfId="846" applyFont="1" applyFill="1" applyBorder="1" applyAlignment="1">
      <alignment horizontal="right"/>
    </xf>
    <xf numFmtId="170" fontId="19" fillId="3" borderId="11" xfId="846" applyFont="1" applyFill="1" applyBorder="1" applyAlignment="1">
      <alignment horizontal="right"/>
    </xf>
    <xf numFmtId="164" fontId="32" fillId="0" borderId="3" xfId="0" applyNumberFormat="1" applyFont="1" applyBorder="1"/>
    <xf numFmtId="164" fontId="46" fillId="0" borderId="3" xfId="0" applyNumberFormat="1" applyFont="1" applyBorder="1"/>
    <xf numFmtId="164" fontId="46" fillId="0" borderId="6" xfId="0" applyNumberFormat="1" applyFont="1" applyBorder="1"/>
    <xf numFmtId="171" fontId="19" fillId="3" borderId="2" xfId="846" applyNumberFormat="1" applyFont="1" applyFill="1" applyBorder="1" applyAlignment="1">
      <alignment horizontal="right"/>
    </xf>
    <xf numFmtId="171" fontId="19" fillId="3" borderId="3" xfId="846" applyNumberFormat="1" applyFont="1" applyFill="1" applyBorder="1" applyAlignment="1">
      <alignment horizontal="right"/>
    </xf>
    <xf numFmtId="171" fontId="19" fillId="3" borderId="6" xfId="846" applyNumberFormat="1" applyFont="1" applyFill="1" applyBorder="1" applyAlignment="1">
      <alignment horizontal="right"/>
    </xf>
    <xf numFmtId="164" fontId="17" fillId="0" borderId="6" xfId="1" applyNumberFormat="1" applyFont="1" applyBorder="1" applyAlignment="1">
      <alignment horizontal="center"/>
    </xf>
    <xf numFmtId="164" fontId="19" fillId="3" borderId="0" xfId="1" applyNumberFormat="1" applyFont="1" applyFill="1" applyAlignment="1">
      <alignment horizontal="right"/>
    </xf>
    <xf numFmtId="164" fontId="19" fillId="3" borderId="5" xfId="1" applyNumberFormat="1" applyFont="1" applyFill="1" applyBorder="1" applyAlignment="1">
      <alignment horizontal="right"/>
    </xf>
    <xf numFmtId="49" fontId="17" fillId="0" borderId="0" xfId="1" applyNumberFormat="1" applyFont="1" applyAlignment="1">
      <alignment horizontal="right"/>
    </xf>
    <xf numFmtId="49" fontId="17" fillId="0" borderId="0" xfId="1" applyNumberFormat="1" applyFont="1" applyAlignment="1">
      <alignment horizontal="center"/>
    </xf>
    <xf numFmtId="3" fontId="17" fillId="0" borderId="0" xfId="1" quotePrefix="1" applyNumberFormat="1" applyFont="1" applyAlignment="1">
      <alignment horizontal="center"/>
    </xf>
    <xf numFmtId="170" fontId="17" fillId="3" borderId="7" xfId="846" applyFont="1" applyFill="1" applyBorder="1" applyAlignment="1">
      <alignment horizontal="right"/>
    </xf>
    <xf numFmtId="171" fontId="17" fillId="3" borderId="2" xfId="846" applyNumberFormat="1" applyFont="1" applyFill="1" applyBorder="1" applyAlignment="1">
      <alignment horizontal="right"/>
    </xf>
    <xf numFmtId="167" fontId="17" fillId="3" borderId="7" xfId="1" applyNumberFormat="1" applyFont="1" applyFill="1" applyBorder="1" applyAlignment="1">
      <alignment horizontal="right"/>
    </xf>
    <xf numFmtId="167" fontId="17" fillId="3" borderId="3" xfId="1" applyNumberFormat="1" applyFont="1" applyFill="1" applyBorder="1" applyAlignment="1">
      <alignment horizontal="right"/>
    </xf>
    <xf numFmtId="167" fontId="17" fillId="3" borderId="6" xfId="1" applyNumberFormat="1" applyFont="1" applyFill="1" applyBorder="1" applyAlignment="1">
      <alignment horizontal="right"/>
    </xf>
    <xf numFmtId="3" fontId="17" fillId="3" borderId="0" xfId="1" applyNumberFormat="1" applyFont="1" applyFill="1" applyAlignment="1">
      <alignment horizontal="right"/>
    </xf>
    <xf numFmtId="3" fontId="17" fillId="3" borderId="1" xfId="1" applyNumberFormat="1" applyFont="1" applyFill="1" applyBorder="1" applyAlignment="1">
      <alignment horizontal="right"/>
    </xf>
    <xf numFmtId="3" fontId="17" fillId="3" borderId="4" xfId="1" applyNumberFormat="1" applyFont="1" applyFill="1" applyBorder="1" applyAlignment="1">
      <alignment horizontal="right"/>
    </xf>
    <xf numFmtId="3" fontId="17" fillId="3" borderId="11" xfId="1" applyNumberFormat="1" applyFont="1" applyFill="1" applyBorder="1" applyAlignment="1">
      <alignment horizontal="right"/>
    </xf>
    <xf numFmtId="164" fontId="17" fillId="3" borderId="0" xfId="1" applyNumberFormat="1" applyFont="1" applyFill="1" applyAlignment="1">
      <alignment horizontal="right"/>
    </xf>
    <xf numFmtId="3" fontId="61" fillId="4" borderId="3" xfId="0" applyNumberFormat="1" applyFont="1" applyFill="1" applyBorder="1" applyAlignment="1" applyProtection="1">
      <alignment horizontal="right"/>
      <protection locked="0"/>
    </xf>
    <xf numFmtId="3" fontId="32" fillId="4" borderId="4" xfId="0" applyNumberFormat="1" applyFont="1" applyFill="1" applyBorder="1" applyAlignment="1" applyProtection="1">
      <alignment horizontal="right"/>
      <protection locked="0"/>
    </xf>
    <xf numFmtId="3" fontId="46" fillId="4" borderId="3" xfId="0" applyNumberFormat="1" applyFont="1" applyFill="1" applyBorder="1" applyAlignment="1" applyProtection="1">
      <alignment horizontal="right"/>
      <protection locked="0"/>
    </xf>
    <xf numFmtId="3" fontId="46" fillId="0" borderId="3" xfId="0" applyNumberFormat="1" applyFont="1" applyBorder="1" applyAlignment="1" applyProtection="1">
      <alignment horizontal="right"/>
      <protection locked="0"/>
    </xf>
    <xf numFmtId="3" fontId="32" fillId="0" borderId="3" xfId="0" applyNumberFormat="1" applyFont="1" applyBorder="1" applyAlignment="1" applyProtection="1">
      <alignment horizontal="right"/>
      <protection locked="0"/>
    </xf>
    <xf numFmtId="3" fontId="32" fillId="4" borderId="3" xfId="845" applyNumberFormat="1" applyFont="1" applyFill="1" applyBorder="1" applyAlignment="1" applyProtection="1">
      <alignment horizontal="right"/>
      <protection locked="0"/>
    </xf>
    <xf numFmtId="3" fontId="46" fillId="4" borderId="4" xfId="0" applyNumberFormat="1" applyFont="1" applyFill="1" applyBorder="1" applyAlignment="1" applyProtection="1">
      <alignment horizontal="right"/>
      <protection locked="0"/>
    </xf>
    <xf numFmtId="3" fontId="46" fillId="4" borderId="3" xfId="845" applyNumberFormat="1" applyFont="1" applyFill="1" applyBorder="1" applyAlignment="1" applyProtection="1">
      <alignment horizontal="right"/>
      <protection locked="0"/>
    </xf>
    <xf numFmtId="3" fontId="46" fillId="0" borderId="6" xfId="0" applyNumberFormat="1" applyFont="1" applyBorder="1" applyAlignment="1" applyProtection="1">
      <alignment horizontal="right"/>
      <protection locked="0"/>
    </xf>
    <xf numFmtId="3" fontId="46" fillId="4" borderId="6" xfId="0" applyNumberFormat="1" applyFont="1" applyFill="1" applyBorder="1" applyAlignment="1" applyProtection="1">
      <alignment horizontal="right"/>
      <protection locked="0"/>
    </xf>
    <xf numFmtId="3" fontId="46" fillId="4" borderId="6" xfId="845" applyNumberFormat="1" applyFont="1" applyFill="1" applyBorder="1" applyAlignment="1" applyProtection="1">
      <alignment horizontal="right"/>
      <protection locked="0"/>
    </xf>
    <xf numFmtId="3" fontId="51" fillId="4" borderId="11" xfId="0" applyNumberFormat="1" applyFont="1" applyFill="1" applyBorder="1" applyProtection="1">
      <protection locked="0"/>
    </xf>
    <xf numFmtId="3" fontId="61" fillId="4" borderId="4" xfId="0" applyNumberFormat="1" applyFont="1" applyFill="1" applyBorder="1" applyProtection="1">
      <protection locked="0"/>
    </xf>
    <xf numFmtId="3" fontId="46" fillId="4" borderId="4" xfId="0" applyNumberFormat="1" applyFont="1" applyFill="1" applyBorder="1" applyProtection="1">
      <protection locked="0"/>
    </xf>
    <xf numFmtId="0" fontId="32" fillId="0" borderId="0" xfId="0" applyFont="1" applyProtection="1">
      <protection locked="0"/>
    </xf>
    <xf numFmtId="0" fontId="0" fillId="0" borderId="0" xfId="0" applyProtection="1">
      <protection locked="0"/>
    </xf>
    <xf numFmtId="0" fontId="21" fillId="0" borderId="0" xfId="0" applyFont="1" applyProtection="1">
      <protection locked="0"/>
    </xf>
    <xf numFmtId="0" fontId="62" fillId="0" borderId="0" xfId="0" applyFont="1" applyProtection="1">
      <protection locked="0"/>
    </xf>
    <xf numFmtId="0" fontId="42" fillId="0" borderId="0" xfId="0" applyFont="1" applyProtection="1">
      <protection locked="0"/>
    </xf>
    <xf numFmtId="0" fontId="58" fillId="0" borderId="0" xfId="0" applyFont="1" applyProtection="1">
      <protection locked="0"/>
    </xf>
    <xf numFmtId="3" fontId="59" fillId="4" borderId="12" xfId="0" applyNumberFormat="1" applyFont="1" applyFill="1" applyBorder="1" applyProtection="1">
      <protection locked="0"/>
    </xf>
    <xf numFmtId="0" fontId="19" fillId="0" borderId="8" xfId="0" applyFont="1" applyBorder="1" applyProtection="1">
      <protection locked="0"/>
    </xf>
    <xf numFmtId="0" fontId="19" fillId="0" borderId="10" xfId="0" applyFont="1" applyBorder="1" applyProtection="1">
      <protection locked="0"/>
    </xf>
    <xf numFmtId="0" fontId="19" fillId="0" borderId="9" xfId="0" applyFont="1" applyBorder="1" applyProtection="1">
      <protection locked="0"/>
    </xf>
    <xf numFmtId="0" fontId="50" fillId="0" borderId="0" xfId="0" applyFont="1" applyProtection="1">
      <protection locked="0"/>
    </xf>
    <xf numFmtId="0" fontId="64" fillId="0" borderId="0" xfId="0" applyFont="1" applyProtection="1">
      <protection locked="0"/>
    </xf>
    <xf numFmtId="3" fontId="32" fillId="4" borderId="4" xfId="15" applyNumberFormat="1" applyFont="1" applyFill="1" applyBorder="1" applyAlignment="1" applyProtection="1">
      <alignment horizontal="right"/>
      <protection locked="0"/>
    </xf>
    <xf numFmtId="165" fontId="32" fillId="0" borderId="3" xfId="847" applyNumberFormat="1" applyFont="1" applyBorder="1" applyAlignment="1" applyProtection="1">
      <alignment horizontal="right"/>
      <protection locked="0"/>
    </xf>
    <xf numFmtId="169" fontId="32" fillId="0" borderId="3" xfId="847" applyNumberFormat="1" applyFont="1" applyBorder="1" applyAlignment="1" applyProtection="1">
      <alignment horizontal="right"/>
      <protection locked="0"/>
    </xf>
    <xf numFmtId="165" fontId="32" fillId="4" borderId="4" xfId="847" applyNumberFormat="1" applyFont="1" applyFill="1" applyBorder="1" applyAlignment="1" applyProtection="1">
      <alignment horizontal="right"/>
      <protection locked="0"/>
    </xf>
    <xf numFmtId="165" fontId="32" fillId="4" borderId="3" xfId="847" applyNumberFormat="1" applyFont="1" applyFill="1" applyBorder="1" applyAlignment="1" applyProtection="1">
      <alignment horizontal="right"/>
      <protection locked="0"/>
    </xf>
    <xf numFmtId="3" fontId="46" fillId="4" borderId="4" xfId="15" applyNumberFormat="1" applyFont="1" applyFill="1" applyBorder="1" applyAlignment="1" applyProtection="1">
      <alignment horizontal="right"/>
      <protection locked="0"/>
    </xf>
    <xf numFmtId="3" fontId="46" fillId="4" borderId="11" xfId="15" applyNumberFormat="1" applyFont="1" applyFill="1" applyBorder="1" applyAlignment="1" applyProtection="1">
      <alignment horizontal="right"/>
      <protection locked="0"/>
    </xf>
    <xf numFmtId="3" fontId="19" fillId="0" borderId="3" xfId="847" applyNumberFormat="1" applyFont="1" applyBorder="1" applyAlignment="1">
      <alignment horizontal="left"/>
    </xf>
    <xf numFmtId="3" fontId="19" fillId="0" borderId="3" xfId="847" applyNumberFormat="1" applyFont="1" applyFill="1" applyBorder="1" applyAlignment="1">
      <alignment horizontal="left"/>
    </xf>
    <xf numFmtId="3" fontId="32" fillId="4" borderId="1" xfId="0" applyNumberFormat="1" applyFont="1" applyFill="1" applyBorder="1" applyAlignment="1" applyProtection="1">
      <alignment horizontal="right"/>
      <protection locked="0"/>
    </xf>
    <xf numFmtId="0" fontId="32" fillId="0" borderId="3" xfId="0" applyFont="1" applyBorder="1" applyAlignment="1" applyProtection="1">
      <alignment horizontal="right"/>
      <protection locked="0"/>
    </xf>
    <xf numFmtId="3" fontId="32" fillId="4" borderId="7" xfId="0" applyNumberFormat="1" applyFont="1" applyFill="1" applyBorder="1" applyAlignment="1" applyProtection="1">
      <alignment horizontal="right"/>
      <protection locked="0"/>
    </xf>
    <xf numFmtId="1" fontId="32" fillId="0" borderId="3" xfId="0" applyNumberFormat="1" applyFont="1" applyBorder="1" applyAlignment="1" applyProtection="1">
      <alignment horizontal="right"/>
      <protection locked="0"/>
    </xf>
    <xf numFmtId="0" fontId="32" fillId="0" borderId="0" xfId="7" applyFont="1" applyProtection="1">
      <protection locked="0"/>
    </xf>
    <xf numFmtId="4" fontId="32" fillId="4" borderId="4" xfId="7" applyNumberFormat="1" applyFont="1" applyFill="1" applyBorder="1" applyAlignment="1" applyProtection="1">
      <alignment horizontal="right"/>
      <protection locked="0"/>
    </xf>
    <xf numFmtId="3" fontId="32" fillId="4" borderId="4" xfId="7" applyNumberFormat="1" applyFont="1" applyFill="1" applyBorder="1" applyAlignment="1" applyProtection="1">
      <alignment horizontal="right"/>
      <protection locked="0"/>
    </xf>
    <xf numFmtId="3" fontId="32" fillId="4" borderId="11" xfId="7" applyNumberFormat="1" applyFont="1" applyFill="1" applyBorder="1" applyAlignment="1" applyProtection="1">
      <alignment horizontal="right"/>
      <protection locked="0"/>
    </xf>
    <xf numFmtId="170" fontId="17" fillId="0" borderId="3" xfId="846" applyFont="1" applyBorder="1" applyAlignment="1">
      <alignment horizontal="right"/>
    </xf>
    <xf numFmtId="3" fontId="32" fillId="0" borderId="4" xfId="0" applyNumberFormat="1" applyFont="1" applyBorder="1" applyAlignment="1" applyProtection="1">
      <alignment horizontal="right"/>
      <protection locked="0"/>
    </xf>
    <xf numFmtId="0" fontId="42" fillId="0" borderId="0" xfId="7" applyFont="1" applyProtection="1">
      <protection locked="0"/>
    </xf>
    <xf numFmtId="0" fontId="21" fillId="0" borderId="0" xfId="7" applyProtection="1">
      <protection locked="0"/>
    </xf>
    <xf numFmtId="3" fontId="59" fillId="4" borderId="0" xfId="7" applyNumberFormat="1" applyFont="1" applyFill="1" applyProtection="1">
      <protection locked="0"/>
    </xf>
    <xf numFmtId="14" fontId="15" fillId="0" borderId="7" xfId="7" applyNumberFormat="1" applyFont="1" applyBorder="1" applyAlignment="1" applyProtection="1">
      <alignment horizontal="left"/>
      <protection locked="0"/>
    </xf>
    <xf numFmtId="0" fontId="19" fillId="0" borderId="10" xfId="7" applyFont="1" applyBorder="1" applyProtection="1">
      <protection locked="0"/>
    </xf>
    <xf numFmtId="0" fontId="19" fillId="0" borderId="8" xfId="7" applyFont="1" applyBorder="1" applyProtection="1">
      <protection locked="0"/>
    </xf>
    <xf numFmtId="0" fontId="19" fillId="0" borderId="9" xfId="7" applyFont="1" applyBorder="1" applyProtection="1">
      <protection locked="0"/>
    </xf>
    <xf numFmtId="0" fontId="70" fillId="0" borderId="8" xfId="7" applyFont="1" applyBorder="1" applyAlignment="1" applyProtection="1">
      <alignment horizontal="center"/>
      <protection locked="0"/>
    </xf>
    <xf numFmtId="0" fontId="19" fillId="4" borderId="0" xfId="7" applyFont="1" applyFill="1" applyProtection="1">
      <protection locked="0"/>
    </xf>
    <xf numFmtId="3" fontId="46" fillId="0" borderId="1" xfId="7" applyNumberFormat="1" applyFont="1" applyBorder="1" applyProtection="1">
      <protection locked="0"/>
    </xf>
    <xf numFmtId="3" fontId="46" fillId="0" borderId="4" xfId="7" applyNumberFormat="1" applyFont="1" applyBorder="1" applyProtection="1">
      <protection locked="0"/>
    </xf>
    <xf numFmtId="0" fontId="17" fillId="0" borderId="1" xfId="7" applyFont="1" applyBorder="1" applyAlignment="1" applyProtection="1">
      <alignment horizontal="center"/>
      <protection locked="0"/>
    </xf>
    <xf numFmtId="0" fontId="17" fillId="0" borderId="7" xfId="7" applyFont="1" applyBorder="1" applyAlignment="1" applyProtection="1">
      <alignment horizontal="center"/>
      <protection locked="0"/>
    </xf>
    <xf numFmtId="3" fontId="51" fillId="4" borderId="11" xfId="7" applyNumberFormat="1" applyFont="1" applyFill="1" applyBorder="1" applyProtection="1">
      <protection locked="0"/>
    </xf>
    <xf numFmtId="0" fontId="15" fillId="0" borderId="6" xfId="7" applyFont="1" applyBorder="1" applyAlignment="1" applyProtection="1">
      <alignment horizontal="center"/>
      <protection locked="0"/>
    </xf>
    <xf numFmtId="168" fontId="17" fillId="0" borderId="6" xfId="7" applyNumberFormat="1" applyFont="1" applyBorder="1" applyAlignment="1" applyProtection="1">
      <alignment horizontal="center"/>
      <protection locked="0"/>
    </xf>
    <xf numFmtId="168" fontId="15" fillId="4" borderId="0" xfId="7" applyNumberFormat="1" applyFont="1" applyFill="1" applyAlignment="1" applyProtection="1">
      <alignment horizontal="center"/>
      <protection locked="0"/>
    </xf>
    <xf numFmtId="0" fontId="15" fillId="4" borderId="0" xfId="7" applyFont="1" applyFill="1" applyAlignment="1" applyProtection="1">
      <alignment horizontal="center"/>
      <protection locked="0"/>
    </xf>
    <xf numFmtId="4" fontId="32" fillId="4" borderId="7" xfId="7" applyNumberFormat="1" applyFont="1" applyFill="1" applyBorder="1" applyAlignment="1" applyProtection="1">
      <alignment horizontal="right"/>
      <protection locked="0"/>
    </xf>
    <xf numFmtId="4" fontId="32" fillId="4" borderId="3" xfId="7" applyNumberFormat="1" applyFont="1" applyFill="1" applyBorder="1" applyAlignment="1">
      <alignment horizontal="right"/>
    </xf>
    <xf numFmtId="0" fontId="32" fillId="0" borderId="3" xfId="7" applyFont="1" applyBorder="1" applyProtection="1">
      <protection locked="0"/>
    </xf>
    <xf numFmtId="3" fontId="32" fillId="4" borderId="3" xfId="7" applyNumberFormat="1" applyFont="1" applyFill="1" applyBorder="1" applyAlignment="1">
      <alignment horizontal="right"/>
    </xf>
    <xf numFmtId="0" fontId="32" fillId="0" borderId="6" xfId="7" applyFont="1" applyBorder="1" applyProtection="1">
      <protection locked="0"/>
    </xf>
    <xf numFmtId="3" fontId="32" fillId="4" borderId="6" xfId="7" applyNumberFormat="1" applyFont="1" applyFill="1" applyBorder="1" applyAlignment="1">
      <alignment horizontal="right"/>
    </xf>
    <xf numFmtId="0" fontId="15" fillId="0" borderId="6" xfId="0" applyFont="1" applyBorder="1" applyAlignment="1" applyProtection="1">
      <alignment horizontal="center"/>
      <protection locked="0"/>
    </xf>
    <xf numFmtId="0" fontId="15" fillId="0" borderId="11" xfId="0" applyFont="1" applyBorder="1" applyAlignment="1" applyProtection="1">
      <alignment horizontal="center"/>
      <protection locked="0"/>
    </xf>
    <xf numFmtId="4" fontId="32" fillId="4" borderId="3" xfId="7" applyNumberFormat="1" applyFont="1" applyFill="1" applyBorder="1" applyAlignment="1" applyProtection="1">
      <alignment horizontal="right"/>
      <protection locked="0"/>
    </xf>
    <xf numFmtId="3" fontId="32" fillId="4" borderId="3" xfId="7" applyNumberFormat="1" applyFont="1" applyFill="1" applyBorder="1" applyAlignment="1" applyProtection="1">
      <alignment horizontal="right"/>
      <protection locked="0"/>
    </xf>
    <xf numFmtId="3" fontId="32" fillId="4" borderId="6" xfId="7" applyNumberFormat="1" applyFont="1" applyFill="1" applyBorder="1" applyAlignment="1" applyProtection="1">
      <alignment horizontal="right"/>
      <protection locked="0"/>
    </xf>
    <xf numFmtId="0" fontId="57" fillId="0" borderId="0" xfId="0" applyFont="1"/>
    <xf numFmtId="0" fontId="15" fillId="0" borderId="4" xfId="7" applyFont="1" applyBorder="1" applyAlignment="1" applyProtection="1">
      <alignment horizontal="center"/>
      <protection locked="0"/>
    </xf>
    <xf numFmtId="3" fontId="46" fillId="0" borderId="4" xfId="7" applyNumberFormat="1" applyFont="1" applyBorder="1" applyAlignment="1">
      <alignment horizontal="right"/>
    </xf>
    <xf numFmtId="3" fontId="46" fillId="0" borderId="4" xfId="7" applyNumberFormat="1" applyFont="1" applyBorder="1" applyAlignment="1" applyProtection="1">
      <alignment horizontal="right"/>
      <protection locked="0"/>
    </xf>
    <xf numFmtId="3" fontId="32" fillId="0" borderId="4" xfId="7" applyNumberFormat="1" applyFont="1" applyBorder="1" applyAlignment="1">
      <alignment horizontal="right"/>
    </xf>
    <xf numFmtId="3" fontId="32" fillId="0" borderId="4" xfId="7" applyNumberFormat="1" applyFont="1" applyBorder="1" applyAlignment="1" applyProtection="1">
      <alignment horizontal="right"/>
      <protection locked="0"/>
    </xf>
    <xf numFmtId="3" fontId="32" fillId="0" borderId="11" xfId="7" applyNumberFormat="1" applyFont="1" applyBorder="1" applyAlignment="1" applyProtection="1">
      <alignment horizontal="right"/>
      <protection locked="0"/>
    </xf>
    <xf numFmtId="3" fontId="32" fillId="0" borderId="1" xfId="7" applyNumberFormat="1" applyFont="1" applyBorder="1" applyAlignment="1" applyProtection="1">
      <alignment horizontal="right"/>
      <protection locked="0"/>
    </xf>
    <xf numFmtId="0" fontId="17" fillId="0" borderId="4" xfId="7" applyFont="1" applyBorder="1" applyAlignment="1">
      <alignment horizontal="right"/>
    </xf>
    <xf numFmtId="0" fontId="17" fillId="0" borderId="4" xfId="7" applyFont="1" applyBorder="1" applyAlignment="1" applyProtection="1">
      <alignment horizontal="right"/>
      <protection locked="0"/>
    </xf>
    <xf numFmtId="3" fontId="32" fillId="0" borderId="4" xfId="848" applyNumberFormat="1" applyFont="1" applyBorder="1" applyAlignment="1">
      <alignment horizontal="right"/>
    </xf>
    <xf numFmtId="3" fontId="32" fillId="0" borderId="4" xfId="848" applyNumberFormat="1" applyFont="1" applyBorder="1" applyAlignment="1" applyProtection="1">
      <alignment horizontal="right"/>
      <protection locked="0"/>
    </xf>
    <xf numFmtId="3" fontId="46" fillId="0" borderId="4" xfId="848" applyNumberFormat="1" applyFont="1" applyBorder="1" applyAlignment="1">
      <alignment horizontal="right"/>
    </xf>
    <xf numFmtId="3" fontId="46" fillId="0" borderId="4" xfId="848" applyNumberFormat="1" applyFont="1" applyBorder="1" applyAlignment="1" applyProtection="1">
      <alignment horizontal="right"/>
      <protection locked="0"/>
    </xf>
    <xf numFmtId="3" fontId="32" fillId="0" borderId="11" xfId="848" applyNumberFormat="1" applyFont="1" applyBorder="1" applyAlignment="1">
      <alignment horizontal="right"/>
    </xf>
    <xf numFmtId="3" fontId="32" fillId="0" borderId="11" xfId="848" applyNumberFormat="1" applyFont="1" applyBorder="1" applyAlignment="1" applyProtection="1">
      <alignment horizontal="right"/>
      <protection locked="0"/>
    </xf>
    <xf numFmtId="3" fontId="17" fillId="0" borderId="4" xfId="7" applyNumberFormat="1" applyFont="1" applyBorder="1" applyAlignment="1">
      <alignment horizontal="right"/>
    </xf>
    <xf numFmtId="3" fontId="17" fillId="0" borderId="4" xfId="7" applyNumberFormat="1" applyFont="1" applyBorder="1" applyAlignment="1" applyProtection="1">
      <alignment horizontal="right"/>
      <protection locked="0"/>
    </xf>
    <xf numFmtId="3" fontId="32" fillId="0" borderId="6" xfId="848" applyNumberFormat="1" applyFont="1" applyBorder="1" applyAlignment="1" applyProtection="1">
      <alignment horizontal="right"/>
      <protection locked="0"/>
    </xf>
    <xf numFmtId="3" fontId="32" fillId="0" borderId="3" xfId="7" applyNumberFormat="1" applyFont="1" applyBorder="1" applyAlignment="1" applyProtection="1">
      <alignment horizontal="right"/>
      <protection locked="0"/>
    </xf>
    <xf numFmtId="3" fontId="46" fillId="0" borderId="3" xfId="7" applyNumberFormat="1" applyFont="1" applyBorder="1" applyAlignment="1" applyProtection="1">
      <alignment horizontal="right"/>
      <protection locked="0"/>
    </xf>
    <xf numFmtId="3" fontId="32" fillId="0" borderId="6" xfId="7" applyNumberFormat="1" applyFont="1" applyBorder="1" applyAlignment="1" applyProtection="1">
      <alignment horizontal="right"/>
      <protection locked="0"/>
    </xf>
    <xf numFmtId="3" fontId="32" fillId="0" borderId="3" xfId="848" applyNumberFormat="1" applyFont="1" applyBorder="1" applyAlignment="1" applyProtection="1">
      <alignment horizontal="right"/>
      <protection locked="0"/>
    </xf>
    <xf numFmtId="3" fontId="46" fillId="0" borderId="3" xfId="848" applyNumberFormat="1" applyFont="1" applyBorder="1" applyAlignment="1" applyProtection="1">
      <alignment horizontal="right"/>
      <protection locked="0"/>
    </xf>
    <xf numFmtId="4" fontId="32" fillId="0" borderId="4" xfId="7" applyNumberFormat="1" applyFont="1" applyBorder="1" applyAlignment="1" applyProtection="1">
      <alignment horizontal="right"/>
      <protection locked="0"/>
    </xf>
    <xf numFmtId="4" fontId="46" fillId="0" borderId="3" xfId="7" applyNumberFormat="1" applyFont="1" applyBorder="1" applyAlignment="1" applyProtection="1">
      <alignment horizontal="right"/>
      <protection locked="0"/>
    </xf>
    <xf numFmtId="4" fontId="32" fillId="0" borderId="3" xfId="7" applyNumberFormat="1" applyFont="1" applyBorder="1" applyAlignment="1" applyProtection="1">
      <alignment horizontal="right"/>
      <protection locked="0"/>
    </xf>
    <xf numFmtId="0" fontId="46" fillId="0" borderId="4" xfId="7" applyFont="1" applyBorder="1" applyProtection="1">
      <protection locked="0"/>
    </xf>
    <xf numFmtId="0" fontId="16" fillId="0" borderId="0" xfId="7" applyFont="1" applyAlignment="1">
      <alignment horizontal="right" vertical="top"/>
    </xf>
    <xf numFmtId="0" fontId="16" fillId="0" borderId="0" xfId="7" applyFont="1" applyAlignment="1">
      <alignment horizontal="right"/>
    </xf>
    <xf numFmtId="0" fontId="32" fillId="0" borderId="4" xfId="0" applyFont="1" applyBorder="1" applyProtection="1">
      <protection locked="0"/>
    </xf>
    <xf numFmtId="3" fontId="46" fillId="0" borderId="1" xfId="0" applyNumberFormat="1" applyFont="1" applyBorder="1" applyProtection="1">
      <protection locked="0"/>
    </xf>
    <xf numFmtId="3" fontId="46" fillId="0" borderId="4" xfId="0" applyNumberFormat="1" applyFont="1" applyBorder="1" applyProtection="1">
      <protection locked="0"/>
    </xf>
    <xf numFmtId="0" fontId="17" fillId="0" borderId="7" xfId="0" applyFont="1" applyBorder="1" applyAlignment="1" applyProtection="1">
      <alignment horizontal="center"/>
      <protection locked="0"/>
    </xf>
    <xf numFmtId="3" fontId="51" fillId="4" borderId="6" xfId="0" applyNumberFormat="1" applyFont="1" applyFill="1" applyBorder="1" applyProtection="1">
      <protection locked="0"/>
    </xf>
    <xf numFmtId="168" fontId="17" fillId="0" borderId="6" xfId="0" applyNumberFormat="1" applyFont="1" applyBorder="1" applyAlignment="1" applyProtection="1">
      <alignment horizontal="center"/>
      <protection locked="0"/>
    </xf>
    <xf numFmtId="0" fontId="32" fillId="4" borderId="7" xfId="0" applyFont="1" applyFill="1" applyBorder="1" applyAlignment="1" applyProtection="1">
      <alignment horizontal="right"/>
      <protection locked="0"/>
    </xf>
    <xf numFmtId="3" fontId="32" fillId="4" borderId="4" xfId="0" applyNumberFormat="1" applyFont="1" applyFill="1" applyBorder="1" applyAlignment="1">
      <alignment horizontal="right"/>
    </xf>
    <xf numFmtId="3" fontId="32" fillId="4" borderId="3" xfId="0" applyNumberFormat="1" applyFont="1" applyFill="1" applyBorder="1" applyAlignment="1">
      <alignment horizontal="right"/>
    </xf>
    <xf numFmtId="0" fontId="32" fillId="4" borderId="3" xfId="0" applyFont="1" applyFill="1" applyBorder="1" applyAlignment="1" applyProtection="1">
      <alignment horizontal="right"/>
      <protection locked="0"/>
    </xf>
    <xf numFmtId="3" fontId="32" fillId="10" borderId="3" xfId="0" applyNumberFormat="1" applyFont="1" applyFill="1" applyBorder="1" applyAlignment="1" applyProtection="1">
      <alignment horizontal="right"/>
      <protection locked="0"/>
    </xf>
    <xf numFmtId="0" fontId="46" fillId="0" borderId="11" xfId="0" applyFont="1" applyBorder="1" applyProtection="1">
      <protection locked="0"/>
    </xf>
    <xf numFmtId="0" fontId="46" fillId="0" borderId="4" xfId="0" applyFont="1" applyBorder="1" applyProtection="1">
      <protection locked="0"/>
    </xf>
    <xf numFmtId="3" fontId="46" fillId="4" borderId="7" xfId="0" applyNumberFormat="1" applyFont="1" applyFill="1" applyBorder="1" applyAlignment="1" applyProtection="1">
      <alignment horizontal="right"/>
      <protection locked="0"/>
    </xf>
    <xf numFmtId="0" fontId="46" fillId="4" borderId="7" xfId="0" applyFont="1" applyFill="1" applyBorder="1" applyAlignment="1" applyProtection="1">
      <alignment horizontal="right"/>
      <protection locked="0"/>
    </xf>
    <xf numFmtId="0" fontId="46" fillId="4" borderId="15" xfId="0" applyFont="1" applyFill="1" applyBorder="1" applyAlignment="1" applyProtection="1">
      <alignment horizontal="right"/>
      <protection locked="0"/>
    </xf>
    <xf numFmtId="0" fontId="50" fillId="0" borderId="7" xfId="0" applyFont="1" applyBorder="1" applyAlignment="1" applyProtection="1">
      <alignment horizontal="right"/>
      <protection locked="0"/>
    </xf>
    <xf numFmtId="0" fontId="46" fillId="4" borderId="3" xfId="0" applyFont="1" applyFill="1" applyBorder="1" applyAlignment="1" applyProtection="1">
      <alignment horizontal="right"/>
      <protection locked="0"/>
    </xf>
    <xf numFmtId="0" fontId="46" fillId="4" borderId="2" xfId="0" applyFont="1" applyFill="1" applyBorder="1" applyAlignment="1" applyProtection="1">
      <alignment horizontal="right"/>
      <protection locked="0"/>
    </xf>
    <xf numFmtId="0" fontId="50" fillId="0" borderId="3" xfId="0" applyFont="1" applyBorder="1" applyAlignment="1" applyProtection="1">
      <alignment horizontal="right"/>
      <protection locked="0"/>
    </xf>
    <xf numFmtId="0" fontId="32" fillId="4" borderId="2" xfId="0" applyFont="1" applyFill="1" applyBorder="1" applyAlignment="1" applyProtection="1">
      <alignment horizontal="right"/>
      <protection locked="0"/>
    </xf>
    <xf numFmtId="3" fontId="32" fillId="4" borderId="2" xfId="0" applyNumberFormat="1" applyFont="1" applyFill="1" applyBorder="1" applyAlignment="1" applyProtection="1">
      <alignment horizontal="right"/>
      <protection locked="0"/>
    </xf>
    <xf numFmtId="3" fontId="46" fillId="4" borderId="2" xfId="0" applyNumberFormat="1" applyFont="1" applyFill="1" applyBorder="1" applyAlignment="1" applyProtection="1">
      <alignment horizontal="right"/>
      <protection locked="0"/>
    </xf>
    <xf numFmtId="0" fontId="46" fillId="0" borderId="0" xfId="0" applyFont="1" applyProtection="1">
      <protection locked="0"/>
    </xf>
    <xf numFmtId="0" fontId="46" fillId="4" borderId="6" xfId="0" applyFont="1" applyFill="1" applyBorder="1" applyAlignment="1" applyProtection="1">
      <alignment horizontal="right"/>
      <protection locked="0"/>
    </xf>
    <xf numFmtId="0" fontId="46" fillId="4" borderId="5" xfId="0" applyFont="1" applyFill="1" applyBorder="1" applyAlignment="1" applyProtection="1">
      <alignment horizontal="right"/>
      <protection locked="0"/>
    </xf>
    <xf numFmtId="0" fontId="46" fillId="0" borderId="6" xfId="0" applyFont="1" applyBorder="1" applyAlignment="1" applyProtection="1">
      <alignment horizontal="right"/>
      <protection locked="0"/>
    </xf>
    <xf numFmtId="0" fontId="46" fillId="0" borderId="7" xfId="0" applyFont="1" applyBorder="1" applyProtection="1">
      <protection locked="0"/>
    </xf>
    <xf numFmtId="3" fontId="46" fillId="4" borderId="1" xfId="15" applyNumberFormat="1" applyFont="1" applyFill="1" applyBorder="1" applyAlignment="1" applyProtection="1">
      <alignment horizontal="right"/>
      <protection locked="0"/>
    </xf>
    <xf numFmtId="0" fontId="71" fillId="0" borderId="0" xfId="0" applyFont="1" applyProtection="1">
      <protection locked="0"/>
    </xf>
    <xf numFmtId="4" fontId="71" fillId="0" borderId="0" xfId="0" applyNumberFormat="1" applyFont="1" applyProtection="1">
      <protection locked="0"/>
    </xf>
    <xf numFmtId="3" fontId="61" fillId="4" borderId="3" xfId="0" applyNumberFormat="1" applyFont="1" applyFill="1" applyBorder="1" applyAlignment="1">
      <alignment horizontal="right"/>
    </xf>
    <xf numFmtId="3" fontId="46" fillId="4" borderId="3" xfId="0" applyNumberFormat="1" applyFont="1" applyFill="1" applyBorder="1" applyAlignment="1">
      <alignment horizontal="right"/>
    </xf>
    <xf numFmtId="0" fontId="32" fillId="0" borderId="3" xfId="0" applyFont="1" applyBorder="1" applyProtection="1">
      <protection locked="0"/>
    </xf>
    <xf numFmtId="3" fontId="32" fillId="0" borderId="3" xfId="845" applyNumberFormat="1" applyFont="1" applyBorder="1" applyAlignment="1" applyProtection="1">
      <alignment horizontal="right"/>
      <protection locked="0"/>
    </xf>
    <xf numFmtId="0" fontId="21" fillId="0" borderId="3" xfId="0" applyFont="1" applyBorder="1" applyProtection="1">
      <protection locked="0"/>
    </xf>
    <xf numFmtId="3" fontId="46" fillId="0" borderId="4" xfId="0" applyNumberFormat="1" applyFont="1" applyBorder="1" applyAlignment="1" applyProtection="1">
      <alignment horizontal="right"/>
      <protection locked="0"/>
    </xf>
    <xf numFmtId="3" fontId="32" fillId="0" borderId="0" xfId="0" applyNumberFormat="1" applyFont="1" applyProtection="1">
      <protection locked="0"/>
    </xf>
    <xf numFmtId="3" fontId="63" fillId="0" borderId="0" xfId="0" applyNumberFormat="1" applyFont="1" applyProtection="1">
      <protection locked="0"/>
    </xf>
    <xf numFmtId="0" fontId="21" fillId="0" borderId="0" xfId="852"/>
    <xf numFmtId="0" fontId="28" fillId="0" borderId="0" xfId="852" applyFont="1"/>
    <xf numFmtId="0" fontId="0" fillId="0" borderId="0" xfId="852" applyFont="1"/>
    <xf numFmtId="0" fontId="29" fillId="0" borderId="0" xfId="852" applyFont="1" applyAlignment="1">
      <alignment horizontal="right"/>
    </xf>
    <xf numFmtId="0" fontId="21" fillId="0" borderId="0" xfId="20"/>
    <xf numFmtId="0" fontId="30" fillId="0" borderId="0" xfId="852" applyFont="1" applyAlignment="1">
      <alignment horizontal="left"/>
    </xf>
    <xf numFmtId="0" fontId="31" fillId="0" borderId="0" xfId="852" applyFont="1" applyAlignment="1">
      <alignment horizontal="left"/>
    </xf>
    <xf numFmtId="0" fontId="32" fillId="0" borderId="0" xfId="20" applyFont="1" applyAlignment="1">
      <alignment horizontal="left"/>
    </xf>
    <xf numFmtId="0" fontId="33" fillId="0" borderId="0" xfId="852" applyFont="1" applyAlignment="1">
      <alignment horizontal="right"/>
    </xf>
    <xf numFmtId="0" fontId="21" fillId="0" borderId="0" xfId="852" applyAlignment="1">
      <alignment horizontal="right"/>
    </xf>
    <xf numFmtId="0" fontId="34" fillId="0" borderId="0" xfId="852" applyFont="1" applyAlignment="1">
      <alignment horizontal="left"/>
    </xf>
    <xf numFmtId="14" fontId="35" fillId="0" borderId="0" xfId="852" applyNumberFormat="1" applyFont="1" applyAlignment="1">
      <alignment horizontal="left"/>
    </xf>
    <xf numFmtId="0" fontId="35" fillId="0" borderId="0" xfId="852" applyFont="1" applyAlignment="1">
      <alignment horizontal="left"/>
    </xf>
    <xf numFmtId="0" fontId="36" fillId="0" borderId="0" xfId="20" applyFont="1" applyAlignment="1">
      <alignment vertical="center"/>
    </xf>
    <xf numFmtId="0" fontId="37" fillId="0" borderId="0" xfId="20" applyFont="1" applyAlignment="1">
      <alignment vertical="center"/>
    </xf>
    <xf numFmtId="0" fontId="79" fillId="0" borderId="0" xfId="0" applyFont="1" applyProtection="1">
      <protection locked="0"/>
    </xf>
    <xf numFmtId="0" fontId="73" fillId="0" borderId="0" xfId="848" applyFont="1" applyProtection="1">
      <protection locked="0"/>
    </xf>
    <xf numFmtId="0" fontId="23" fillId="0" borderId="0" xfId="848" applyFont="1" applyProtection="1">
      <protection locked="0"/>
    </xf>
    <xf numFmtId="0" fontId="78" fillId="0" borderId="0" xfId="0" applyFont="1" applyProtection="1">
      <protection locked="0"/>
    </xf>
    <xf numFmtId="3" fontId="46" fillId="4" borderId="0" xfId="0" applyNumberFormat="1" applyFont="1" applyFill="1" applyProtection="1">
      <protection locked="0"/>
    </xf>
    <xf numFmtId="3" fontId="17" fillId="4" borderId="0" xfId="0" applyNumberFormat="1" applyFont="1" applyFill="1" applyProtection="1">
      <protection locked="0"/>
    </xf>
    <xf numFmtId="14" fontId="15" fillId="0" borderId="7" xfId="0" applyNumberFormat="1" applyFont="1" applyBorder="1" applyAlignment="1" applyProtection="1">
      <alignment horizontal="left"/>
      <protection locked="0"/>
    </xf>
    <xf numFmtId="3" fontId="15" fillId="0" borderId="10" xfId="0" quotePrefix="1" applyNumberFormat="1" applyFont="1" applyBorder="1" applyAlignment="1" applyProtection="1">
      <alignment horizontal="center"/>
      <protection locked="0"/>
    </xf>
    <xf numFmtId="3" fontId="15" fillId="0" borderId="8" xfId="0" quotePrefix="1" applyNumberFormat="1" applyFont="1" applyBorder="1" applyAlignment="1" applyProtection="1">
      <alignment horizontal="center"/>
      <protection locked="0"/>
    </xf>
    <xf numFmtId="3" fontId="15" fillId="0" borderId="9" xfId="0" quotePrefix="1" applyNumberFormat="1" applyFont="1" applyBorder="1" applyAlignment="1" applyProtection="1">
      <alignment horizontal="center"/>
      <protection locked="0"/>
    </xf>
    <xf numFmtId="0" fontId="19" fillId="4" borderId="10" xfId="0" applyFont="1" applyFill="1" applyBorder="1" applyProtection="1">
      <protection locked="0"/>
    </xf>
    <xf numFmtId="0" fontId="19" fillId="4" borderId="8" xfId="0" applyFont="1" applyFill="1" applyBorder="1" applyProtection="1">
      <protection locked="0"/>
    </xf>
    <xf numFmtId="0" fontId="19" fillId="4" borderId="9" xfId="0" applyFont="1" applyFill="1" applyBorder="1" applyProtection="1">
      <protection locked="0"/>
    </xf>
    <xf numFmtId="0" fontId="21" fillId="0" borderId="9" xfId="0" applyFont="1" applyBorder="1" applyProtection="1">
      <protection locked="0"/>
    </xf>
    <xf numFmtId="0" fontId="46" fillId="0" borderId="0" xfId="7" applyFont="1" applyProtection="1">
      <protection locked="0"/>
    </xf>
    <xf numFmtId="0" fontId="46" fillId="0" borderId="12" xfId="7" applyFont="1" applyBorder="1" applyProtection="1">
      <protection locked="0"/>
    </xf>
    <xf numFmtId="14" fontId="15" fillId="0" borderId="3" xfId="7" applyNumberFormat="1" applyFont="1" applyBorder="1" applyAlignment="1" applyProtection="1">
      <alignment horizontal="left"/>
      <protection locked="0"/>
    </xf>
    <xf numFmtId="3" fontId="51" fillId="0" borderId="11" xfId="7" applyNumberFormat="1" applyFont="1" applyBorder="1" applyProtection="1">
      <protection locked="0"/>
    </xf>
    <xf numFmtId="3" fontId="51" fillId="0" borderId="7" xfId="7" applyNumberFormat="1" applyFont="1" applyBorder="1" applyProtection="1">
      <protection locked="0"/>
    </xf>
    <xf numFmtId="168" fontId="17" fillId="0" borderId="3" xfId="7" applyNumberFormat="1" applyFont="1" applyBorder="1" applyAlignment="1" applyProtection="1">
      <alignment horizontal="center"/>
      <protection locked="0"/>
    </xf>
    <xf numFmtId="168" fontId="17" fillId="0" borderId="4" xfId="7" applyNumberFormat="1" applyFont="1" applyBorder="1" applyAlignment="1" applyProtection="1">
      <alignment horizontal="center"/>
      <protection locked="0"/>
    </xf>
    <xf numFmtId="0" fontId="46" fillId="0" borderId="3" xfId="7" applyFont="1" applyBorder="1" applyProtection="1">
      <protection locked="0"/>
    </xf>
    <xf numFmtId="168" fontId="46" fillId="0" borderId="3" xfId="7" applyNumberFormat="1" applyFont="1" applyBorder="1" applyAlignment="1" applyProtection="1">
      <alignment horizontal="right"/>
      <protection locked="0"/>
    </xf>
    <xf numFmtId="0" fontId="46" fillId="0" borderId="4" xfId="7" applyFont="1" applyBorder="1" applyAlignment="1" applyProtection="1">
      <alignment horizontal="right"/>
      <protection locked="0"/>
    </xf>
    <xf numFmtId="168" fontId="46" fillId="0" borderId="4" xfId="7" applyNumberFormat="1" applyFont="1" applyBorder="1" applyAlignment="1" applyProtection="1">
      <alignment horizontal="right"/>
      <protection locked="0"/>
    </xf>
    <xf numFmtId="1" fontId="46" fillId="0" borderId="3" xfId="7" applyNumberFormat="1" applyFont="1" applyBorder="1" applyAlignment="1" applyProtection="1">
      <alignment horizontal="right"/>
      <protection locked="0"/>
    </xf>
    <xf numFmtId="1" fontId="32" fillId="0" borderId="3" xfId="7" applyNumberFormat="1" applyFont="1" applyBorder="1" applyAlignment="1" applyProtection="1">
      <alignment horizontal="right"/>
      <protection locked="0"/>
    </xf>
    <xf numFmtId="0" fontId="32" fillId="0" borderId="4" xfId="7" applyFont="1" applyBorder="1" applyAlignment="1" applyProtection="1">
      <alignment horizontal="right"/>
      <protection locked="0"/>
    </xf>
    <xf numFmtId="168" fontId="32" fillId="0" borderId="3" xfId="7" applyNumberFormat="1" applyFont="1" applyBorder="1" applyAlignment="1" applyProtection="1">
      <alignment horizontal="right"/>
      <protection locked="0"/>
    </xf>
    <xf numFmtId="168" fontId="32" fillId="0" borderId="4" xfId="7" applyNumberFormat="1" applyFont="1" applyBorder="1" applyAlignment="1" applyProtection="1">
      <alignment horizontal="right"/>
      <protection locked="0"/>
    </xf>
    <xf numFmtId="1" fontId="32" fillId="0" borderId="4" xfId="7" applyNumberFormat="1" applyFont="1" applyBorder="1" applyAlignment="1" applyProtection="1">
      <alignment horizontal="right"/>
      <protection locked="0"/>
    </xf>
    <xf numFmtId="1" fontId="46" fillId="0" borderId="4" xfId="7" applyNumberFormat="1" applyFont="1" applyBorder="1" applyAlignment="1" applyProtection="1">
      <alignment horizontal="right"/>
      <protection locked="0"/>
    </xf>
    <xf numFmtId="1" fontId="32" fillId="0" borderId="6" xfId="7" applyNumberFormat="1" applyFont="1" applyBorder="1" applyAlignment="1" applyProtection="1">
      <alignment horizontal="right"/>
      <protection locked="0"/>
    </xf>
    <xf numFmtId="0" fontId="32" fillId="0" borderId="7" xfId="7" applyFont="1" applyBorder="1" applyProtection="1">
      <protection locked="0"/>
    </xf>
    <xf numFmtId="1" fontId="32" fillId="0" borderId="7" xfId="7" applyNumberFormat="1" applyFont="1" applyBorder="1" applyAlignment="1" applyProtection="1">
      <alignment horizontal="right"/>
      <protection locked="0"/>
    </xf>
    <xf numFmtId="3" fontId="32" fillId="0" borderId="7" xfId="7" applyNumberFormat="1" applyFont="1" applyBorder="1" applyAlignment="1" applyProtection="1">
      <alignment horizontal="right"/>
      <protection locked="0"/>
    </xf>
    <xf numFmtId="0" fontId="32" fillId="0" borderId="3" xfId="7" applyFont="1" applyBorder="1" applyAlignment="1" applyProtection="1">
      <alignment horizontal="right"/>
      <protection locked="0"/>
    </xf>
    <xf numFmtId="0" fontId="47" fillId="0" borderId="0" xfId="7" applyFont="1" applyProtection="1">
      <protection locked="0"/>
    </xf>
    <xf numFmtId="0" fontId="32" fillId="0" borderId="0" xfId="848" applyFont="1" applyProtection="1">
      <protection locked="0"/>
    </xf>
    <xf numFmtId="0" fontId="16" fillId="0" borderId="0" xfId="848" applyProtection="1">
      <protection locked="0"/>
    </xf>
    <xf numFmtId="0" fontId="42" fillId="0" borderId="0" xfId="848" applyFont="1" applyProtection="1">
      <protection locked="0"/>
    </xf>
    <xf numFmtId="0" fontId="46" fillId="0" borderId="0" xfId="848" applyFont="1" applyProtection="1">
      <protection locked="0"/>
    </xf>
    <xf numFmtId="0" fontId="46" fillId="0" borderId="12" xfId="848" applyFont="1" applyBorder="1" applyProtection="1">
      <protection locked="0"/>
    </xf>
    <xf numFmtId="14" fontId="15" fillId="0" borderId="3" xfId="848" applyNumberFormat="1" applyFont="1" applyBorder="1" applyAlignment="1" applyProtection="1">
      <alignment horizontal="left"/>
      <protection locked="0"/>
    </xf>
    <xf numFmtId="0" fontId="19" fillId="0" borderId="10" xfId="848" applyFont="1" applyBorder="1" applyProtection="1">
      <protection locked="0"/>
    </xf>
    <xf numFmtId="0" fontId="19" fillId="0" borderId="8" xfId="848" applyFont="1" applyBorder="1" applyProtection="1">
      <protection locked="0"/>
    </xf>
    <xf numFmtId="0" fontId="19" fillId="0" borderId="9" xfId="848" applyFont="1" applyBorder="1" applyProtection="1">
      <protection locked="0"/>
    </xf>
    <xf numFmtId="3" fontId="46" fillId="0" borderId="1" xfId="848" applyNumberFormat="1" applyFont="1" applyBorder="1" applyProtection="1">
      <protection locked="0"/>
    </xf>
    <xf numFmtId="3" fontId="46" fillId="0" borderId="4" xfId="848" applyNumberFormat="1" applyFont="1" applyBorder="1" applyProtection="1">
      <protection locked="0"/>
    </xf>
    <xf numFmtId="3" fontId="51" fillId="0" borderId="11" xfId="848" applyNumberFormat="1" applyFont="1" applyBorder="1" applyProtection="1">
      <protection locked="0"/>
    </xf>
    <xf numFmtId="3" fontId="75" fillId="0" borderId="7" xfId="848" applyNumberFormat="1" applyFont="1" applyBorder="1" applyProtection="1">
      <protection locked="0"/>
    </xf>
    <xf numFmtId="168" fontId="17" fillId="0" borderId="3" xfId="848" applyNumberFormat="1" applyFont="1" applyBorder="1" applyAlignment="1" applyProtection="1">
      <alignment horizontal="right"/>
      <protection locked="0"/>
    </xf>
    <xf numFmtId="168" fontId="17" fillId="0" borderId="7" xfId="848" applyNumberFormat="1" applyFont="1" applyBorder="1" applyAlignment="1" applyProtection="1">
      <alignment horizontal="right"/>
      <protection locked="0"/>
    </xf>
    <xf numFmtId="168" fontId="17" fillId="0" borderId="4" xfId="848" applyNumberFormat="1" applyFont="1" applyBorder="1" applyAlignment="1" applyProtection="1">
      <alignment horizontal="right"/>
      <protection locked="0"/>
    </xf>
    <xf numFmtId="0" fontId="15" fillId="0" borderId="0" xfId="848" applyFont="1" applyProtection="1">
      <protection locked="0"/>
    </xf>
    <xf numFmtId="0" fontId="76" fillId="0" borderId="3" xfId="7" applyFont="1" applyBorder="1" applyProtection="1">
      <protection locked="0"/>
    </xf>
    <xf numFmtId="0" fontId="52" fillId="0" borderId="3" xfId="7" applyFont="1" applyBorder="1" applyProtection="1">
      <protection locked="0"/>
    </xf>
    <xf numFmtId="0" fontId="47" fillId="0" borderId="0" xfId="848" applyFont="1" applyProtection="1">
      <protection locked="0"/>
    </xf>
    <xf numFmtId="0" fontId="70" fillId="0" borderId="0" xfId="848" applyFont="1" applyProtection="1">
      <protection locked="0"/>
    </xf>
    <xf numFmtId="3" fontId="32" fillId="0" borderId="0" xfId="848" applyNumberFormat="1" applyFont="1" applyProtection="1">
      <protection locked="0"/>
    </xf>
    <xf numFmtId="0" fontId="77" fillId="0" borderId="0" xfId="848" applyFont="1" applyProtection="1">
      <protection locked="0"/>
    </xf>
    <xf numFmtId="0" fontId="62" fillId="0" borderId="0" xfId="848" applyFont="1" applyProtection="1">
      <protection locked="0"/>
    </xf>
    <xf numFmtId="0" fontId="62" fillId="0" borderId="0" xfId="7" applyFont="1" applyProtection="1">
      <protection locked="0"/>
    </xf>
    <xf numFmtId="49" fontId="61" fillId="0" borderId="12" xfId="7" applyNumberFormat="1" applyFont="1" applyBorder="1" applyProtection="1">
      <protection locked="0"/>
    </xf>
    <xf numFmtId="14" fontId="15" fillId="0" borderId="13" xfId="848" applyNumberFormat="1" applyFont="1" applyBorder="1" applyAlignment="1" applyProtection="1">
      <alignment horizontal="left"/>
      <protection locked="0"/>
    </xf>
    <xf numFmtId="168" fontId="17" fillId="0" borderId="4" xfId="848" applyNumberFormat="1" applyFont="1" applyBorder="1" applyAlignment="1">
      <alignment horizontal="right"/>
    </xf>
    <xf numFmtId="49" fontId="46" fillId="0" borderId="3" xfId="7" applyNumberFormat="1" applyFont="1" applyBorder="1" applyProtection="1">
      <protection locked="0"/>
    </xf>
    <xf numFmtId="3" fontId="17" fillId="0" borderId="3" xfId="848" applyNumberFormat="1" applyFont="1" applyBorder="1" applyAlignment="1" applyProtection="1">
      <alignment horizontal="right"/>
      <protection locked="0"/>
    </xf>
    <xf numFmtId="3" fontId="17" fillId="0" borderId="4" xfId="848" applyNumberFormat="1" applyFont="1" applyBorder="1" applyAlignment="1" applyProtection="1">
      <alignment horizontal="right"/>
      <protection locked="0"/>
    </xf>
    <xf numFmtId="1" fontId="32" fillId="0" borderId="0" xfId="848" applyNumberFormat="1" applyFont="1" applyProtection="1">
      <protection locked="0"/>
    </xf>
    <xf numFmtId="1" fontId="46" fillId="0" borderId="0" xfId="848" applyNumberFormat="1" applyFont="1" applyProtection="1">
      <protection locked="0"/>
    </xf>
    <xf numFmtId="0" fontId="21" fillId="0" borderId="0" xfId="848" applyFont="1" applyProtection="1">
      <protection locked="0"/>
    </xf>
    <xf numFmtId="3" fontId="60" fillId="4" borderId="0" xfId="0" applyNumberFormat="1" applyFont="1" applyFill="1" applyProtection="1">
      <protection locked="0"/>
    </xf>
    <xf numFmtId="3" fontId="15" fillId="0" borderId="8" xfId="0" quotePrefix="1" applyNumberFormat="1" applyFont="1" applyBorder="1" applyProtection="1">
      <protection locked="0"/>
    </xf>
    <xf numFmtId="3" fontId="15" fillId="0" borderId="9" xfId="0" quotePrefix="1" applyNumberFormat="1" applyFont="1" applyBorder="1" applyProtection="1">
      <protection locked="0"/>
    </xf>
    <xf numFmtId="3" fontId="15" fillId="0" borderId="10" xfId="0" quotePrefix="1" applyNumberFormat="1" applyFont="1" applyBorder="1" applyProtection="1">
      <protection locked="0"/>
    </xf>
    <xf numFmtId="0" fontId="19" fillId="4" borderId="0" xfId="0" applyFont="1" applyFill="1" applyProtection="1">
      <protection locked="0"/>
    </xf>
    <xf numFmtId="0" fontId="17" fillId="0" borderId="1" xfId="0" applyFont="1" applyBorder="1" applyAlignment="1" applyProtection="1">
      <alignment horizontal="center"/>
      <protection locked="0"/>
    </xf>
    <xf numFmtId="0" fontId="15" fillId="4" borderId="0" xfId="0" applyFont="1" applyFill="1" applyAlignment="1" applyProtection="1">
      <alignment horizontal="center"/>
      <protection locked="0"/>
    </xf>
    <xf numFmtId="168" fontId="15" fillId="4" borderId="0" xfId="0" applyNumberFormat="1" applyFont="1" applyFill="1" applyAlignment="1" applyProtection="1">
      <alignment horizontal="center"/>
      <protection locked="0"/>
    </xf>
    <xf numFmtId="3" fontId="46" fillId="4" borderId="11" xfId="0" applyNumberFormat="1" applyFont="1" applyFill="1" applyBorder="1" applyAlignment="1" applyProtection="1">
      <alignment horizontal="right"/>
      <protection locked="0"/>
    </xf>
    <xf numFmtId="164" fontId="21" fillId="0" borderId="0" xfId="7" applyNumberFormat="1" applyProtection="1">
      <protection locked="0"/>
    </xf>
    <xf numFmtId="3" fontId="21" fillId="0" borderId="0" xfId="7" applyNumberFormat="1" applyProtection="1">
      <protection locked="0"/>
    </xf>
    <xf numFmtId="0" fontId="61" fillId="0" borderId="12" xfId="7" applyFont="1" applyBorder="1" applyProtection="1">
      <protection locked="0"/>
    </xf>
    <xf numFmtId="14" fontId="15" fillId="0" borderId="4" xfId="7" applyNumberFormat="1" applyFont="1" applyBorder="1" applyAlignment="1" applyProtection="1">
      <alignment horizontal="left"/>
      <protection locked="0"/>
    </xf>
    <xf numFmtId="164" fontId="19" fillId="0" borderId="0" xfId="7" applyNumberFormat="1" applyFont="1" applyProtection="1">
      <protection locked="0"/>
    </xf>
    <xf numFmtId="0" fontId="19" fillId="0" borderId="0" xfId="7" applyFont="1" applyProtection="1">
      <protection locked="0"/>
    </xf>
    <xf numFmtId="168" fontId="15" fillId="0" borderId="0" xfId="7" applyNumberFormat="1" applyFont="1" applyAlignment="1" applyProtection="1">
      <alignment horizontal="center"/>
      <protection locked="0"/>
    </xf>
    <xf numFmtId="0" fontId="15" fillId="0" borderId="0" xfId="7" applyFont="1" applyAlignment="1" applyProtection="1">
      <alignment horizontal="center"/>
      <protection locked="0"/>
    </xf>
    <xf numFmtId="3" fontId="32" fillId="0" borderId="3" xfId="7" applyNumberFormat="1" applyFont="1" applyBorder="1" applyAlignment="1">
      <alignment horizontal="right"/>
    </xf>
    <xf numFmtId="3" fontId="32" fillId="0" borderId="7" xfId="7" applyNumberFormat="1" applyFont="1" applyBorder="1" applyAlignment="1">
      <alignment horizontal="right"/>
    </xf>
    <xf numFmtId="3" fontId="32" fillId="0" borderId="2" xfId="7" applyNumberFormat="1" applyFont="1" applyBorder="1" applyAlignment="1" applyProtection="1">
      <alignment horizontal="right"/>
      <protection locked="0"/>
    </xf>
    <xf numFmtId="49" fontId="46" fillId="0" borderId="4" xfId="7" applyNumberFormat="1" applyFont="1" applyBorder="1" applyProtection="1">
      <protection locked="0"/>
    </xf>
    <xf numFmtId="3" fontId="46" fillId="0" borderId="3" xfId="7" applyNumberFormat="1" applyFont="1" applyBorder="1" applyAlignment="1">
      <alignment horizontal="right"/>
    </xf>
    <xf numFmtId="3" fontId="46" fillId="0" borderId="2" xfId="7" applyNumberFormat="1" applyFont="1" applyBorder="1" applyAlignment="1" applyProtection="1">
      <alignment horizontal="right"/>
      <protection locked="0"/>
    </xf>
    <xf numFmtId="0" fontId="50" fillId="0" borderId="0" xfId="7" applyFont="1" applyProtection="1">
      <protection locked="0"/>
    </xf>
    <xf numFmtId="0" fontId="32" fillId="0" borderId="4" xfId="7" applyFont="1" applyBorder="1" applyProtection="1">
      <protection locked="0"/>
    </xf>
    <xf numFmtId="3" fontId="32" fillId="0" borderId="0" xfId="7" applyNumberFormat="1" applyFont="1" applyAlignment="1" applyProtection="1">
      <alignment horizontal="right"/>
      <protection locked="0"/>
    </xf>
    <xf numFmtId="0" fontId="32" fillId="0" borderId="11" xfId="7" applyFont="1" applyBorder="1" applyProtection="1">
      <protection locked="0"/>
    </xf>
    <xf numFmtId="3" fontId="32" fillId="0" borderId="6" xfId="7" applyNumberFormat="1" applyFont="1" applyBorder="1" applyAlignment="1">
      <alignment horizontal="right"/>
    </xf>
    <xf numFmtId="3" fontId="32" fillId="0" borderId="5" xfId="7" applyNumberFormat="1" applyFont="1" applyBorder="1" applyAlignment="1" applyProtection="1">
      <alignment horizontal="right"/>
      <protection locked="0"/>
    </xf>
    <xf numFmtId="0" fontId="46" fillId="0" borderId="4" xfId="848" applyFont="1" applyBorder="1" applyProtection="1">
      <protection locked="0"/>
    </xf>
    <xf numFmtId="3" fontId="32" fillId="0" borderId="3" xfId="848" applyNumberFormat="1" applyFont="1" applyBorder="1" applyAlignment="1">
      <alignment horizontal="right"/>
    </xf>
    <xf numFmtId="0" fontId="32" fillId="0" borderId="3" xfId="848" applyFont="1" applyBorder="1" applyAlignment="1" applyProtection="1">
      <alignment horizontal="right"/>
      <protection locked="0"/>
    </xf>
    <xf numFmtId="3" fontId="46" fillId="0" borderId="3" xfId="848" applyNumberFormat="1" applyFont="1" applyBorder="1" applyAlignment="1">
      <alignment horizontal="right"/>
    </xf>
    <xf numFmtId="0" fontId="46" fillId="0" borderId="3" xfId="848" applyFont="1" applyBorder="1" applyAlignment="1" applyProtection="1">
      <alignment horizontal="right"/>
      <protection locked="0"/>
    </xf>
    <xf numFmtId="1" fontId="46" fillId="0" borderId="3" xfId="848" applyNumberFormat="1" applyFont="1" applyBorder="1" applyAlignment="1" applyProtection="1">
      <alignment horizontal="right"/>
      <protection locked="0"/>
    </xf>
    <xf numFmtId="3" fontId="46" fillId="2" borderId="3" xfId="848" applyNumberFormat="1" applyFont="1" applyFill="1" applyBorder="1" applyAlignment="1" applyProtection="1">
      <alignment horizontal="right"/>
      <protection locked="0"/>
    </xf>
    <xf numFmtId="1" fontId="32" fillId="0" borderId="3" xfId="848" applyNumberFormat="1" applyFont="1" applyBorder="1" applyAlignment="1" applyProtection="1">
      <alignment horizontal="right"/>
      <protection locked="0"/>
    </xf>
    <xf numFmtId="3" fontId="32" fillId="2" borderId="3" xfId="848" applyNumberFormat="1" applyFont="1" applyFill="1" applyBorder="1" applyAlignment="1" applyProtection="1">
      <alignment horizontal="right"/>
      <protection locked="0"/>
    </xf>
    <xf numFmtId="3" fontId="32" fillId="2" borderId="3" xfId="848" applyNumberFormat="1" applyFont="1" applyFill="1" applyBorder="1" applyAlignment="1">
      <alignment horizontal="right"/>
    </xf>
    <xf numFmtId="3" fontId="32" fillId="0" borderId="6" xfId="848" applyNumberFormat="1" applyFont="1" applyBorder="1" applyAlignment="1">
      <alignment horizontal="right"/>
    </xf>
    <xf numFmtId="0" fontId="62" fillId="0" borderId="0" xfId="848" applyFont="1"/>
    <xf numFmtId="0" fontId="38" fillId="0" borderId="0" xfId="7" applyFont="1" applyProtection="1">
      <protection locked="0"/>
    </xf>
    <xf numFmtId="164" fontId="19" fillId="4" borderId="0" xfId="7" applyNumberFormat="1" applyFont="1" applyFill="1" applyProtection="1">
      <protection locked="0"/>
    </xf>
    <xf numFmtId="4" fontId="32" fillId="4" borderId="2" xfId="7" applyNumberFormat="1" applyFont="1" applyFill="1" applyBorder="1" applyAlignment="1">
      <alignment horizontal="right"/>
    </xf>
    <xf numFmtId="4" fontId="32" fillId="4" borderId="7" xfId="7" applyNumberFormat="1" applyFont="1" applyFill="1" applyBorder="1" applyAlignment="1">
      <alignment horizontal="right"/>
    </xf>
    <xf numFmtId="4" fontId="32" fillId="0" borderId="3" xfId="7" applyNumberFormat="1" applyFont="1" applyBorder="1" applyAlignment="1">
      <alignment horizontal="right"/>
    </xf>
    <xf numFmtId="0" fontId="54" fillId="0" borderId="0" xfId="7" applyFont="1" applyProtection="1">
      <protection locked="0"/>
    </xf>
    <xf numFmtId="3" fontId="32" fillId="4" borderId="2" xfId="7" applyNumberFormat="1" applyFont="1" applyFill="1" applyBorder="1" applyAlignment="1">
      <alignment horizontal="right"/>
    </xf>
    <xf numFmtId="3" fontId="32" fillId="4" borderId="5" xfId="7" applyNumberFormat="1" applyFont="1" applyFill="1" applyBorder="1" applyAlignment="1">
      <alignment horizontal="right"/>
    </xf>
    <xf numFmtId="4" fontId="32" fillId="0" borderId="2" xfId="7" applyNumberFormat="1" applyFont="1" applyBorder="1" applyAlignment="1" applyProtection="1">
      <alignment horizontal="right"/>
      <protection locked="0"/>
    </xf>
    <xf numFmtId="4" fontId="46" fillId="0" borderId="2" xfId="7" applyNumberFormat="1" applyFont="1" applyBorder="1" applyAlignment="1" applyProtection="1">
      <alignment horizontal="right"/>
      <protection locked="0"/>
    </xf>
    <xf numFmtId="4" fontId="32" fillId="0" borderId="0" xfId="7" applyNumberFormat="1" applyFont="1" applyAlignment="1" applyProtection="1">
      <alignment horizontal="right"/>
      <protection locked="0"/>
    </xf>
    <xf numFmtId="0" fontId="82" fillId="0" borderId="0" xfId="0" applyFont="1"/>
    <xf numFmtId="14" fontId="15" fillId="0" borderId="6" xfId="0" applyNumberFormat="1" applyFont="1" applyBorder="1" applyAlignment="1">
      <alignment horizontal="left"/>
    </xf>
    <xf numFmtId="14" fontId="15" fillId="0" borderId="3" xfId="0" applyNumberFormat="1" applyFont="1" applyBorder="1" applyAlignment="1">
      <alignment horizontal="center"/>
    </xf>
    <xf numFmtId="0" fontId="46" fillId="0" borderId="1" xfId="7" applyFont="1" applyBorder="1" applyAlignment="1" applyProtection="1">
      <alignment horizontal="center"/>
      <protection locked="0"/>
    </xf>
    <xf numFmtId="0" fontId="46" fillId="0" borderId="14" xfId="7" applyFont="1" applyBorder="1" applyAlignment="1" applyProtection="1">
      <alignment horizontal="center"/>
      <protection locked="0"/>
    </xf>
    <xf numFmtId="0" fontId="46" fillId="0" borderId="15" xfId="7" applyFont="1" applyBorder="1" applyAlignment="1" applyProtection="1">
      <alignment horizontal="center"/>
      <protection locked="0"/>
    </xf>
    <xf numFmtId="0" fontId="46" fillId="4" borderId="0" xfId="0" applyFont="1" applyFill="1" applyAlignment="1" applyProtection="1">
      <alignment horizontal="center"/>
      <protection locked="0"/>
    </xf>
    <xf numFmtId="0" fontId="46" fillId="0" borderId="0" xfId="7" applyFont="1" applyAlignment="1" applyProtection="1">
      <alignment horizontal="center"/>
      <protection locked="0"/>
    </xf>
    <xf numFmtId="0" fontId="46" fillId="4" borderId="0" xfId="7" applyFont="1" applyFill="1" applyAlignment="1" applyProtection="1">
      <alignment horizontal="center"/>
      <protection locked="0"/>
    </xf>
    <xf numFmtId="0" fontId="70" fillId="0" borderId="0" xfId="0" applyFont="1"/>
    <xf numFmtId="0" fontId="20" fillId="0" borderId="0" xfId="0" applyFont="1"/>
    <xf numFmtId="1" fontId="32" fillId="0" borderId="11" xfId="7" applyNumberFormat="1" applyFont="1" applyBorder="1" applyAlignment="1" applyProtection="1">
      <alignment horizontal="right"/>
      <protection locked="0"/>
    </xf>
    <xf numFmtId="3" fontId="46" fillId="0" borderId="0" xfId="0" applyNumberFormat="1" applyFont="1" applyProtection="1">
      <protection locked="0"/>
    </xf>
    <xf numFmtId="4" fontId="32" fillId="0" borderId="6" xfId="7" applyNumberFormat="1" applyFont="1" applyBorder="1" applyAlignment="1" applyProtection="1">
      <alignment horizontal="right"/>
      <protection locked="0"/>
    </xf>
    <xf numFmtId="4" fontId="32" fillId="0" borderId="11" xfId="7" applyNumberFormat="1" applyFont="1" applyBorder="1" applyAlignment="1" applyProtection="1">
      <alignment horizontal="right"/>
      <protection locked="0"/>
    </xf>
    <xf numFmtId="3" fontId="18" fillId="0" borderId="0" xfId="1" applyNumberFormat="1" applyFont="1" applyAlignment="1">
      <alignment horizontal="left"/>
    </xf>
    <xf numFmtId="3" fontId="17" fillId="0" borderId="0" xfId="1" applyNumberFormat="1" applyFont="1" applyAlignment="1">
      <alignment horizontal="left"/>
    </xf>
    <xf numFmtId="3" fontId="20" fillId="0" borderId="0" xfId="1" applyNumberFormat="1" applyFont="1" applyAlignment="1">
      <alignment horizontal="left"/>
    </xf>
    <xf numFmtId="3" fontId="73" fillId="0" borderId="0" xfId="1" applyNumberFormat="1" applyFont="1" applyAlignment="1">
      <alignment horizontal="center"/>
    </xf>
    <xf numFmtId="0" fontId="16" fillId="0" borderId="0" xfId="7" applyFont="1" applyAlignment="1">
      <alignment vertical="top" wrapText="1"/>
    </xf>
    <xf numFmtId="3" fontId="32" fillId="4" borderId="7" xfId="0" applyNumberFormat="1" applyFont="1" applyFill="1" applyBorder="1" applyAlignment="1">
      <alignment horizontal="right"/>
    </xf>
    <xf numFmtId="165" fontId="32" fillId="4" borderId="3" xfId="847" applyNumberFormat="1" applyFont="1" applyFill="1" applyBorder="1" applyAlignment="1" applyProtection="1">
      <alignment horizontal="right"/>
    </xf>
    <xf numFmtId="0" fontId="32" fillId="0" borderId="3" xfId="0" applyFont="1" applyBorder="1" applyAlignment="1">
      <alignment horizontal="right"/>
    </xf>
    <xf numFmtId="3" fontId="46" fillId="4" borderId="4" xfId="15" applyNumberFormat="1" applyFont="1" applyFill="1" applyBorder="1" applyAlignment="1" applyProtection="1">
      <alignment horizontal="right"/>
    </xf>
    <xf numFmtId="3" fontId="32" fillId="4" borderId="4" xfId="15" applyNumberFormat="1" applyFont="1" applyFill="1" applyBorder="1" applyAlignment="1" applyProtection="1">
      <alignment horizontal="right"/>
    </xf>
    <xf numFmtId="3" fontId="46" fillId="4" borderId="11" xfId="15" applyNumberFormat="1" applyFont="1" applyFill="1" applyBorder="1" applyAlignment="1" applyProtection="1">
      <alignment horizontal="right"/>
    </xf>
    <xf numFmtId="3" fontId="46" fillId="0" borderId="1" xfId="15" applyNumberFormat="1" applyFont="1" applyFill="1" applyBorder="1" applyAlignment="1" applyProtection="1">
      <alignment horizontal="right"/>
    </xf>
    <xf numFmtId="0" fontId="32" fillId="11" borderId="3" xfId="0" applyFont="1" applyFill="1" applyBorder="1" applyProtection="1">
      <protection locked="0"/>
    </xf>
    <xf numFmtId="0" fontId="32" fillId="0" borderId="6" xfId="0" applyFont="1" applyBorder="1"/>
    <xf numFmtId="0" fontId="32" fillId="0" borderId="6" xfId="0" applyFont="1" applyBorder="1" applyProtection="1">
      <protection locked="0"/>
    </xf>
    <xf numFmtId="3" fontId="46" fillId="0" borderId="2" xfId="7" applyNumberFormat="1" applyFont="1" applyBorder="1" applyAlignment="1">
      <alignment horizontal="right"/>
    </xf>
    <xf numFmtId="0" fontId="46" fillId="0" borderId="1" xfId="0" applyFont="1" applyBorder="1" applyAlignment="1" applyProtection="1">
      <alignment horizontal="center"/>
      <protection locked="0"/>
    </xf>
    <xf numFmtId="0" fontId="46" fillId="0" borderId="14" xfId="0" applyFont="1" applyBorder="1" applyAlignment="1" applyProtection="1">
      <alignment horizontal="center"/>
      <protection locked="0"/>
    </xf>
    <xf numFmtId="0" fontId="46" fillId="0" borderId="15" xfId="0" applyFont="1" applyBorder="1" applyAlignment="1" applyProtection="1">
      <alignment horizontal="center"/>
      <protection locked="0"/>
    </xf>
    <xf numFmtId="3" fontId="32" fillId="4" borderId="1" xfId="0" applyNumberFormat="1" applyFont="1" applyFill="1" applyBorder="1" applyAlignment="1">
      <alignment horizontal="right"/>
    </xf>
    <xf numFmtId="169" fontId="32" fillId="0" borderId="3" xfId="847" applyNumberFormat="1" applyFont="1" applyBorder="1" applyAlignment="1" applyProtection="1">
      <alignment horizontal="right"/>
    </xf>
    <xf numFmtId="165" fontId="32" fillId="0" borderId="3" xfId="847" applyNumberFormat="1" applyFont="1" applyBorder="1" applyProtection="1"/>
    <xf numFmtId="165" fontId="32" fillId="0" borderId="3" xfId="847" applyNumberFormat="1" applyFont="1" applyBorder="1" applyProtection="1">
      <protection locked="0"/>
    </xf>
    <xf numFmtId="165" fontId="32" fillId="0" borderId="6" xfId="847" applyNumberFormat="1" applyFont="1" applyBorder="1" applyProtection="1"/>
    <xf numFmtId="165" fontId="32" fillId="0" borderId="6" xfId="847" applyNumberFormat="1" applyFont="1" applyBorder="1" applyProtection="1">
      <protection locked="0"/>
    </xf>
    <xf numFmtId="0" fontId="15" fillId="0" borderId="4" xfId="7" applyFont="1" applyBorder="1" applyAlignment="1">
      <alignment horizontal="center"/>
    </xf>
    <xf numFmtId="3" fontId="32" fillId="0" borderId="11" xfId="7" applyNumberFormat="1" applyFont="1" applyBorder="1" applyAlignment="1">
      <alignment horizontal="right"/>
    </xf>
    <xf numFmtId="3" fontId="32" fillId="0" borderId="1" xfId="7" applyNumberFormat="1" applyFont="1" applyBorder="1" applyAlignment="1">
      <alignment horizontal="right"/>
    </xf>
    <xf numFmtId="0" fontId="24" fillId="0" borderId="6" xfId="0" applyFont="1" applyBorder="1"/>
    <xf numFmtId="1" fontId="32" fillId="0" borderId="3" xfId="0" applyNumberFormat="1" applyFont="1" applyBorder="1" applyAlignment="1">
      <alignment horizontal="right"/>
    </xf>
    <xf numFmtId="3" fontId="46" fillId="4" borderId="1" xfId="15" applyNumberFormat="1" applyFont="1" applyFill="1" applyBorder="1" applyAlignment="1" applyProtection="1">
      <alignment horizontal="right"/>
    </xf>
    <xf numFmtId="3" fontId="17" fillId="0" borderId="0" xfId="0" applyNumberFormat="1" applyFont="1" applyProtection="1">
      <protection locked="0"/>
    </xf>
    <xf numFmtId="3" fontId="32" fillId="11" borderId="3" xfId="0" applyNumberFormat="1" applyFont="1" applyFill="1" applyBorder="1" applyAlignment="1" applyProtection="1">
      <alignment horizontal="right"/>
      <protection locked="0"/>
    </xf>
    <xf numFmtId="172" fontId="32" fillId="11" borderId="3" xfId="0" applyNumberFormat="1" applyFont="1" applyFill="1" applyBorder="1"/>
    <xf numFmtId="172" fontId="32" fillId="0" borderId="3" xfId="0" applyNumberFormat="1" applyFont="1" applyBorder="1"/>
    <xf numFmtId="172" fontId="32" fillId="0" borderId="6" xfId="0" applyNumberFormat="1" applyFont="1" applyBorder="1"/>
    <xf numFmtId="0" fontId="15" fillId="11" borderId="4" xfId="7" applyFont="1" applyFill="1" applyBorder="1" applyAlignment="1">
      <alignment horizontal="center"/>
    </xf>
    <xf numFmtId="3" fontId="46" fillId="11" borderId="4" xfId="7" applyNumberFormat="1" applyFont="1" applyFill="1" applyBorder="1" applyAlignment="1">
      <alignment horizontal="right"/>
    </xf>
    <xf numFmtId="3" fontId="32" fillId="11" borderId="4" xfId="7" applyNumberFormat="1" applyFont="1" applyFill="1" applyBorder="1" applyAlignment="1">
      <alignment horizontal="right"/>
    </xf>
    <xf numFmtId="3" fontId="32" fillId="11" borderId="4" xfId="7" applyNumberFormat="1" applyFont="1" applyFill="1" applyBorder="1" applyAlignment="1" applyProtection="1">
      <alignment horizontal="right"/>
      <protection locked="0"/>
    </xf>
    <xf numFmtId="3" fontId="46" fillId="11" borderId="4" xfId="7" applyNumberFormat="1" applyFont="1" applyFill="1" applyBorder="1" applyAlignment="1" applyProtection="1">
      <alignment horizontal="right"/>
      <protection locked="0"/>
    </xf>
    <xf numFmtId="3" fontId="32" fillId="11" borderId="4" xfId="0" applyNumberFormat="1" applyFont="1" applyFill="1" applyBorder="1" applyAlignment="1">
      <alignment horizontal="right"/>
    </xf>
    <xf numFmtId="3" fontId="32" fillId="11" borderId="11" xfId="7" applyNumberFormat="1" applyFont="1" applyFill="1" applyBorder="1" applyAlignment="1">
      <alignment horizontal="right"/>
    </xf>
    <xf numFmtId="3" fontId="32" fillId="11" borderId="1" xfId="7" applyNumberFormat="1" applyFont="1" applyFill="1" applyBorder="1" applyAlignment="1">
      <alignment horizontal="right"/>
    </xf>
    <xf numFmtId="0" fontId="17" fillId="11" borderId="4" xfId="7" applyFont="1" applyFill="1" applyBorder="1" applyAlignment="1">
      <alignment horizontal="right"/>
    </xf>
    <xf numFmtId="0" fontId="17" fillId="11" borderId="4" xfId="7" applyFont="1" applyFill="1" applyBorder="1" applyAlignment="1" applyProtection="1">
      <alignment horizontal="right"/>
      <protection locked="0"/>
    </xf>
    <xf numFmtId="3" fontId="32" fillId="11" borderId="4" xfId="0" applyNumberFormat="1" applyFont="1" applyFill="1" applyBorder="1" applyAlignment="1" applyProtection="1">
      <alignment horizontal="right"/>
      <protection locked="0"/>
    </xf>
    <xf numFmtId="3" fontId="32" fillId="11" borderId="4" xfId="848" applyNumberFormat="1" applyFont="1" applyFill="1" applyBorder="1" applyAlignment="1">
      <alignment horizontal="right"/>
    </xf>
    <xf numFmtId="3" fontId="32" fillId="11" borderId="4" xfId="848" applyNumberFormat="1" applyFont="1" applyFill="1" applyBorder="1" applyAlignment="1" applyProtection="1">
      <alignment horizontal="right"/>
      <protection locked="0"/>
    </xf>
    <xf numFmtId="3" fontId="46" fillId="11" borderId="4" xfId="848" applyNumberFormat="1" applyFont="1" applyFill="1" applyBorder="1" applyAlignment="1">
      <alignment horizontal="right"/>
    </xf>
    <xf numFmtId="3" fontId="46" fillId="11" borderId="4" xfId="848" applyNumberFormat="1" applyFont="1" applyFill="1" applyBorder="1" applyAlignment="1" applyProtection="1">
      <alignment horizontal="right"/>
      <protection locked="0"/>
    </xf>
    <xf numFmtId="3" fontId="32" fillId="11" borderId="11" xfId="848" applyNumberFormat="1" applyFont="1" applyFill="1" applyBorder="1" applyAlignment="1">
      <alignment horizontal="right"/>
    </xf>
    <xf numFmtId="3" fontId="17" fillId="11" borderId="4" xfId="7" applyNumberFormat="1" applyFont="1" applyFill="1" applyBorder="1" applyAlignment="1">
      <alignment horizontal="right"/>
    </xf>
    <xf numFmtId="3" fontId="17" fillId="11" borderId="4" xfId="7" applyNumberFormat="1" applyFont="1" applyFill="1" applyBorder="1" applyAlignment="1" applyProtection="1">
      <alignment horizontal="right"/>
      <protection locked="0"/>
    </xf>
    <xf numFmtId="3" fontId="32" fillId="11" borderId="11" xfId="848" applyNumberFormat="1" applyFont="1" applyFill="1" applyBorder="1" applyAlignment="1" applyProtection="1">
      <alignment horizontal="right"/>
      <protection locked="0"/>
    </xf>
    <xf numFmtId="3" fontId="46" fillId="11" borderId="3" xfId="0" applyNumberFormat="1" applyFont="1" applyFill="1" applyBorder="1" applyAlignment="1">
      <alignment horizontal="right"/>
    </xf>
    <xf numFmtId="3" fontId="32" fillId="11" borderId="3" xfId="0" applyNumberFormat="1" applyFont="1" applyFill="1" applyBorder="1" applyAlignment="1">
      <alignment horizontal="right"/>
    </xf>
    <xf numFmtId="3" fontId="46" fillId="11" borderId="6" xfId="0" applyNumberFormat="1" applyFont="1" applyFill="1" applyBorder="1" applyAlignment="1">
      <alignment horizontal="right"/>
    </xf>
    <xf numFmtId="3" fontId="32" fillId="0" borderId="2" xfId="7" applyNumberFormat="1" applyFont="1" applyBorder="1" applyAlignment="1">
      <alignment horizontal="right"/>
    </xf>
    <xf numFmtId="1" fontId="32" fillId="0" borderId="3" xfId="0" applyNumberFormat="1" applyFont="1" applyBorder="1" applyProtection="1">
      <protection locked="0"/>
    </xf>
    <xf numFmtId="1" fontId="32" fillId="0" borderId="3" xfId="0" applyNumberFormat="1" applyFont="1" applyBorder="1"/>
    <xf numFmtId="1" fontId="32" fillId="0" borderId="6" xfId="0" applyNumberFormat="1" applyFont="1" applyBorder="1"/>
    <xf numFmtId="1" fontId="32" fillId="0" borderId="6" xfId="0" applyNumberFormat="1" applyFont="1" applyBorder="1" applyProtection="1">
      <protection locked="0"/>
    </xf>
    <xf numFmtId="165" fontId="32" fillId="0" borderId="3" xfId="847" applyNumberFormat="1" applyFont="1" applyBorder="1" applyAlignment="1" applyProtection="1">
      <alignment horizontal="right"/>
    </xf>
    <xf numFmtId="165" fontId="32" fillId="4" borderId="4" xfId="847" applyNumberFormat="1" applyFont="1" applyFill="1" applyBorder="1" applyAlignment="1" applyProtection="1">
      <alignment horizontal="right"/>
    </xf>
    <xf numFmtId="4" fontId="32" fillId="11" borderId="3" xfId="7" applyNumberFormat="1" applyFont="1" applyFill="1" applyBorder="1" applyAlignment="1" applyProtection="1">
      <alignment horizontal="right"/>
      <protection locked="0"/>
    </xf>
    <xf numFmtId="0" fontId="81" fillId="0" borderId="4" xfId="7" applyFont="1" applyBorder="1" applyProtection="1">
      <protection locked="0"/>
    </xf>
    <xf numFmtId="3" fontId="32" fillId="11" borderId="3" xfId="7" applyNumberFormat="1" applyFont="1" applyFill="1" applyBorder="1" applyAlignment="1" applyProtection="1">
      <alignment horizontal="right"/>
      <protection locked="0"/>
    </xf>
    <xf numFmtId="3" fontId="32" fillId="11" borderId="6" xfId="7" applyNumberFormat="1" applyFont="1" applyFill="1" applyBorder="1" applyAlignment="1" applyProtection="1">
      <alignment horizontal="right"/>
      <protection locked="0"/>
    </xf>
    <xf numFmtId="0" fontId="46" fillId="0" borderId="4" xfId="7" applyFont="1" applyBorder="1" applyAlignment="1" applyProtection="1">
      <alignment horizontal="center"/>
      <protection locked="0"/>
    </xf>
    <xf numFmtId="0" fontId="32" fillId="0" borderId="4" xfId="7" applyFont="1" applyBorder="1" applyAlignment="1" applyProtection="1">
      <alignment horizontal="center"/>
      <protection locked="0"/>
    </xf>
    <xf numFmtId="4" fontId="32" fillId="11" borderId="4" xfId="7" applyNumberFormat="1" applyFont="1" applyFill="1" applyBorder="1" applyAlignment="1" applyProtection="1">
      <alignment horizontal="right"/>
      <protection locked="0"/>
    </xf>
    <xf numFmtId="0" fontId="32" fillId="0" borderId="4" xfId="7" applyFont="1" applyBorder="1" applyAlignment="1" applyProtection="1">
      <alignment horizontal="left"/>
      <protection locked="0"/>
    </xf>
    <xf numFmtId="0" fontId="32" fillId="0" borderId="11" xfId="7" applyFont="1" applyBorder="1" applyAlignment="1" applyProtection="1">
      <alignment horizontal="center"/>
      <protection locked="0"/>
    </xf>
    <xf numFmtId="4" fontId="32" fillId="0" borderId="5" xfId="7" applyNumberFormat="1" applyFont="1" applyBorder="1" applyAlignment="1" applyProtection="1">
      <alignment horizontal="right"/>
      <protection locked="0"/>
    </xf>
    <xf numFmtId="4" fontId="32" fillId="0" borderId="12" xfId="7" applyNumberFormat="1" applyFont="1" applyBorder="1" applyAlignment="1" applyProtection="1">
      <alignment horizontal="right"/>
      <protection locked="0"/>
    </xf>
    <xf numFmtId="2" fontId="32" fillId="0" borderId="3" xfId="853" applyNumberFormat="1" applyFont="1" applyBorder="1" applyAlignment="1" applyProtection="1">
      <alignment horizontal="right"/>
      <protection locked="0"/>
    </xf>
    <xf numFmtId="3" fontId="46" fillId="0" borderId="3" xfId="0" quotePrefix="1" applyNumberFormat="1" applyFont="1" applyBorder="1" applyAlignment="1">
      <alignment horizontal="right"/>
    </xf>
    <xf numFmtId="3" fontId="46" fillId="0" borderId="2" xfId="0" quotePrefix="1" applyNumberFormat="1" applyFont="1" applyBorder="1" applyAlignment="1">
      <alignment horizontal="right"/>
    </xf>
    <xf numFmtId="0" fontId="69" fillId="0" borderId="0" xfId="0" applyFont="1" applyAlignment="1">
      <alignment horizontal="left" vertical="center" wrapText="1" readingOrder="1"/>
    </xf>
    <xf numFmtId="3" fontId="87" fillId="0" borderId="0" xfId="1" applyNumberFormat="1" applyFont="1"/>
    <xf numFmtId="3" fontId="0" fillId="0" borderId="0" xfId="0" applyNumberFormat="1"/>
    <xf numFmtId="3" fontId="19" fillId="0" borderId="8" xfId="1" applyNumberFormat="1" applyFont="1" applyBorder="1"/>
    <xf numFmtId="3" fontId="17" fillId="0" borderId="6" xfId="1" applyNumberFormat="1" applyFont="1" applyBorder="1"/>
    <xf numFmtId="3" fontId="17" fillId="0" borderId="11" xfId="1" applyNumberFormat="1" applyFont="1" applyBorder="1"/>
    <xf numFmtId="0" fontId="32" fillId="0" borderId="4" xfId="0" applyFont="1" applyBorder="1" applyAlignment="1" applyProtection="1">
      <alignment wrapText="1"/>
      <protection locked="0"/>
    </xf>
    <xf numFmtId="0" fontId="81" fillId="0" borderId="4" xfId="0" applyFont="1" applyBorder="1" applyProtection="1">
      <protection locked="0"/>
    </xf>
    <xf numFmtId="0" fontId="46" fillId="0" borderId="3" xfId="0" applyFont="1" applyBorder="1" applyProtection="1">
      <protection locked="0"/>
    </xf>
    <xf numFmtId="0" fontId="46" fillId="0" borderId="6" xfId="0" applyFont="1" applyBorder="1" applyProtection="1">
      <protection locked="0"/>
    </xf>
    <xf numFmtId="3" fontId="46" fillId="0" borderId="7" xfId="0" applyNumberFormat="1" applyFont="1" applyBorder="1" applyAlignment="1" applyProtection="1">
      <alignment horizontal="right"/>
      <protection locked="0"/>
    </xf>
    <xf numFmtId="3" fontId="46" fillId="0" borderId="1" xfId="0" applyNumberFormat="1" applyFont="1" applyBorder="1" applyAlignment="1" applyProtection="1">
      <alignment horizontal="right"/>
      <protection locked="0"/>
    </xf>
    <xf numFmtId="0" fontId="46" fillId="0" borderId="1" xfId="0" applyFont="1" applyBorder="1" applyAlignment="1" applyProtection="1">
      <alignment horizontal="right"/>
      <protection locked="0"/>
    </xf>
    <xf numFmtId="0" fontId="46" fillId="0" borderId="7" xfId="0" applyFont="1" applyBorder="1" applyAlignment="1" applyProtection="1">
      <alignment horizontal="right"/>
      <protection locked="0"/>
    </xf>
    <xf numFmtId="0" fontId="46" fillId="0" borderId="12" xfId="848" applyFont="1" applyBorder="1" applyAlignment="1" applyProtection="1">
      <alignment horizontal="center"/>
      <protection locked="0"/>
    </xf>
    <xf numFmtId="0" fontId="46" fillId="0" borderId="5" xfId="848" applyFont="1" applyBorder="1" applyAlignment="1" applyProtection="1">
      <alignment horizontal="center"/>
      <protection locked="0"/>
    </xf>
    <xf numFmtId="0" fontId="46" fillId="0" borderId="14" xfId="848" applyFont="1" applyBorder="1" applyAlignment="1" applyProtection="1">
      <alignment horizontal="center"/>
      <protection locked="0"/>
    </xf>
    <xf numFmtId="0" fontId="46" fillId="0" borderId="15" xfId="848" applyFont="1" applyBorder="1" applyAlignment="1" applyProtection="1">
      <alignment horizontal="center"/>
      <protection locked="0"/>
    </xf>
    <xf numFmtId="0" fontId="32" fillId="0" borderId="3" xfId="7" applyFont="1" applyBorder="1" applyAlignment="1" applyProtection="1">
      <alignment wrapText="1"/>
      <protection locked="0"/>
    </xf>
    <xf numFmtId="49" fontId="83" fillId="0" borderId="3" xfId="7" applyNumberFormat="1" applyFont="1" applyBorder="1" applyProtection="1">
      <protection locked="0"/>
    </xf>
    <xf numFmtId="49" fontId="83" fillId="0" borderId="4" xfId="7" applyNumberFormat="1" applyFont="1" applyBorder="1" applyProtection="1">
      <protection locked="0"/>
    </xf>
    <xf numFmtId="49" fontId="32" fillId="0" borderId="4" xfId="7" applyNumberFormat="1" applyFont="1" applyBorder="1" applyProtection="1">
      <protection locked="0"/>
    </xf>
    <xf numFmtId="49" fontId="46" fillId="0" borderId="4" xfId="7" applyNumberFormat="1" applyFont="1" applyBorder="1" applyAlignment="1" applyProtection="1">
      <alignment wrapText="1"/>
      <protection locked="0"/>
    </xf>
    <xf numFmtId="0" fontId="17" fillId="8" borderId="0" xfId="0" applyFont="1" applyFill="1" applyAlignment="1">
      <alignment horizontal="center"/>
    </xf>
    <xf numFmtId="0" fontId="17" fillId="8" borderId="2" xfId="0" applyFont="1" applyFill="1" applyBorder="1" applyAlignment="1">
      <alignment horizontal="center"/>
    </xf>
    <xf numFmtId="0" fontId="46" fillId="0" borderId="12" xfId="0" applyFont="1" applyBorder="1" applyAlignment="1">
      <alignment horizontal="left"/>
    </xf>
    <xf numFmtId="0" fontId="46" fillId="0" borderId="10" xfId="0" applyFont="1" applyBorder="1" applyAlignment="1">
      <alignment horizontal="center"/>
    </xf>
    <xf numFmtId="0" fontId="46" fillId="0" borderId="8" xfId="0" applyFont="1" applyBorder="1" applyAlignment="1">
      <alignment horizontal="center"/>
    </xf>
    <xf numFmtId="0" fontId="46" fillId="0" borderId="9" xfId="0" applyFont="1" applyBorder="1" applyAlignment="1">
      <alignment horizontal="center"/>
    </xf>
    <xf numFmtId="0" fontId="17" fillId="8" borderId="4" xfId="0" applyFont="1" applyFill="1" applyBorder="1" applyAlignment="1">
      <alignment horizontal="center"/>
    </xf>
    <xf numFmtId="0" fontId="46" fillId="0" borderId="14" xfId="0" applyFont="1" applyBorder="1" applyAlignment="1">
      <alignment horizontal="center"/>
    </xf>
    <xf numFmtId="0" fontId="46" fillId="0" borderId="15" xfId="0" applyFont="1" applyBorder="1" applyAlignment="1">
      <alignment horizontal="center"/>
    </xf>
    <xf numFmtId="0" fontId="46" fillId="0" borderId="1" xfId="0" applyFont="1" applyBorder="1" applyAlignment="1">
      <alignment horizontal="center"/>
    </xf>
    <xf numFmtId="14" fontId="15" fillId="0" borderId="11" xfId="0" applyNumberFormat="1" applyFont="1" applyBorder="1" applyAlignment="1">
      <alignment horizontal="center"/>
    </xf>
    <xf numFmtId="14" fontId="15" fillId="0" borderId="12" xfId="0" applyNumberFormat="1" applyFont="1" applyBorder="1" applyAlignment="1">
      <alignment horizontal="center"/>
    </xf>
    <xf numFmtId="14" fontId="15" fillId="0" borderId="5" xfId="0" applyNumberFormat="1" applyFont="1" applyBorder="1" applyAlignment="1">
      <alignment horizontal="center"/>
    </xf>
    <xf numFmtId="3" fontId="46" fillId="0" borderId="11" xfId="0" applyNumberFormat="1" applyFont="1" applyBorder="1" applyAlignment="1">
      <alignment horizontal="center"/>
    </xf>
    <xf numFmtId="3" fontId="46" fillId="0" borderId="12" xfId="0" applyNumberFormat="1" applyFont="1" applyBorder="1" applyAlignment="1">
      <alignment horizontal="center"/>
    </xf>
    <xf numFmtId="3" fontId="46" fillId="0" borderId="5" xfId="0" applyNumberFormat="1" applyFont="1" applyBorder="1" applyAlignment="1">
      <alignment horizontal="center"/>
    </xf>
    <xf numFmtId="0" fontId="17" fillId="0" borderId="10" xfId="1" applyFont="1" applyBorder="1" applyAlignment="1">
      <alignment horizontal="center"/>
    </xf>
    <xf numFmtId="0" fontId="17" fillId="0" borderId="8" xfId="1" applyFont="1" applyBorder="1" applyAlignment="1">
      <alignment horizontal="center"/>
    </xf>
    <xf numFmtId="0" fontId="17" fillId="0" borderId="9" xfId="1" applyFont="1" applyBorder="1" applyAlignment="1">
      <alignment horizontal="center"/>
    </xf>
    <xf numFmtId="0" fontId="15" fillId="0" borderId="0" xfId="1" applyFont="1" applyAlignment="1">
      <alignment horizontal="center"/>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7" fillId="0" borderId="9" xfId="1" applyNumberFormat="1" applyFont="1" applyBorder="1" applyAlignment="1">
      <alignment horizontal="center"/>
    </xf>
    <xf numFmtId="3" fontId="15" fillId="0" borderId="12" xfId="1" applyNumberFormat="1" applyFont="1" applyBorder="1" applyAlignment="1">
      <alignment horizontal="center"/>
    </xf>
    <xf numFmtId="3" fontId="15" fillId="0" borderId="0" xfId="1" applyNumberFormat="1" applyFont="1" applyAlignment="1">
      <alignment horizontal="center"/>
    </xf>
    <xf numFmtId="3" fontId="15" fillId="0" borderId="14" xfId="1" applyNumberFormat="1" applyFont="1" applyBorder="1" applyAlignment="1">
      <alignment horizontal="center"/>
    </xf>
    <xf numFmtId="0" fontId="46" fillId="0" borderId="1" xfId="0" applyFont="1" applyBorder="1" applyAlignment="1" applyProtection="1">
      <alignment horizontal="center"/>
      <protection locked="0"/>
    </xf>
    <xf numFmtId="0" fontId="46" fillId="0" borderId="14" xfId="0" applyFont="1" applyBorder="1" applyAlignment="1" applyProtection="1">
      <alignment horizontal="center"/>
      <protection locked="0"/>
    </xf>
    <xf numFmtId="0" fontId="46" fillId="0" borderId="15" xfId="0" applyFont="1" applyBorder="1" applyAlignment="1" applyProtection="1">
      <alignment horizontal="center"/>
      <protection locked="0"/>
    </xf>
    <xf numFmtId="0" fontId="46" fillId="0" borderId="11" xfId="0" applyFont="1" applyBorder="1" applyAlignment="1" applyProtection="1">
      <alignment horizontal="center"/>
      <protection locked="0"/>
    </xf>
    <xf numFmtId="0" fontId="46" fillId="0" borderId="12" xfId="0" applyFont="1" applyBorder="1" applyAlignment="1" applyProtection="1">
      <alignment horizontal="center"/>
      <protection locked="0"/>
    </xf>
    <xf numFmtId="0" fontId="46" fillId="0" borderId="5" xfId="0" applyFont="1" applyBorder="1" applyAlignment="1" applyProtection="1">
      <alignment horizontal="center"/>
      <protection locked="0"/>
    </xf>
    <xf numFmtId="0" fontId="46" fillId="0" borderId="1" xfId="7" applyFont="1" applyBorder="1" applyAlignment="1" applyProtection="1">
      <alignment horizontal="center"/>
      <protection locked="0"/>
    </xf>
    <xf numFmtId="0" fontId="46" fillId="0" borderId="14" xfId="7" applyFont="1" applyBorder="1" applyAlignment="1" applyProtection="1">
      <alignment horizontal="center"/>
      <protection locked="0"/>
    </xf>
    <xf numFmtId="0" fontId="46" fillId="0" borderId="15" xfId="7" applyFont="1" applyBorder="1" applyAlignment="1" applyProtection="1">
      <alignment horizontal="center"/>
      <protection locked="0"/>
    </xf>
    <xf numFmtId="0" fontId="46" fillId="0" borderId="11" xfId="7" applyFont="1" applyBorder="1" applyAlignment="1" applyProtection="1">
      <alignment horizontal="center"/>
      <protection locked="0"/>
    </xf>
    <xf numFmtId="0" fontId="46" fillId="0" borderId="12" xfId="7" applyFont="1" applyBorder="1" applyAlignment="1" applyProtection="1">
      <alignment horizontal="center"/>
      <protection locked="0"/>
    </xf>
    <xf numFmtId="0" fontId="46" fillId="0" borderId="5" xfId="7" applyFont="1" applyBorder="1" applyAlignment="1" applyProtection="1">
      <alignment horizontal="center"/>
      <protection locked="0"/>
    </xf>
    <xf numFmtId="0" fontId="46" fillId="0" borderId="11" xfId="848" applyFont="1" applyBorder="1" applyAlignment="1" applyProtection="1">
      <alignment horizontal="center"/>
      <protection locked="0"/>
    </xf>
    <xf numFmtId="0" fontId="46" fillId="0" borderId="12" xfId="848" applyFont="1" applyBorder="1" applyAlignment="1" applyProtection="1">
      <alignment horizontal="center"/>
      <protection locked="0"/>
    </xf>
    <xf numFmtId="0" fontId="46" fillId="0" borderId="5" xfId="848" applyFont="1" applyBorder="1" applyAlignment="1" applyProtection="1">
      <alignment horizontal="center"/>
      <protection locked="0"/>
    </xf>
    <xf numFmtId="0" fontId="46" fillId="4" borderId="0" xfId="0" applyFont="1" applyFill="1" applyAlignment="1" applyProtection="1">
      <alignment horizontal="center"/>
      <protection locked="0"/>
    </xf>
    <xf numFmtId="0" fontId="46" fillId="0" borderId="0" xfId="7" applyFont="1" applyAlignment="1" applyProtection="1">
      <alignment horizontal="center"/>
      <protection locked="0"/>
    </xf>
    <xf numFmtId="0" fontId="46" fillId="0" borderId="1" xfId="848" applyFont="1" applyBorder="1" applyAlignment="1" applyProtection="1">
      <alignment horizontal="center"/>
      <protection locked="0"/>
    </xf>
    <xf numFmtId="0" fontId="46" fillId="0" borderId="14" xfId="848" applyFont="1" applyBorder="1" applyAlignment="1" applyProtection="1">
      <alignment horizontal="center"/>
      <protection locked="0"/>
    </xf>
    <xf numFmtId="0" fontId="46" fillId="0" borderId="15" xfId="848" applyFont="1" applyBorder="1" applyAlignment="1" applyProtection="1">
      <alignment horizontal="center"/>
      <protection locked="0"/>
    </xf>
    <xf numFmtId="0" fontId="46" fillId="4" borderId="0" xfId="7" applyFont="1" applyFill="1" applyAlignment="1" applyProtection="1">
      <alignment horizontal="center"/>
      <protection locked="0"/>
    </xf>
    <xf numFmtId="0" fontId="69" fillId="0" borderId="0" xfId="0" applyFont="1" applyAlignment="1">
      <alignment horizontal="left" vertical="top" wrapText="1" readingOrder="1"/>
    </xf>
  </cellXfs>
  <cellStyles count="1689">
    <cellStyle name="20 % – uthevingsfarge 2" xfId="844" builtinId="34"/>
    <cellStyle name="20 % – uthevingsfarge 2 2" xfId="1684" xr:uid="{98556745-5CD2-4A51-BBBC-5E74A9CE3F55}"/>
    <cellStyle name="40% - uthevingsfarge 4 2" xfId="38" xr:uid="{00000000-0005-0000-0000-000001000000}"/>
    <cellStyle name="40% - uthevingsfarge 4 2 10" xfId="771" xr:uid="{00000000-0005-0000-0000-000002000000}"/>
    <cellStyle name="40% - uthevingsfarge 4 2 10 2" xfId="1611" xr:uid="{67407B1C-0809-495E-A3B7-6228679DD5B7}"/>
    <cellStyle name="40% - uthevingsfarge 4 2 11" xfId="882" xr:uid="{520CCA93-190F-4439-80A9-162AB5D8D99D}"/>
    <cellStyle name="40% - uthevingsfarge 4 2 2" xfId="80" xr:uid="{00000000-0005-0000-0000-000003000000}"/>
    <cellStyle name="40% - uthevingsfarge 4 2 2 10" xfId="921" xr:uid="{FFFD8FD3-D79E-46E0-92A1-5CBC8394FCD5}"/>
    <cellStyle name="40% - uthevingsfarge 4 2 2 2" xfId="173" xr:uid="{00000000-0005-0000-0000-000004000000}"/>
    <cellStyle name="40% - uthevingsfarge 4 2 2 2 2" xfId="1013" xr:uid="{2F0214D3-355F-46A0-8FF4-1A6CC24D8896}"/>
    <cellStyle name="40% - uthevingsfarge 4 2 2 3" xfId="263" xr:uid="{00000000-0005-0000-0000-000005000000}"/>
    <cellStyle name="40% - uthevingsfarge 4 2 2 3 2" xfId="1103" xr:uid="{B1329D3A-7627-49D1-995B-03587546A1DD}"/>
    <cellStyle name="40% - uthevingsfarge 4 2 2 4" xfId="353" xr:uid="{00000000-0005-0000-0000-000006000000}"/>
    <cellStyle name="40% - uthevingsfarge 4 2 2 4 2" xfId="1193" xr:uid="{87097B65-1345-48D3-AADD-3F9B2FA5BEE8}"/>
    <cellStyle name="40% - uthevingsfarge 4 2 2 5" xfId="443" xr:uid="{00000000-0005-0000-0000-000007000000}"/>
    <cellStyle name="40% - uthevingsfarge 4 2 2 5 2" xfId="1283" xr:uid="{9E5F9D19-DAA7-4DCC-92FB-E919BB5C5198}"/>
    <cellStyle name="40% - uthevingsfarge 4 2 2 6" xfId="533" xr:uid="{00000000-0005-0000-0000-000008000000}"/>
    <cellStyle name="40% - uthevingsfarge 4 2 2 6 2" xfId="1373" xr:uid="{B016C0F5-79AC-4923-95E7-943C20E7FA74}"/>
    <cellStyle name="40% - uthevingsfarge 4 2 2 7" xfId="623" xr:uid="{00000000-0005-0000-0000-000009000000}"/>
    <cellStyle name="40% - uthevingsfarge 4 2 2 7 2" xfId="1463" xr:uid="{E5A08F2B-0D83-46FB-809C-4228DC8F6F10}"/>
    <cellStyle name="40% - uthevingsfarge 4 2 2 8" xfId="713" xr:uid="{00000000-0005-0000-0000-00000A000000}"/>
    <cellStyle name="40% - uthevingsfarge 4 2 2 8 2" xfId="1553" xr:uid="{A3E459CB-3FE1-45AF-913F-A437C66EDDF7}"/>
    <cellStyle name="40% - uthevingsfarge 4 2 2 9" xfId="810" xr:uid="{00000000-0005-0000-0000-00000B000000}"/>
    <cellStyle name="40% - uthevingsfarge 4 2 2 9 2" xfId="1650" xr:uid="{7B2FCC01-200F-4A56-9F01-9E7C1E3AD6DF}"/>
    <cellStyle name="40% - uthevingsfarge 4 2 3" xfId="136" xr:uid="{00000000-0005-0000-0000-00000C000000}"/>
    <cellStyle name="40% - uthevingsfarge 4 2 3 2" xfId="976" xr:uid="{90713C60-BEF8-4DEB-97BD-41E940D45C20}"/>
    <cellStyle name="40% - uthevingsfarge 4 2 4" xfId="226" xr:uid="{00000000-0005-0000-0000-00000D000000}"/>
    <cellStyle name="40% - uthevingsfarge 4 2 4 2" xfId="1066" xr:uid="{4CF00393-943C-4D32-859D-5785F6D9566B}"/>
    <cellStyle name="40% - uthevingsfarge 4 2 5" xfId="316" xr:uid="{00000000-0005-0000-0000-00000E000000}"/>
    <cellStyle name="40% - uthevingsfarge 4 2 5 2" xfId="1156" xr:uid="{5ABFEB29-7FFA-4ABD-A30D-FC5264566953}"/>
    <cellStyle name="40% - uthevingsfarge 4 2 6" xfId="406" xr:uid="{00000000-0005-0000-0000-00000F000000}"/>
    <cellStyle name="40% - uthevingsfarge 4 2 6 2" xfId="1246" xr:uid="{3B8674F8-82EF-47D5-B93F-130F76E2078C}"/>
    <cellStyle name="40% - uthevingsfarge 4 2 7" xfId="496" xr:uid="{00000000-0005-0000-0000-000010000000}"/>
    <cellStyle name="40% - uthevingsfarge 4 2 7 2" xfId="1336" xr:uid="{52B47E15-61C8-4E14-868E-C1AB57F3BA17}"/>
    <cellStyle name="40% - uthevingsfarge 4 2 8" xfId="586" xr:uid="{00000000-0005-0000-0000-000011000000}"/>
    <cellStyle name="40% - uthevingsfarge 4 2 8 2" xfId="1426" xr:uid="{F37BB396-3AF9-4493-9E88-FFEE0D35CA53}"/>
    <cellStyle name="40% - uthevingsfarge 4 2 9" xfId="676" xr:uid="{00000000-0005-0000-0000-000012000000}"/>
    <cellStyle name="40% - uthevingsfarge 4 2 9 2" xfId="1516" xr:uid="{EA925BFD-FC3E-48DA-9C52-779FECFF3D5F}"/>
    <cellStyle name="Hyperkobling" xfId="3" builtinId="8"/>
    <cellStyle name="Komma" xfId="2" builtinId="3"/>
    <cellStyle name="Komma 2" xfId="847" xr:uid="{00000000-0005-0000-0000-000015000000}"/>
    <cellStyle name="Komma 2 2" xfId="1685" xr:uid="{C6393993-6CC0-4897-BA5D-82FCECB4FD43}"/>
    <cellStyle name="Komma 2 3" xfId="850" xr:uid="{0D7BB789-C0BC-4F58-B366-11FD845789ED}"/>
    <cellStyle name="Komma 2 3 2" xfId="1687" xr:uid="{BBADBD69-EF1D-4C8F-8F56-F8A52D7737EF}"/>
    <cellStyle name="Komma 3" xfId="854" xr:uid="{669397A6-BCA9-480E-AC6C-381C5E053B53}"/>
    <cellStyle name="Merknad 2" xfId="94" xr:uid="{00000000-0005-0000-0000-000016000000}"/>
    <cellStyle name="Normal" xfId="0" builtinId="0"/>
    <cellStyle name="Normal 10" xfId="31" xr:uid="{00000000-0005-0000-0000-000018000000}"/>
    <cellStyle name="Normal 10 10" xfId="670" xr:uid="{00000000-0005-0000-0000-000019000000}"/>
    <cellStyle name="Normal 10 10 2" xfId="1510" xr:uid="{896A457C-524A-43CC-B756-1F02ECD17301}"/>
    <cellStyle name="Normal 10 11" xfId="765" xr:uid="{00000000-0005-0000-0000-00001A000000}"/>
    <cellStyle name="Normal 10 11 2" xfId="1605" xr:uid="{1A7510F3-2C99-44C1-AD00-EE95E338C3DB}"/>
    <cellStyle name="Normal 10 12" xfId="876" xr:uid="{DF02C3B0-4BAE-41C3-9020-BA3B27BF61B6}"/>
    <cellStyle name="Normal 10 2" xfId="53" xr:uid="{00000000-0005-0000-0000-00001B000000}"/>
    <cellStyle name="Normal 10 2 10" xfId="785" xr:uid="{00000000-0005-0000-0000-00001C000000}"/>
    <cellStyle name="Normal 10 2 10 2" xfId="1625" xr:uid="{43384E97-4F3C-49E9-95D7-5A4280D40B02}"/>
    <cellStyle name="Normal 10 2 11" xfId="896" xr:uid="{900A00D8-70CF-43E3-A900-96F854D1A307}"/>
    <cellStyle name="Normal 10 2 2" xfId="93" xr:uid="{00000000-0005-0000-0000-00001D000000}"/>
    <cellStyle name="Normal 10 2 2 10" xfId="823" xr:uid="{00000000-0005-0000-0000-00001E000000}"/>
    <cellStyle name="Normal 10 2 2 10 2" xfId="1663" xr:uid="{847B7A45-1CAD-4722-8ECE-59E268241CF1}"/>
    <cellStyle name="Normal 10 2 2 11" xfId="934" xr:uid="{66CA5644-DE40-4620-AD3A-29377C508EFC}"/>
    <cellStyle name="Normal 10 2 2 2" xfId="6" xr:uid="{00000000-0005-0000-0000-00001F000000}"/>
    <cellStyle name="Normal 10 2 2 2 2" xfId="116" xr:uid="{00000000-0005-0000-0000-000020000000}"/>
    <cellStyle name="Normal 10 2 2 2 2 2" xfId="956" xr:uid="{8BC30A68-659F-4259-A93D-316E774D8A66}"/>
    <cellStyle name="Normal 10 2 2 2 3" xfId="856" xr:uid="{B1699260-BD45-40DA-8147-2DDC26EB0B0C}"/>
    <cellStyle name="Normal 10 2 2 3" xfId="186" xr:uid="{00000000-0005-0000-0000-000021000000}"/>
    <cellStyle name="Normal 10 2 2 3 2" xfId="1026" xr:uid="{3E2E3798-9A90-416F-B072-562FC8D87F3E}"/>
    <cellStyle name="Normal 10 2 2 4" xfId="276" xr:uid="{00000000-0005-0000-0000-000022000000}"/>
    <cellStyle name="Normal 10 2 2 4 2" xfId="1116" xr:uid="{238577AC-F8F4-4E71-86CB-CD09E16D94A2}"/>
    <cellStyle name="Normal 10 2 2 5" xfId="366" xr:uid="{00000000-0005-0000-0000-000023000000}"/>
    <cellStyle name="Normal 10 2 2 5 2" xfId="1206" xr:uid="{9C250AC1-7BE7-4AFE-80B6-7A2EFEA0D385}"/>
    <cellStyle name="Normal 10 2 2 6" xfId="456" xr:uid="{00000000-0005-0000-0000-000024000000}"/>
    <cellStyle name="Normal 10 2 2 6 2" xfId="1296" xr:uid="{915683BA-8AE2-47B1-92FA-E6FD9EA474CA}"/>
    <cellStyle name="Normal 10 2 2 7" xfId="546" xr:uid="{00000000-0005-0000-0000-000025000000}"/>
    <cellStyle name="Normal 10 2 2 7 2" xfId="1386" xr:uid="{C26F1FC8-B315-49A8-9C9E-F4B8EDB7D2F3}"/>
    <cellStyle name="Normal 10 2 2 8" xfId="636" xr:uid="{00000000-0005-0000-0000-000026000000}"/>
    <cellStyle name="Normal 10 2 2 8 2" xfId="1476" xr:uid="{3EFD6E45-B53D-4A83-983D-96210640D682}"/>
    <cellStyle name="Normal 10 2 2 9" xfId="726" xr:uid="{00000000-0005-0000-0000-000027000000}"/>
    <cellStyle name="Normal 10 2 2 9 2" xfId="1566" xr:uid="{AA7E57EC-F03D-4419-8C0D-AC033199C13B}"/>
    <cellStyle name="Normal 10 2 3" xfId="149" xr:uid="{00000000-0005-0000-0000-000028000000}"/>
    <cellStyle name="Normal 10 2 3 2" xfId="989" xr:uid="{4D420C25-389E-45EF-A05F-5BAF5BF72939}"/>
    <cellStyle name="Normal 10 2 4" xfId="239" xr:uid="{00000000-0005-0000-0000-000029000000}"/>
    <cellStyle name="Normal 10 2 4 2" xfId="1079" xr:uid="{EF9BF84A-8710-45EB-8CB8-9C6B3400F793}"/>
    <cellStyle name="Normal 10 2 5" xfId="329" xr:uid="{00000000-0005-0000-0000-00002A000000}"/>
    <cellStyle name="Normal 10 2 5 2" xfId="1169" xr:uid="{ACDEEF7D-34C8-4DA5-9649-18544FB1F0AB}"/>
    <cellStyle name="Normal 10 2 6" xfId="419" xr:uid="{00000000-0005-0000-0000-00002B000000}"/>
    <cellStyle name="Normal 10 2 6 2" xfId="1259" xr:uid="{02C72DF7-7B3C-484C-95AB-54F6B71977DC}"/>
    <cellStyle name="Normal 10 2 7" xfId="509" xr:uid="{00000000-0005-0000-0000-00002C000000}"/>
    <cellStyle name="Normal 10 2 7 2" xfId="1349" xr:uid="{42C0C35B-0AEA-4E65-94C9-3789A63FD2C7}"/>
    <cellStyle name="Normal 10 2 8" xfId="599" xr:uid="{00000000-0005-0000-0000-00002D000000}"/>
    <cellStyle name="Normal 10 2 8 2" xfId="1439" xr:uid="{AC6BFF3A-0C64-48C6-AF4B-D4A9C4F35BA6}"/>
    <cellStyle name="Normal 10 2 9" xfId="689" xr:uid="{00000000-0005-0000-0000-00002E000000}"/>
    <cellStyle name="Normal 10 2 9 2" xfId="1529" xr:uid="{C39C3727-7736-4813-B50D-04747BBCE1DF}"/>
    <cellStyle name="Normal 10 3" xfId="74" xr:uid="{00000000-0005-0000-0000-00002F000000}"/>
    <cellStyle name="Normal 10 3 10" xfId="915" xr:uid="{2F22B2A2-CC42-4CC5-B750-B82533AD780E}"/>
    <cellStyle name="Normal 10 3 2" xfId="167" xr:uid="{00000000-0005-0000-0000-000030000000}"/>
    <cellStyle name="Normal 10 3 2 2" xfId="1007" xr:uid="{3D76CB9F-F629-4807-B991-CBC80509BC5F}"/>
    <cellStyle name="Normal 10 3 3" xfId="257" xr:uid="{00000000-0005-0000-0000-000031000000}"/>
    <cellStyle name="Normal 10 3 3 2" xfId="1097" xr:uid="{AE2616C6-7F22-4CF1-A8C9-9CA85DAA15B8}"/>
    <cellStyle name="Normal 10 3 4" xfId="347" xr:uid="{00000000-0005-0000-0000-000032000000}"/>
    <cellStyle name="Normal 10 3 4 2" xfId="1187" xr:uid="{C15FCFA8-E8DC-40CC-8DA1-FA7E2FA505FB}"/>
    <cellStyle name="Normal 10 3 5" xfId="437" xr:uid="{00000000-0005-0000-0000-000033000000}"/>
    <cellStyle name="Normal 10 3 5 2" xfId="1277" xr:uid="{C9609858-B302-45D8-8ED8-D54E7E125E75}"/>
    <cellStyle name="Normal 10 3 6" xfId="527" xr:uid="{00000000-0005-0000-0000-000034000000}"/>
    <cellStyle name="Normal 10 3 6 2" xfId="1367" xr:uid="{0916649B-AB27-4F8B-87DC-5A8B83724A76}"/>
    <cellStyle name="Normal 10 3 7" xfId="617" xr:uid="{00000000-0005-0000-0000-000035000000}"/>
    <cellStyle name="Normal 10 3 7 2" xfId="1457" xr:uid="{6E5ED13D-385D-4D5B-A469-64B9165B1C6F}"/>
    <cellStyle name="Normal 10 3 8" xfId="707" xr:uid="{00000000-0005-0000-0000-000036000000}"/>
    <cellStyle name="Normal 10 3 8 2" xfId="1547" xr:uid="{FCF19EC3-536D-4E48-BA22-C08FAD1714CE}"/>
    <cellStyle name="Normal 10 3 9" xfId="804" xr:uid="{00000000-0005-0000-0000-000037000000}"/>
    <cellStyle name="Normal 10 3 9 2" xfId="1644" xr:uid="{F9B421D9-97C2-49EF-B3A4-6396B553F7B5}"/>
    <cellStyle name="Normal 10 4" xfId="130" xr:uid="{00000000-0005-0000-0000-000038000000}"/>
    <cellStyle name="Normal 10 4 2" xfId="970" xr:uid="{61A3459A-6B94-45CE-8B77-B6FF966E8942}"/>
    <cellStyle name="Normal 10 5" xfId="220" xr:uid="{00000000-0005-0000-0000-000039000000}"/>
    <cellStyle name="Normal 10 5 2" xfId="1060" xr:uid="{31DFF367-0C11-4251-AE1E-97CCE47FAFF1}"/>
    <cellStyle name="Normal 10 6" xfId="310" xr:uid="{00000000-0005-0000-0000-00003A000000}"/>
    <cellStyle name="Normal 10 6 2" xfId="1150" xr:uid="{EDCBADE3-BF92-486D-B0BE-05DDDC5C6C84}"/>
    <cellStyle name="Normal 10 7" xfId="400" xr:uid="{00000000-0005-0000-0000-00003B000000}"/>
    <cellStyle name="Normal 10 7 2" xfId="1240" xr:uid="{97C4156B-B4E8-47B4-849F-FB234E543E03}"/>
    <cellStyle name="Normal 10 8" xfId="490" xr:uid="{00000000-0005-0000-0000-00003C000000}"/>
    <cellStyle name="Normal 10 8 2" xfId="1330" xr:uid="{8C13FDF7-DD70-4058-B6C2-41629754998F}"/>
    <cellStyle name="Normal 10 9" xfId="580" xr:uid="{00000000-0005-0000-0000-00003D000000}"/>
    <cellStyle name="Normal 10 9 2" xfId="1420" xr:uid="{6E854FF0-7446-44A5-91CA-BF39024C0340}"/>
    <cellStyle name="Normal 11" xfId="35" xr:uid="{00000000-0005-0000-0000-00003E000000}"/>
    <cellStyle name="Normal 11 10" xfId="673" xr:uid="{00000000-0005-0000-0000-00003F000000}"/>
    <cellStyle name="Normal 11 10 2" xfId="1513" xr:uid="{27B0757D-C44D-4135-9D5F-53C08266163A}"/>
    <cellStyle name="Normal 11 11" xfId="768" xr:uid="{00000000-0005-0000-0000-000040000000}"/>
    <cellStyle name="Normal 11 11 2" xfId="1608" xr:uid="{561A5AFA-32EE-4F91-990D-BF8FC4CA5D6D}"/>
    <cellStyle name="Normal 11 12" xfId="879" xr:uid="{4C3D8CAB-1833-449B-A292-6FE937AE7C6F}"/>
    <cellStyle name="Normal 11 2" xfId="57" xr:uid="{00000000-0005-0000-0000-000041000000}"/>
    <cellStyle name="Normal 11 2 10" xfId="788" xr:uid="{00000000-0005-0000-0000-000042000000}"/>
    <cellStyle name="Normal 11 2 10 2" xfId="1628" xr:uid="{098D2BD2-8CA1-4779-BEB2-19A01D6C55A3}"/>
    <cellStyle name="Normal 11 2 11" xfId="899" xr:uid="{B7F8C870-60F6-4B00-8A3C-FFAE98401AAA}"/>
    <cellStyle name="Normal 11 2 2" xfId="97" xr:uid="{00000000-0005-0000-0000-000043000000}"/>
    <cellStyle name="Normal 11 2 2 10" xfId="937" xr:uid="{CDA85F51-886B-43A2-A16E-98871F99AD9F}"/>
    <cellStyle name="Normal 11 2 2 2" xfId="189" xr:uid="{00000000-0005-0000-0000-000044000000}"/>
    <cellStyle name="Normal 11 2 2 2 2" xfId="1029" xr:uid="{0FBB9381-BB59-4A2D-86EA-444FBB8618F3}"/>
    <cellStyle name="Normal 11 2 2 3" xfId="279" xr:uid="{00000000-0005-0000-0000-000045000000}"/>
    <cellStyle name="Normal 11 2 2 3 2" xfId="1119" xr:uid="{50048E30-FFCC-4047-B5F8-EE7C6207EE17}"/>
    <cellStyle name="Normal 11 2 2 4" xfId="369" xr:uid="{00000000-0005-0000-0000-000046000000}"/>
    <cellStyle name="Normal 11 2 2 4 2" xfId="1209" xr:uid="{E68883A9-0943-419E-9C64-B3752B3C89D6}"/>
    <cellStyle name="Normal 11 2 2 5" xfId="459" xr:uid="{00000000-0005-0000-0000-000047000000}"/>
    <cellStyle name="Normal 11 2 2 5 2" xfId="1299" xr:uid="{4999F409-550E-4EAC-9ADD-B31B26263430}"/>
    <cellStyle name="Normal 11 2 2 6" xfId="549" xr:uid="{00000000-0005-0000-0000-000048000000}"/>
    <cellStyle name="Normal 11 2 2 6 2" xfId="1389" xr:uid="{9565CF9B-732F-4249-9B2D-E11C2E03A39B}"/>
    <cellStyle name="Normal 11 2 2 7" xfId="639" xr:uid="{00000000-0005-0000-0000-000049000000}"/>
    <cellStyle name="Normal 11 2 2 7 2" xfId="1479" xr:uid="{9AE2CD46-2211-4349-9277-9C9ECD2504C0}"/>
    <cellStyle name="Normal 11 2 2 8" xfId="729" xr:uid="{00000000-0005-0000-0000-00004A000000}"/>
    <cellStyle name="Normal 11 2 2 8 2" xfId="1569" xr:uid="{0BE5F357-A5CA-4B07-B7EF-D010F78B6921}"/>
    <cellStyle name="Normal 11 2 2 9" xfId="826" xr:uid="{00000000-0005-0000-0000-00004B000000}"/>
    <cellStyle name="Normal 11 2 2 9 2" xfId="1666" xr:uid="{8462E4CC-6D14-48CB-8BBE-420C98AFF8C7}"/>
    <cellStyle name="Normal 11 2 3" xfId="152" xr:uid="{00000000-0005-0000-0000-00004C000000}"/>
    <cellStyle name="Normal 11 2 3 2" xfId="992" xr:uid="{F52253F0-B110-4FE6-B81E-7BE4164601C3}"/>
    <cellStyle name="Normal 11 2 4" xfId="242" xr:uid="{00000000-0005-0000-0000-00004D000000}"/>
    <cellStyle name="Normal 11 2 4 2" xfId="1082" xr:uid="{118B08BA-1773-4CB1-9E9E-A3D438957C72}"/>
    <cellStyle name="Normal 11 2 5" xfId="332" xr:uid="{00000000-0005-0000-0000-00004E000000}"/>
    <cellStyle name="Normal 11 2 5 2" xfId="1172" xr:uid="{E241B0FD-5D61-4582-A495-3AFE9F33B223}"/>
    <cellStyle name="Normal 11 2 6" xfId="422" xr:uid="{00000000-0005-0000-0000-00004F000000}"/>
    <cellStyle name="Normal 11 2 6 2" xfId="1262" xr:uid="{EE65B78B-759D-4836-80B3-F1C012FF1BBB}"/>
    <cellStyle name="Normal 11 2 7" xfId="512" xr:uid="{00000000-0005-0000-0000-000050000000}"/>
    <cellStyle name="Normal 11 2 7 2" xfId="1352" xr:uid="{0DCE0AD5-4094-4BFC-A139-E9760577B5B4}"/>
    <cellStyle name="Normal 11 2 8" xfId="602" xr:uid="{00000000-0005-0000-0000-000051000000}"/>
    <cellStyle name="Normal 11 2 8 2" xfId="1442" xr:uid="{7A7C1F21-6ED5-46CA-BC6A-A45ACEB17CAA}"/>
    <cellStyle name="Normal 11 2 9" xfId="692" xr:uid="{00000000-0005-0000-0000-000052000000}"/>
    <cellStyle name="Normal 11 2 9 2" xfId="1532" xr:uid="{C409E643-CDB6-4299-A259-B33236200A4E}"/>
    <cellStyle name="Normal 11 3" xfId="77" xr:uid="{00000000-0005-0000-0000-000053000000}"/>
    <cellStyle name="Normal 11 3 10" xfId="918" xr:uid="{5CA63455-03C7-4C4F-BAE6-477241DBC26C}"/>
    <cellStyle name="Normal 11 3 2" xfId="170" xr:uid="{00000000-0005-0000-0000-000054000000}"/>
    <cellStyle name="Normal 11 3 2 2" xfId="1010" xr:uid="{B8A48A3D-3F45-40B7-92AF-DC34582D3176}"/>
    <cellStyle name="Normal 11 3 3" xfId="260" xr:uid="{00000000-0005-0000-0000-000055000000}"/>
    <cellStyle name="Normal 11 3 3 2" xfId="1100" xr:uid="{C6CBBBCA-73AB-4310-9DA8-45FE1F8E0BC1}"/>
    <cellStyle name="Normal 11 3 4" xfId="350" xr:uid="{00000000-0005-0000-0000-000056000000}"/>
    <cellStyle name="Normal 11 3 4 2" xfId="1190" xr:uid="{276E7D1C-326B-4A8E-9C11-7204464C9ADD}"/>
    <cellStyle name="Normal 11 3 5" xfId="440" xr:uid="{00000000-0005-0000-0000-000057000000}"/>
    <cellStyle name="Normal 11 3 5 2" xfId="1280" xr:uid="{1E74732C-553A-45FC-94D6-6E7018B925AE}"/>
    <cellStyle name="Normal 11 3 6" xfId="530" xr:uid="{00000000-0005-0000-0000-000058000000}"/>
    <cellStyle name="Normal 11 3 6 2" xfId="1370" xr:uid="{3D771190-F940-4043-BEF2-BCA9552E249B}"/>
    <cellStyle name="Normal 11 3 7" xfId="620" xr:uid="{00000000-0005-0000-0000-000059000000}"/>
    <cellStyle name="Normal 11 3 7 2" xfId="1460" xr:uid="{6AFD61C2-81CC-4EF2-A488-E50A2140B7A3}"/>
    <cellStyle name="Normal 11 3 8" xfId="710" xr:uid="{00000000-0005-0000-0000-00005A000000}"/>
    <cellStyle name="Normal 11 3 8 2" xfId="1550" xr:uid="{E002A38A-0A1F-4388-BA8D-E09DFD0E2CAF}"/>
    <cellStyle name="Normal 11 3 9" xfId="807" xr:uid="{00000000-0005-0000-0000-00005B000000}"/>
    <cellStyle name="Normal 11 3 9 2" xfId="1647" xr:uid="{F91E38FC-C106-468D-BF42-E923FC26655F}"/>
    <cellStyle name="Normal 11 4" xfId="133" xr:uid="{00000000-0005-0000-0000-00005C000000}"/>
    <cellStyle name="Normal 11 4 2" xfId="973" xr:uid="{BCCF144D-AF79-439E-83A0-DD65995B2F33}"/>
    <cellStyle name="Normal 11 5" xfId="223" xr:uid="{00000000-0005-0000-0000-00005D000000}"/>
    <cellStyle name="Normal 11 5 2" xfId="1063" xr:uid="{C1B8FB09-E6E9-4048-A655-F8E2E08121CC}"/>
    <cellStyle name="Normal 11 6" xfId="313" xr:uid="{00000000-0005-0000-0000-00005E000000}"/>
    <cellStyle name="Normal 11 6 2" xfId="1153" xr:uid="{CD076179-1ED3-4F60-A641-2B9A0DD33869}"/>
    <cellStyle name="Normal 11 7" xfId="403" xr:uid="{00000000-0005-0000-0000-00005F000000}"/>
    <cellStyle name="Normal 11 7 2" xfId="1243" xr:uid="{52B87B9B-EBA6-466A-BF3F-9920F841E5E7}"/>
    <cellStyle name="Normal 11 8" xfId="493" xr:uid="{00000000-0005-0000-0000-000060000000}"/>
    <cellStyle name="Normal 11 8 2" xfId="1333" xr:uid="{ED39BB0C-FDE7-4FB2-98FC-D73CD175D307}"/>
    <cellStyle name="Normal 11 9" xfId="583" xr:uid="{00000000-0005-0000-0000-000061000000}"/>
    <cellStyle name="Normal 11 9 2" xfId="1423" xr:uid="{7D5F9210-EC09-432A-9F2F-320F11191D59}"/>
    <cellStyle name="Normal 12" xfId="100" xr:uid="{00000000-0005-0000-0000-000062000000}"/>
    <cellStyle name="Normal 12 10" xfId="940" xr:uid="{4C680027-7D72-4558-B7A5-8CCAB9066F69}"/>
    <cellStyle name="Normal 12 2" xfId="192" xr:uid="{00000000-0005-0000-0000-000063000000}"/>
    <cellStyle name="Normal 12 2 2" xfId="1032" xr:uid="{7233D1A3-7E0C-41B9-A278-645170DE2107}"/>
    <cellStyle name="Normal 12 3" xfId="282" xr:uid="{00000000-0005-0000-0000-000064000000}"/>
    <cellStyle name="Normal 12 3 2" xfId="1122" xr:uid="{6E83FEBE-BFCD-486E-869D-134D78A142FC}"/>
    <cellStyle name="Normal 12 4" xfId="372" xr:uid="{00000000-0005-0000-0000-000065000000}"/>
    <cellStyle name="Normal 12 4 2" xfId="1212" xr:uid="{795E8E47-5042-43AF-936C-B51C842C01EF}"/>
    <cellStyle name="Normal 12 5" xfId="462" xr:uid="{00000000-0005-0000-0000-000066000000}"/>
    <cellStyle name="Normal 12 5 2" xfId="1302" xr:uid="{26CD354F-24BC-44A1-9AB7-E217E129AF3E}"/>
    <cellStyle name="Normal 12 6" xfId="552" xr:uid="{00000000-0005-0000-0000-000067000000}"/>
    <cellStyle name="Normal 12 6 2" xfId="1392" xr:uid="{6A053553-98FA-496F-B4CC-C302BA472ABD}"/>
    <cellStyle name="Normal 12 7" xfId="642" xr:uid="{00000000-0005-0000-0000-000068000000}"/>
    <cellStyle name="Normal 12 7 2" xfId="1482" xr:uid="{DC1B9898-EEEF-45B0-918D-3DA1EA1628C2}"/>
    <cellStyle name="Normal 12 8" xfId="732" xr:uid="{00000000-0005-0000-0000-000069000000}"/>
    <cellStyle name="Normal 12 8 2" xfId="1572" xr:uid="{58D32D52-4B38-4DA0-B533-85012F1EF10A}"/>
    <cellStyle name="Normal 12 9" xfId="829" xr:uid="{00000000-0005-0000-0000-00006A000000}"/>
    <cellStyle name="Normal 12 9 2" xfId="1669" xr:uid="{2E6FA963-19DC-4A85-86DD-470A8E36BC0C}"/>
    <cellStyle name="Normal 13" xfId="103" xr:uid="{00000000-0005-0000-0000-00006B000000}"/>
    <cellStyle name="Normal 13 10" xfId="943" xr:uid="{94819253-F79B-4F6F-AE92-C1B89CCE9BCA}"/>
    <cellStyle name="Normal 13 2" xfId="195" xr:uid="{00000000-0005-0000-0000-00006C000000}"/>
    <cellStyle name="Normal 13 2 2" xfId="1035" xr:uid="{7839E53D-0ECD-4F4A-82C1-1F6F2CF37741}"/>
    <cellStyle name="Normal 13 3" xfId="285" xr:uid="{00000000-0005-0000-0000-00006D000000}"/>
    <cellStyle name="Normal 13 3 2" xfId="1125" xr:uid="{8B737A55-47EF-4541-9698-DD6EA166EA30}"/>
    <cellStyle name="Normal 13 4" xfId="375" xr:uid="{00000000-0005-0000-0000-00006E000000}"/>
    <cellStyle name="Normal 13 4 2" xfId="1215" xr:uid="{339B1F6C-2986-4709-A5D6-AA4526730699}"/>
    <cellStyle name="Normal 13 5" xfId="465" xr:uid="{00000000-0005-0000-0000-00006F000000}"/>
    <cellStyle name="Normal 13 5 2" xfId="1305" xr:uid="{48E9C8D5-5694-48BE-A35A-06D37BDB74B1}"/>
    <cellStyle name="Normal 13 6" xfId="555" xr:uid="{00000000-0005-0000-0000-000070000000}"/>
    <cellStyle name="Normal 13 6 2" xfId="1395" xr:uid="{C2441CC5-98F6-4BDF-9F9A-F36BC289F31C}"/>
    <cellStyle name="Normal 13 7" xfId="645" xr:uid="{00000000-0005-0000-0000-000071000000}"/>
    <cellStyle name="Normal 13 7 2" xfId="1485" xr:uid="{DB259977-A305-49CB-8A72-A0E94EA94508}"/>
    <cellStyle name="Normal 13 8" xfId="735" xr:uid="{00000000-0005-0000-0000-000072000000}"/>
    <cellStyle name="Normal 13 8 2" xfId="1575" xr:uid="{31E17071-7A20-44C8-B865-3A34360545EB}"/>
    <cellStyle name="Normal 13 9" xfId="832" xr:uid="{00000000-0005-0000-0000-000073000000}"/>
    <cellStyle name="Normal 13 9 2" xfId="1672" xr:uid="{C9292FE0-CEC6-40AB-A5A5-8EA848D32412}"/>
    <cellStyle name="Normal 14" xfId="106" xr:uid="{00000000-0005-0000-0000-000074000000}"/>
    <cellStyle name="Normal 14 10" xfId="946" xr:uid="{34E5FB4A-2CED-496A-9268-796A53DC2E54}"/>
    <cellStyle name="Normal 14 2" xfId="198" xr:uid="{00000000-0005-0000-0000-000075000000}"/>
    <cellStyle name="Normal 14 2 2" xfId="1038" xr:uid="{CB487670-E0DF-45E7-8D22-5F29E0696C9C}"/>
    <cellStyle name="Normal 14 3" xfId="288" xr:uid="{00000000-0005-0000-0000-000076000000}"/>
    <cellStyle name="Normal 14 3 2" xfId="1128" xr:uid="{9AFCE4EF-971D-43FA-9E6B-8637D64690C7}"/>
    <cellStyle name="Normal 14 4" xfId="378" xr:uid="{00000000-0005-0000-0000-000077000000}"/>
    <cellStyle name="Normal 14 4 2" xfId="1218" xr:uid="{53BDFFC7-3B82-4A35-8A4A-BBDD70D7EE74}"/>
    <cellStyle name="Normal 14 5" xfId="468" xr:uid="{00000000-0005-0000-0000-000078000000}"/>
    <cellStyle name="Normal 14 5 2" xfId="1308" xr:uid="{3A8DA716-FC6B-4CA0-B34A-50E54A59812A}"/>
    <cellStyle name="Normal 14 6" xfId="558" xr:uid="{00000000-0005-0000-0000-000079000000}"/>
    <cellStyle name="Normal 14 6 2" xfId="1398" xr:uid="{7957CEF7-0ADF-4C47-A11D-51FF338614D9}"/>
    <cellStyle name="Normal 14 7" xfId="648" xr:uid="{00000000-0005-0000-0000-00007A000000}"/>
    <cellStyle name="Normal 14 7 2" xfId="1488" xr:uid="{48E438EB-93F9-4778-8FE1-43DD70801EE9}"/>
    <cellStyle name="Normal 14 8" xfId="738" xr:uid="{00000000-0005-0000-0000-00007B000000}"/>
    <cellStyle name="Normal 14 8 2" xfId="1578" xr:uid="{78691932-ADAA-4171-A599-AA07BA21E15A}"/>
    <cellStyle name="Normal 14 9" xfId="835" xr:uid="{00000000-0005-0000-0000-00007C000000}"/>
    <cellStyle name="Normal 14 9 2" xfId="1675" xr:uid="{9509FC4F-EBA5-43DB-A49F-BA1424422F22}"/>
    <cellStyle name="Normal 15" xfId="109" xr:uid="{00000000-0005-0000-0000-00007D000000}"/>
    <cellStyle name="Normal 15 10" xfId="949" xr:uid="{6B4FBAFF-AD21-4148-891B-D72722AABEA3}"/>
    <cellStyle name="Normal 15 2" xfId="201" xr:uid="{00000000-0005-0000-0000-00007E000000}"/>
    <cellStyle name="Normal 15 2 2" xfId="1041" xr:uid="{F78AF36C-62E4-48EB-AE8A-515964EA3CC5}"/>
    <cellStyle name="Normal 15 3" xfId="291" xr:uid="{00000000-0005-0000-0000-00007F000000}"/>
    <cellStyle name="Normal 15 3 2" xfId="1131" xr:uid="{923A503B-7D2F-4BDB-9030-B1366CD656B0}"/>
    <cellStyle name="Normal 15 4" xfId="381" xr:uid="{00000000-0005-0000-0000-000080000000}"/>
    <cellStyle name="Normal 15 4 2" xfId="1221" xr:uid="{87FDB3EB-A779-422E-A68C-DCF5CB95F40C}"/>
    <cellStyle name="Normal 15 5" xfId="471" xr:uid="{00000000-0005-0000-0000-000081000000}"/>
    <cellStyle name="Normal 15 5 2" xfId="1311" xr:uid="{4E16D8C3-BD95-4332-9C96-5F21299C102F}"/>
    <cellStyle name="Normal 15 6" xfId="561" xr:uid="{00000000-0005-0000-0000-000082000000}"/>
    <cellStyle name="Normal 15 6 2" xfId="1401" xr:uid="{EC56553B-03DE-47D9-82BD-C5AFAED61734}"/>
    <cellStyle name="Normal 15 7" xfId="651" xr:uid="{00000000-0005-0000-0000-000083000000}"/>
    <cellStyle name="Normal 15 7 2" xfId="1491" xr:uid="{375F339F-DB2E-4DD4-A0B7-2AC3E7FEC56A}"/>
    <cellStyle name="Normal 15 8" xfId="741" xr:uid="{00000000-0005-0000-0000-000084000000}"/>
    <cellStyle name="Normal 15 8 2" xfId="1581" xr:uid="{6F5B87A5-8912-4199-AAE8-0D53EC9C260A}"/>
    <cellStyle name="Normal 15 9" xfId="838" xr:uid="{00000000-0005-0000-0000-000085000000}"/>
    <cellStyle name="Normal 15 9 2" xfId="1678" xr:uid="{F67A7337-7665-442E-B114-FC6E7379279B}"/>
    <cellStyle name="Normal 16" xfId="112" xr:uid="{00000000-0005-0000-0000-000086000000}"/>
    <cellStyle name="Normal 16 10" xfId="952" xr:uid="{FBD2B1AC-F3F5-45DF-AA59-5DFCD8F5C858}"/>
    <cellStyle name="Normal 16 2" xfId="204" xr:uid="{00000000-0005-0000-0000-000087000000}"/>
    <cellStyle name="Normal 16 2 2" xfId="1044" xr:uid="{3B1FC5CB-EB37-441F-A118-D216C6972E27}"/>
    <cellStyle name="Normal 16 3" xfId="294" xr:uid="{00000000-0005-0000-0000-000088000000}"/>
    <cellStyle name="Normal 16 3 2" xfId="1134" xr:uid="{B6863D63-59C3-42D7-95DC-DE2CDACEC8F5}"/>
    <cellStyle name="Normal 16 4" xfId="384" xr:uid="{00000000-0005-0000-0000-000089000000}"/>
    <cellStyle name="Normal 16 4 2" xfId="1224" xr:uid="{F4695FC6-FB44-42A2-BEC1-2FE3E4A76121}"/>
    <cellStyle name="Normal 16 5" xfId="474" xr:uid="{00000000-0005-0000-0000-00008A000000}"/>
    <cellStyle name="Normal 16 5 2" xfId="1314" xr:uid="{92C8DDD5-BCB1-49A7-867B-9C3FE5B3A368}"/>
    <cellStyle name="Normal 16 6" xfId="564" xr:uid="{00000000-0005-0000-0000-00008B000000}"/>
    <cellStyle name="Normal 16 6 2" xfId="1404" xr:uid="{7C555FD4-9F2A-4E2C-92EB-08B2129718E3}"/>
    <cellStyle name="Normal 16 7" xfId="654" xr:uid="{00000000-0005-0000-0000-00008C000000}"/>
    <cellStyle name="Normal 16 7 2" xfId="1494" xr:uid="{DDCB81B2-C5A9-4BB6-82FC-13B85A20B2C3}"/>
    <cellStyle name="Normal 16 8" xfId="744" xr:uid="{00000000-0005-0000-0000-00008D000000}"/>
    <cellStyle name="Normal 16 8 2" xfId="1584" xr:uid="{E2E36F50-1877-4AAC-9EE5-15C8FA7B0553}"/>
    <cellStyle name="Normal 16 9" xfId="841" xr:uid="{00000000-0005-0000-0000-00008E000000}"/>
    <cellStyle name="Normal 16 9 2" xfId="1681" xr:uid="{10608CAB-44E5-40BB-80CC-7002B190FF4A}"/>
    <cellStyle name="Normal 17" xfId="8" xr:uid="{00000000-0005-0000-0000-00008F000000}"/>
    <cellStyle name="Normal 17 2" xfId="857" xr:uid="{BF0405BC-B3C0-47E8-A842-EC4D9CF3BCEF}"/>
    <cellStyle name="Normal 18" xfId="10" xr:uid="{00000000-0005-0000-0000-000090000000}"/>
    <cellStyle name="Normal 18 2" xfId="858" xr:uid="{2BF03971-13BE-4F4D-B54E-F672E861AF0E}"/>
    <cellStyle name="Normal 19" xfId="117" xr:uid="{00000000-0005-0000-0000-000091000000}"/>
    <cellStyle name="Normal 19 2" xfId="957" xr:uid="{33BAF593-FECC-42E8-9C8E-A118B7D76234}"/>
    <cellStyle name="Normal 2" xfId="1" xr:uid="{00000000-0005-0000-0000-000092000000}"/>
    <cellStyle name="Normal 2 2" xfId="7" xr:uid="{00000000-0005-0000-0000-000093000000}"/>
    <cellStyle name="Normal 2 2 2" xfId="852" xr:uid="{1C7488BD-D0A7-4BD6-89BE-682016A3202E}"/>
    <cellStyle name="Normal 2 3" xfId="20" xr:uid="{00000000-0005-0000-0000-000094000000}"/>
    <cellStyle name="Normal 2 4" xfId="39" xr:uid="{00000000-0005-0000-0000-000095000000}"/>
    <cellStyle name="Normal 2 5" xfId="60" xr:uid="{00000000-0005-0000-0000-000096000000}"/>
    <cellStyle name="Normal 20" xfId="207" xr:uid="{00000000-0005-0000-0000-000097000000}"/>
    <cellStyle name="Normal 20 2" xfId="1047" xr:uid="{F1931507-12C7-4D51-A772-C97E3B7A6C28}"/>
    <cellStyle name="Normal 21" xfId="297" xr:uid="{00000000-0005-0000-0000-000098000000}"/>
    <cellStyle name="Normal 21 2" xfId="1137" xr:uid="{8BB954FF-4B7A-4C1A-AE85-F344D98D8DDD}"/>
    <cellStyle name="Normal 22" xfId="387" xr:uid="{00000000-0005-0000-0000-000099000000}"/>
    <cellStyle name="Normal 22 2" xfId="1227" xr:uid="{331A597D-E8D3-40A4-8B7E-CA33B294DDAD}"/>
    <cellStyle name="Normal 23" xfId="477" xr:uid="{00000000-0005-0000-0000-00009A000000}"/>
    <cellStyle name="Normal 23 2" xfId="1317" xr:uid="{B1752BED-F39A-4267-A7C7-19B639FDE573}"/>
    <cellStyle name="Normal 24" xfId="567" xr:uid="{00000000-0005-0000-0000-00009B000000}"/>
    <cellStyle name="Normal 24 2" xfId="1407" xr:uid="{A49C0896-8C2F-4E9D-B6ED-D3D80BBACADD}"/>
    <cellStyle name="Normal 25" xfId="657" xr:uid="{00000000-0005-0000-0000-00009C000000}"/>
    <cellStyle name="Normal 25 2" xfId="1497" xr:uid="{06F38BF1-A6E3-4A45-AD23-488D6759B1A4}"/>
    <cellStyle name="Normal 26" xfId="747" xr:uid="{00000000-0005-0000-0000-00009D000000}"/>
    <cellStyle name="Normal 26 2" xfId="1587" xr:uid="{01870009-8FB0-4E13-BA3E-4174B347D696}"/>
    <cellStyle name="Normal 27" xfId="851" xr:uid="{ED50C316-25E5-4ED7-8355-A3104735F1B2}"/>
    <cellStyle name="Normal 27 2" xfId="1688" xr:uid="{7E07ED5F-2B8A-4ADE-8F99-A8FA04AF478B}"/>
    <cellStyle name="Normal 3" xfId="4" xr:uid="{00000000-0005-0000-0000-00009E000000}"/>
    <cellStyle name="Normal 3 10" xfId="104" xr:uid="{00000000-0005-0000-0000-00009F000000}"/>
    <cellStyle name="Normal 3 10 10" xfId="944" xr:uid="{055F343F-F3B4-46C1-826E-FFC92BE94157}"/>
    <cellStyle name="Normal 3 10 2" xfId="196" xr:uid="{00000000-0005-0000-0000-0000A0000000}"/>
    <cellStyle name="Normal 3 10 2 2" xfId="1036" xr:uid="{D5F45D64-CF01-47DF-83C2-08F445D81BAC}"/>
    <cellStyle name="Normal 3 10 3" xfId="286" xr:uid="{00000000-0005-0000-0000-0000A1000000}"/>
    <cellStyle name="Normal 3 10 3 2" xfId="1126" xr:uid="{A0B33EFA-9675-404E-BBD3-FE92244A822F}"/>
    <cellStyle name="Normal 3 10 4" xfId="376" xr:uid="{00000000-0005-0000-0000-0000A2000000}"/>
    <cellStyle name="Normal 3 10 4 2" xfId="1216" xr:uid="{182572B6-263C-4AA4-A6DB-58D46EAA03E8}"/>
    <cellStyle name="Normal 3 10 5" xfId="466" xr:uid="{00000000-0005-0000-0000-0000A3000000}"/>
    <cellStyle name="Normal 3 10 5 2" xfId="1306" xr:uid="{1E0887AB-A67C-4313-88C2-32698C330732}"/>
    <cellStyle name="Normal 3 10 6" xfId="556" xr:uid="{00000000-0005-0000-0000-0000A4000000}"/>
    <cellStyle name="Normal 3 10 6 2" xfId="1396" xr:uid="{DAD7D8C6-E779-4036-8711-CB4B3E08901F}"/>
    <cellStyle name="Normal 3 10 7" xfId="646" xr:uid="{00000000-0005-0000-0000-0000A5000000}"/>
    <cellStyle name="Normal 3 10 7 2" xfId="1486" xr:uid="{8C8DB4CD-DA74-4885-B3D7-20D452619557}"/>
    <cellStyle name="Normal 3 10 8" xfId="736" xr:uid="{00000000-0005-0000-0000-0000A6000000}"/>
    <cellStyle name="Normal 3 10 8 2" xfId="1576" xr:uid="{AFFB7776-FE33-402F-BB60-8414ABA81A60}"/>
    <cellStyle name="Normal 3 10 9" xfId="833" xr:uid="{00000000-0005-0000-0000-0000A7000000}"/>
    <cellStyle name="Normal 3 10 9 2" xfId="1673" xr:uid="{1EA0B8FD-1D0D-4CDC-AE43-C1F6A2F201CC}"/>
    <cellStyle name="Normal 3 11" xfId="107" xr:uid="{00000000-0005-0000-0000-0000A8000000}"/>
    <cellStyle name="Normal 3 11 10" xfId="947" xr:uid="{4E62DE56-F15C-4A58-93F4-C1A689283C92}"/>
    <cellStyle name="Normal 3 11 2" xfId="199" xr:uid="{00000000-0005-0000-0000-0000A9000000}"/>
    <cellStyle name="Normal 3 11 2 2" xfId="1039" xr:uid="{7EFE362B-1855-46CB-9533-457E2D8B3BB4}"/>
    <cellStyle name="Normal 3 11 3" xfId="289" xr:uid="{00000000-0005-0000-0000-0000AA000000}"/>
    <cellStyle name="Normal 3 11 3 2" xfId="1129" xr:uid="{DDE4DCCF-D939-49D5-AD20-42F872840B88}"/>
    <cellStyle name="Normal 3 11 4" xfId="379" xr:uid="{00000000-0005-0000-0000-0000AB000000}"/>
    <cellStyle name="Normal 3 11 4 2" xfId="1219" xr:uid="{84A8555C-38F5-444A-ADA8-0AC8C076D0A5}"/>
    <cellStyle name="Normal 3 11 5" xfId="469" xr:uid="{00000000-0005-0000-0000-0000AC000000}"/>
    <cellStyle name="Normal 3 11 5 2" xfId="1309" xr:uid="{9BEAEF20-FB2A-43DC-A320-275876D52290}"/>
    <cellStyle name="Normal 3 11 6" xfId="559" xr:uid="{00000000-0005-0000-0000-0000AD000000}"/>
    <cellStyle name="Normal 3 11 6 2" xfId="1399" xr:uid="{65271D7B-7D4F-4419-9CCA-09C31B073FE5}"/>
    <cellStyle name="Normal 3 11 7" xfId="649" xr:uid="{00000000-0005-0000-0000-0000AE000000}"/>
    <cellStyle name="Normal 3 11 7 2" xfId="1489" xr:uid="{8908FD6F-380C-4353-8E81-F7CC564525AF}"/>
    <cellStyle name="Normal 3 11 8" xfId="739" xr:uid="{00000000-0005-0000-0000-0000AF000000}"/>
    <cellStyle name="Normal 3 11 8 2" xfId="1579" xr:uid="{E6F702ED-CEE6-411C-BD6F-5718373D9D94}"/>
    <cellStyle name="Normal 3 11 9" xfId="836" xr:uid="{00000000-0005-0000-0000-0000B0000000}"/>
    <cellStyle name="Normal 3 11 9 2" xfId="1676" xr:uid="{82908FDF-6892-4147-A8C6-4D76BABB0EF6}"/>
    <cellStyle name="Normal 3 12" xfId="110" xr:uid="{00000000-0005-0000-0000-0000B1000000}"/>
    <cellStyle name="Normal 3 12 10" xfId="950" xr:uid="{DD83C896-4482-433F-9AC7-281F3ED0C70E}"/>
    <cellStyle name="Normal 3 12 2" xfId="202" xr:uid="{00000000-0005-0000-0000-0000B2000000}"/>
    <cellStyle name="Normal 3 12 2 2" xfId="1042" xr:uid="{99C04687-FFF4-4C60-811F-839A6EC3DAE5}"/>
    <cellStyle name="Normal 3 12 3" xfId="292" xr:uid="{00000000-0005-0000-0000-0000B3000000}"/>
    <cellStyle name="Normal 3 12 3 2" xfId="1132" xr:uid="{1573F1C4-AC60-4097-A797-9355A88326B4}"/>
    <cellStyle name="Normal 3 12 4" xfId="382" xr:uid="{00000000-0005-0000-0000-0000B4000000}"/>
    <cellStyle name="Normal 3 12 4 2" xfId="1222" xr:uid="{809E9688-1380-4765-9B39-6BC77A4B1498}"/>
    <cellStyle name="Normal 3 12 5" xfId="472" xr:uid="{00000000-0005-0000-0000-0000B5000000}"/>
    <cellStyle name="Normal 3 12 5 2" xfId="1312" xr:uid="{FC5AC729-3AEE-4B8C-BA23-CFF0F9098EC3}"/>
    <cellStyle name="Normal 3 12 6" xfId="562" xr:uid="{00000000-0005-0000-0000-0000B6000000}"/>
    <cellStyle name="Normal 3 12 6 2" xfId="1402" xr:uid="{51025DAC-E1AB-4CD6-8D27-2C7D9B6C68E0}"/>
    <cellStyle name="Normal 3 12 7" xfId="652" xr:uid="{00000000-0005-0000-0000-0000B7000000}"/>
    <cellStyle name="Normal 3 12 7 2" xfId="1492" xr:uid="{2463EED4-D28E-4B45-8EDC-281BA5B1B952}"/>
    <cellStyle name="Normal 3 12 8" xfId="742" xr:uid="{00000000-0005-0000-0000-0000B8000000}"/>
    <cellStyle name="Normal 3 12 8 2" xfId="1582" xr:uid="{66148510-49E4-4F87-A22C-69F9C7A3DC1B}"/>
    <cellStyle name="Normal 3 12 9" xfId="839" xr:uid="{00000000-0005-0000-0000-0000B9000000}"/>
    <cellStyle name="Normal 3 12 9 2" xfId="1679" xr:uid="{7D5A28F6-03B5-41B1-ADF6-677B00B14B3D}"/>
    <cellStyle name="Normal 3 13" xfId="113" xr:uid="{00000000-0005-0000-0000-0000BA000000}"/>
    <cellStyle name="Normal 3 13 10" xfId="953" xr:uid="{51DB9FBC-2DF2-43C0-A1D7-AED82872EB0E}"/>
    <cellStyle name="Normal 3 13 2" xfId="205" xr:uid="{00000000-0005-0000-0000-0000BB000000}"/>
    <cellStyle name="Normal 3 13 2 2" xfId="1045" xr:uid="{209C0116-F350-4F62-8B5A-A3CE97999BD1}"/>
    <cellStyle name="Normal 3 13 3" xfId="295" xr:uid="{00000000-0005-0000-0000-0000BC000000}"/>
    <cellStyle name="Normal 3 13 3 2" xfId="1135" xr:uid="{731AA215-CE7E-48A5-8BA4-179500154611}"/>
    <cellStyle name="Normal 3 13 4" xfId="385" xr:uid="{00000000-0005-0000-0000-0000BD000000}"/>
    <cellStyle name="Normal 3 13 4 2" xfId="1225" xr:uid="{314EBD2B-186B-470E-9A6C-DCCD04153168}"/>
    <cellStyle name="Normal 3 13 5" xfId="475" xr:uid="{00000000-0005-0000-0000-0000BE000000}"/>
    <cellStyle name="Normal 3 13 5 2" xfId="1315" xr:uid="{0F9D7545-325D-4825-9C1B-2C7ACD5F95E3}"/>
    <cellStyle name="Normal 3 13 6" xfId="565" xr:uid="{00000000-0005-0000-0000-0000BF000000}"/>
    <cellStyle name="Normal 3 13 6 2" xfId="1405" xr:uid="{4EE0284B-E8E0-4CB8-B8CD-C640CF815C3B}"/>
    <cellStyle name="Normal 3 13 7" xfId="655" xr:uid="{00000000-0005-0000-0000-0000C0000000}"/>
    <cellStyle name="Normal 3 13 7 2" xfId="1495" xr:uid="{FB1599C5-5E5C-49D2-A658-2DECC9F0C16A}"/>
    <cellStyle name="Normal 3 13 8" xfId="745" xr:uid="{00000000-0005-0000-0000-0000C1000000}"/>
    <cellStyle name="Normal 3 13 8 2" xfId="1585" xr:uid="{ACD406D6-0E03-4567-B282-3F8861EC4D80}"/>
    <cellStyle name="Normal 3 13 9" xfId="842" xr:uid="{00000000-0005-0000-0000-0000C2000000}"/>
    <cellStyle name="Normal 3 13 9 2" xfId="1682" xr:uid="{33A3E2FA-CADF-4C9D-863D-4BFAF59301CB}"/>
    <cellStyle name="Normal 3 14" xfId="11" xr:uid="{00000000-0005-0000-0000-0000C3000000}"/>
    <cellStyle name="Normal 3 14 2" xfId="859" xr:uid="{8471EE93-CFC3-4FC6-B175-FDC77B29811A}"/>
    <cellStyle name="Normal 3 15" xfId="118" xr:uid="{00000000-0005-0000-0000-0000C4000000}"/>
    <cellStyle name="Normal 3 15 2" xfId="958" xr:uid="{37D39F54-469E-4FF1-8FC5-50B6A0CF58BA}"/>
    <cellStyle name="Normal 3 16" xfId="208" xr:uid="{00000000-0005-0000-0000-0000C5000000}"/>
    <cellStyle name="Normal 3 16 2" xfId="1048" xr:uid="{05C669F1-BB9E-42DF-9E32-FAF942463C1B}"/>
    <cellStyle name="Normal 3 17" xfId="298" xr:uid="{00000000-0005-0000-0000-0000C6000000}"/>
    <cellStyle name="Normal 3 17 2" xfId="1138" xr:uid="{61B93FFD-E75D-4020-AA0D-4915436ABF5C}"/>
    <cellStyle name="Normal 3 18" xfId="388" xr:uid="{00000000-0005-0000-0000-0000C7000000}"/>
    <cellStyle name="Normal 3 18 2" xfId="1228" xr:uid="{E7B03E14-BF5D-4FF8-8DD5-BA5DE78441D1}"/>
    <cellStyle name="Normal 3 19" xfId="478" xr:uid="{00000000-0005-0000-0000-0000C8000000}"/>
    <cellStyle name="Normal 3 19 2" xfId="1318" xr:uid="{CAF5CBB0-E252-48E9-B496-964B9890DE9B}"/>
    <cellStyle name="Normal 3 2" xfId="23" xr:uid="{00000000-0005-0000-0000-0000C9000000}"/>
    <cellStyle name="Normal 3 2 10" xfId="662" xr:uid="{00000000-0005-0000-0000-0000CA000000}"/>
    <cellStyle name="Normal 3 2 10 2" xfId="1502" xr:uid="{ECAA4AF5-AF80-4AD2-8DA6-38919D56A6CC}"/>
    <cellStyle name="Normal 3 2 11" xfId="757" xr:uid="{00000000-0005-0000-0000-0000CB000000}"/>
    <cellStyle name="Normal 3 2 11 2" xfId="1597" xr:uid="{95E52C8D-136B-4388-A3E7-F688C99EB4A4}"/>
    <cellStyle name="Normal 3 2 12" xfId="868" xr:uid="{7AF4785B-7525-4ED2-8406-33074DE882BB}"/>
    <cellStyle name="Normal 3 2 2" xfId="45" xr:uid="{00000000-0005-0000-0000-0000CC000000}"/>
    <cellStyle name="Normal 3 2 2 10" xfId="777" xr:uid="{00000000-0005-0000-0000-0000CD000000}"/>
    <cellStyle name="Normal 3 2 2 10 2" xfId="1617" xr:uid="{34E63CEA-B4BB-44B6-A789-AC89893FB21C}"/>
    <cellStyle name="Normal 3 2 2 11" xfId="888" xr:uid="{94207443-C6BC-4BC7-93C6-43183DC46869}"/>
    <cellStyle name="Normal 3 2 2 2" xfId="85" xr:uid="{00000000-0005-0000-0000-0000CE000000}"/>
    <cellStyle name="Normal 3 2 2 2 10" xfId="926" xr:uid="{1D94379E-FFA3-4FB9-B7CC-94E2713BC16A}"/>
    <cellStyle name="Normal 3 2 2 2 2" xfId="178" xr:uid="{00000000-0005-0000-0000-0000CF000000}"/>
    <cellStyle name="Normal 3 2 2 2 2 2" xfId="1018" xr:uid="{AD126227-A268-401D-B1DF-474EDC94B343}"/>
    <cellStyle name="Normal 3 2 2 2 3" xfId="268" xr:uid="{00000000-0005-0000-0000-0000D0000000}"/>
    <cellStyle name="Normal 3 2 2 2 3 2" xfId="1108" xr:uid="{E10A9F5A-9B34-4259-A390-71CE55F48A69}"/>
    <cellStyle name="Normal 3 2 2 2 4" xfId="358" xr:uid="{00000000-0005-0000-0000-0000D1000000}"/>
    <cellStyle name="Normal 3 2 2 2 4 2" xfId="1198" xr:uid="{461C32E3-59FC-42AE-9C2E-EA1503A54ECD}"/>
    <cellStyle name="Normal 3 2 2 2 5" xfId="448" xr:uid="{00000000-0005-0000-0000-0000D2000000}"/>
    <cellStyle name="Normal 3 2 2 2 5 2" xfId="1288" xr:uid="{90DFCB72-30DB-4F93-850A-A7C24BC22ACA}"/>
    <cellStyle name="Normal 3 2 2 2 6" xfId="538" xr:uid="{00000000-0005-0000-0000-0000D3000000}"/>
    <cellStyle name="Normal 3 2 2 2 6 2" xfId="1378" xr:uid="{0A740CBB-1A08-4F01-9F32-B01283593561}"/>
    <cellStyle name="Normal 3 2 2 2 7" xfId="628" xr:uid="{00000000-0005-0000-0000-0000D4000000}"/>
    <cellStyle name="Normal 3 2 2 2 7 2" xfId="1468" xr:uid="{9DDCDC54-F4B4-42E4-8FE0-B07E1B31E99E}"/>
    <cellStyle name="Normal 3 2 2 2 8" xfId="718" xr:uid="{00000000-0005-0000-0000-0000D5000000}"/>
    <cellStyle name="Normal 3 2 2 2 8 2" xfId="1558" xr:uid="{2CF5CA48-11B3-423F-B27D-B8119DADA8F6}"/>
    <cellStyle name="Normal 3 2 2 2 9" xfId="815" xr:uid="{00000000-0005-0000-0000-0000D6000000}"/>
    <cellStyle name="Normal 3 2 2 2 9 2" xfId="1655" xr:uid="{97B1F902-ED62-48FF-9A13-E15B233D5B9C}"/>
    <cellStyle name="Normal 3 2 2 3" xfId="141" xr:uid="{00000000-0005-0000-0000-0000D7000000}"/>
    <cellStyle name="Normal 3 2 2 3 2" xfId="981" xr:uid="{0F8ED54C-7989-46A8-A6F2-4936245F82C3}"/>
    <cellStyle name="Normal 3 2 2 4" xfId="231" xr:uid="{00000000-0005-0000-0000-0000D8000000}"/>
    <cellStyle name="Normal 3 2 2 4 2" xfId="1071" xr:uid="{D102ADB0-8A06-4DD8-91F2-B3D9EB64A10A}"/>
    <cellStyle name="Normal 3 2 2 5" xfId="321" xr:uid="{00000000-0005-0000-0000-0000D9000000}"/>
    <cellStyle name="Normal 3 2 2 5 2" xfId="1161" xr:uid="{6570CC2C-7F49-4460-B04D-77C5D34254C1}"/>
    <cellStyle name="Normal 3 2 2 6" xfId="411" xr:uid="{00000000-0005-0000-0000-0000DA000000}"/>
    <cellStyle name="Normal 3 2 2 6 2" xfId="1251" xr:uid="{AAB39E67-8059-4846-847F-925719171411}"/>
    <cellStyle name="Normal 3 2 2 7" xfId="501" xr:uid="{00000000-0005-0000-0000-0000DB000000}"/>
    <cellStyle name="Normal 3 2 2 7 2" xfId="1341" xr:uid="{CA90BDAB-D348-42E4-AC47-1A4C83840A2C}"/>
    <cellStyle name="Normal 3 2 2 8" xfId="591" xr:uid="{00000000-0005-0000-0000-0000DC000000}"/>
    <cellStyle name="Normal 3 2 2 8 2" xfId="1431" xr:uid="{999F95A3-E9CE-4ECB-A69C-DBEF16DF8C81}"/>
    <cellStyle name="Normal 3 2 2 9" xfId="681" xr:uid="{00000000-0005-0000-0000-0000DD000000}"/>
    <cellStyle name="Normal 3 2 2 9 2" xfId="1521" xr:uid="{CFC07E4A-F12D-4170-AA9C-B6120ECCA63A}"/>
    <cellStyle name="Normal 3 2 3" xfId="66" xr:uid="{00000000-0005-0000-0000-0000DE000000}"/>
    <cellStyle name="Normal 3 2 3 10" xfId="907" xr:uid="{A659985D-77EB-4EB7-9D08-DB0E01AD1858}"/>
    <cellStyle name="Normal 3 2 3 2" xfId="159" xr:uid="{00000000-0005-0000-0000-0000DF000000}"/>
    <cellStyle name="Normal 3 2 3 2 2" xfId="999" xr:uid="{6040F6CF-0093-45A4-A2C1-CFC2C741C50B}"/>
    <cellStyle name="Normal 3 2 3 3" xfId="249" xr:uid="{00000000-0005-0000-0000-0000E0000000}"/>
    <cellStyle name="Normal 3 2 3 3 2" xfId="1089" xr:uid="{62BF37B6-ECCD-4EAF-9F2E-1C46C7C0442D}"/>
    <cellStyle name="Normal 3 2 3 4" xfId="339" xr:uid="{00000000-0005-0000-0000-0000E1000000}"/>
    <cellStyle name="Normal 3 2 3 4 2" xfId="1179" xr:uid="{A6680DE6-EDA4-4E18-81F4-C001174E0FA6}"/>
    <cellStyle name="Normal 3 2 3 5" xfId="429" xr:uid="{00000000-0005-0000-0000-0000E2000000}"/>
    <cellStyle name="Normal 3 2 3 5 2" xfId="1269" xr:uid="{7531F377-F330-4BF6-A6F1-82298078B8F0}"/>
    <cellStyle name="Normal 3 2 3 6" xfId="519" xr:uid="{00000000-0005-0000-0000-0000E3000000}"/>
    <cellStyle name="Normal 3 2 3 6 2" xfId="1359" xr:uid="{C31C3640-70DD-4923-A7F8-5907EEA49C4A}"/>
    <cellStyle name="Normal 3 2 3 7" xfId="609" xr:uid="{00000000-0005-0000-0000-0000E4000000}"/>
    <cellStyle name="Normal 3 2 3 7 2" xfId="1449" xr:uid="{B8FD8860-09EA-44A6-AE47-A39D2F8C6242}"/>
    <cellStyle name="Normal 3 2 3 8" xfId="699" xr:uid="{00000000-0005-0000-0000-0000E5000000}"/>
    <cellStyle name="Normal 3 2 3 8 2" xfId="1539" xr:uid="{13F93087-63E7-47CA-A8CB-8FB87F609186}"/>
    <cellStyle name="Normal 3 2 3 9" xfId="796" xr:uid="{00000000-0005-0000-0000-0000E6000000}"/>
    <cellStyle name="Normal 3 2 3 9 2" xfId="1636" xr:uid="{8ECE0984-1671-4FA1-B672-1345BF993579}"/>
    <cellStyle name="Normal 3 2 4" xfId="122" xr:uid="{00000000-0005-0000-0000-0000E7000000}"/>
    <cellStyle name="Normal 3 2 4 2" xfId="962" xr:uid="{036E824F-8E5C-44F3-9A53-AFA1E7D6E758}"/>
    <cellStyle name="Normal 3 2 5" xfId="212" xr:uid="{00000000-0005-0000-0000-0000E8000000}"/>
    <cellStyle name="Normal 3 2 5 2" xfId="1052" xr:uid="{351DA20E-786E-41BB-A6E1-A6712809C57C}"/>
    <cellStyle name="Normal 3 2 6" xfId="302" xr:uid="{00000000-0005-0000-0000-0000E9000000}"/>
    <cellStyle name="Normal 3 2 6 2" xfId="1142" xr:uid="{46355705-BAA3-4767-A558-6ED30F1571F7}"/>
    <cellStyle name="Normal 3 2 7" xfId="392" xr:uid="{00000000-0005-0000-0000-0000EA000000}"/>
    <cellStyle name="Normal 3 2 7 2" xfId="1232" xr:uid="{608007B9-269D-423D-B6FD-0DF6C85C0B7D}"/>
    <cellStyle name="Normal 3 2 8" xfId="482" xr:uid="{00000000-0005-0000-0000-0000EB000000}"/>
    <cellStyle name="Normal 3 2 8 2" xfId="1322" xr:uid="{8641A38C-AA48-4AC8-8816-5AACF4EA5651}"/>
    <cellStyle name="Normal 3 2 9" xfId="572" xr:uid="{00000000-0005-0000-0000-0000EC000000}"/>
    <cellStyle name="Normal 3 2 9 2" xfId="1412" xr:uid="{641958B0-B5ED-4A60-8A36-441A447FA655}"/>
    <cellStyle name="Normal 3 20" xfId="568" xr:uid="{00000000-0005-0000-0000-0000ED000000}"/>
    <cellStyle name="Normal 3 20 2" xfId="1408" xr:uid="{05C9C8F6-CD5D-4A2B-A9DE-8651374F5D70}"/>
    <cellStyle name="Normal 3 21" xfId="658" xr:uid="{00000000-0005-0000-0000-0000EE000000}"/>
    <cellStyle name="Normal 3 21 2" xfId="1498" xr:uid="{7D278007-87A9-4CD7-9ED5-6FB3EB8FAAF6}"/>
    <cellStyle name="Normal 3 22" xfId="748" xr:uid="{00000000-0005-0000-0000-0000EF000000}"/>
    <cellStyle name="Normal 3 22 2" xfId="1588" xr:uid="{9755DB52-5025-4EBD-96F8-2A69221C6851}"/>
    <cellStyle name="Normal 3 23" xfId="855" xr:uid="{C9D17374-C991-4587-8E31-81B0C389A35B}"/>
    <cellStyle name="Normal 3 3" xfId="26" xr:uid="{00000000-0005-0000-0000-0000F0000000}"/>
    <cellStyle name="Normal 3 3 10" xfId="665" xr:uid="{00000000-0005-0000-0000-0000F1000000}"/>
    <cellStyle name="Normal 3 3 10 2" xfId="1505" xr:uid="{F3B3A572-9C4D-4D3B-88BC-6F3AC13EEB95}"/>
    <cellStyle name="Normal 3 3 11" xfId="760" xr:uid="{00000000-0005-0000-0000-0000F2000000}"/>
    <cellStyle name="Normal 3 3 11 2" xfId="1600" xr:uid="{8801E874-3B43-4422-99C2-D6C2DD5157C4}"/>
    <cellStyle name="Normal 3 3 12" xfId="871" xr:uid="{E7FB2993-7429-4528-87B9-AFDE9BA0D3E9}"/>
    <cellStyle name="Normal 3 3 2" xfId="48" xr:uid="{00000000-0005-0000-0000-0000F3000000}"/>
    <cellStyle name="Normal 3 3 2 10" xfId="780" xr:uid="{00000000-0005-0000-0000-0000F4000000}"/>
    <cellStyle name="Normal 3 3 2 10 2" xfId="1620" xr:uid="{01DFCD41-9736-4BF0-8CC6-205F78FBD21B}"/>
    <cellStyle name="Normal 3 3 2 11" xfId="891" xr:uid="{DF9D88FC-DE46-485E-BADD-84C5A3DC7098}"/>
    <cellStyle name="Normal 3 3 2 2" xfId="88" xr:uid="{00000000-0005-0000-0000-0000F5000000}"/>
    <cellStyle name="Normal 3 3 2 2 10" xfId="929" xr:uid="{556E596F-D463-4B37-B667-5D7F38C2128F}"/>
    <cellStyle name="Normal 3 3 2 2 2" xfId="181" xr:uid="{00000000-0005-0000-0000-0000F6000000}"/>
    <cellStyle name="Normal 3 3 2 2 2 2" xfId="1021" xr:uid="{1C7A5A18-9724-42CD-98AD-BB7C3B85807E}"/>
    <cellStyle name="Normal 3 3 2 2 3" xfId="271" xr:uid="{00000000-0005-0000-0000-0000F7000000}"/>
    <cellStyle name="Normal 3 3 2 2 3 2" xfId="1111" xr:uid="{9B95BC0D-1272-4FCB-96F8-76E69B441C21}"/>
    <cellStyle name="Normal 3 3 2 2 4" xfId="361" xr:uid="{00000000-0005-0000-0000-0000F8000000}"/>
    <cellStyle name="Normal 3 3 2 2 4 2" xfId="1201" xr:uid="{DA3FC7D4-5DDC-4E30-BAC9-83EC37841EE7}"/>
    <cellStyle name="Normal 3 3 2 2 5" xfId="451" xr:uid="{00000000-0005-0000-0000-0000F9000000}"/>
    <cellStyle name="Normal 3 3 2 2 5 2" xfId="1291" xr:uid="{A9A41E5D-3A81-49D0-9EC4-F881482840CC}"/>
    <cellStyle name="Normal 3 3 2 2 6" xfId="541" xr:uid="{00000000-0005-0000-0000-0000FA000000}"/>
    <cellStyle name="Normal 3 3 2 2 6 2" xfId="1381" xr:uid="{43681FCE-0795-42E3-8C92-BA916B8EFDFC}"/>
    <cellStyle name="Normal 3 3 2 2 7" xfId="631" xr:uid="{00000000-0005-0000-0000-0000FB000000}"/>
    <cellStyle name="Normal 3 3 2 2 7 2" xfId="1471" xr:uid="{D178A865-C21A-44F0-A357-360B56AE238B}"/>
    <cellStyle name="Normal 3 3 2 2 8" xfId="721" xr:uid="{00000000-0005-0000-0000-0000FC000000}"/>
    <cellStyle name="Normal 3 3 2 2 8 2" xfId="1561" xr:uid="{094A25A6-1884-4FDA-9286-F20203EBC33A}"/>
    <cellStyle name="Normal 3 3 2 2 9" xfId="818" xr:uid="{00000000-0005-0000-0000-0000FD000000}"/>
    <cellStyle name="Normal 3 3 2 2 9 2" xfId="1658" xr:uid="{30C9099C-A39A-48C0-B130-7686EFC63F7B}"/>
    <cellStyle name="Normal 3 3 2 3" xfId="144" xr:uid="{00000000-0005-0000-0000-0000FE000000}"/>
    <cellStyle name="Normal 3 3 2 3 2" xfId="984" xr:uid="{00D5C1E6-1213-48FC-9C04-75B17A94F6EA}"/>
    <cellStyle name="Normal 3 3 2 4" xfId="234" xr:uid="{00000000-0005-0000-0000-0000FF000000}"/>
    <cellStyle name="Normal 3 3 2 4 2" xfId="1074" xr:uid="{37C7C3D7-BE3F-4696-87DB-47BF79C0C4DF}"/>
    <cellStyle name="Normal 3 3 2 5" xfId="324" xr:uid="{00000000-0005-0000-0000-000000010000}"/>
    <cellStyle name="Normal 3 3 2 5 2" xfId="1164" xr:uid="{0FBE226E-798F-4817-8C0A-D4709AA5BAF1}"/>
    <cellStyle name="Normal 3 3 2 6" xfId="414" xr:uid="{00000000-0005-0000-0000-000001010000}"/>
    <cellStyle name="Normal 3 3 2 6 2" xfId="1254" xr:uid="{2C844D1C-C94C-42B8-8AEC-B3E9119CAA0F}"/>
    <cellStyle name="Normal 3 3 2 7" xfId="504" xr:uid="{00000000-0005-0000-0000-000002010000}"/>
    <cellStyle name="Normal 3 3 2 7 2" xfId="1344" xr:uid="{DAA7F983-0A6E-47AB-8E2B-D095C4F24CCD}"/>
    <cellStyle name="Normal 3 3 2 8" xfId="594" xr:uid="{00000000-0005-0000-0000-000003010000}"/>
    <cellStyle name="Normal 3 3 2 8 2" xfId="1434" xr:uid="{497380FA-6B00-4507-AA43-F32C995E9D7D}"/>
    <cellStyle name="Normal 3 3 2 9" xfId="684" xr:uid="{00000000-0005-0000-0000-000004010000}"/>
    <cellStyle name="Normal 3 3 2 9 2" xfId="1524" xr:uid="{F503F2D0-A104-4DBB-8AF3-C4F4A493D29F}"/>
    <cellStyle name="Normal 3 3 3" xfId="69" xr:uid="{00000000-0005-0000-0000-000005010000}"/>
    <cellStyle name="Normal 3 3 3 10" xfId="910" xr:uid="{82757F8E-2AD4-4B2E-954A-A4FBD7CAB3FD}"/>
    <cellStyle name="Normal 3 3 3 2" xfId="162" xr:uid="{00000000-0005-0000-0000-000006010000}"/>
    <cellStyle name="Normal 3 3 3 2 2" xfId="1002" xr:uid="{405F71B8-60AD-4D4C-AC7A-DA5940D6A006}"/>
    <cellStyle name="Normal 3 3 3 3" xfId="252" xr:uid="{00000000-0005-0000-0000-000007010000}"/>
    <cellStyle name="Normal 3 3 3 3 2" xfId="1092" xr:uid="{93E1E11E-B4DD-46B1-9EE3-BD53B8B5CD6A}"/>
    <cellStyle name="Normal 3 3 3 4" xfId="342" xr:uid="{00000000-0005-0000-0000-000008010000}"/>
    <cellStyle name="Normal 3 3 3 4 2" xfId="1182" xr:uid="{51C539EF-77CA-48B8-820F-14893B0BB0E9}"/>
    <cellStyle name="Normal 3 3 3 5" xfId="432" xr:uid="{00000000-0005-0000-0000-000009010000}"/>
    <cellStyle name="Normal 3 3 3 5 2" xfId="1272" xr:uid="{218CADDE-8C4D-43DC-B423-2C989CA50784}"/>
    <cellStyle name="Normal 3 3 3 6" xfId="522" xr:uid="{00000000-0005-0000-0000-00000A010000}"/>
    <cellStyle name="Normal 3 3 3 6 2" xfId="1362" xr:uid="{27C4E833-C24F-4566-A665-441AA408B438}"/>
    <cellStyle name="Normal 3 3 3 7" xfId="612" xr:uid="{00000000-0005-0000-0000-00000B010000}"/>
    <cellStyle name="Normal 3 3 3 7 2" xfId="1452" xr:uid="{7CF3CB8F-AA20-443F-A1A6-86D22FE8887A}"/>
    <cellStyle name="Normal 3 3 3 8" xfId="702" xr:uid="{00000000-0005-0000-0000-00000C010000}"/>
    <cellStyle name="Normal 3 3 3 8 2" xfId="1542" xr:uid="{432342B9-D3C4-4CA8-93B9-C7D3BCF55516}"/>
    <cellStyle name="Normal 3 3 3 9" xfId="799" xr:uid="{00000000-0005-0000-0000-00000D010000}"/>
    <cellStyle name="Normal 3 3 3 9 2" xfId="1639" xr:uid="{C23A80B6-CCB0-460E-A920-F829CA7A4F62}"/>
    <cellStyle name="Normal 3 3 4" xfId="125" xr:uid="{00000000-0005-0000-0000-00000E010000}"/>
    <cellStyle name="Normal 3 3 4 2" xfId="965" xr:uid="{3A24C824-D560-4C7D-AA6A-526DF5505BE5}"/>
    <cellStyle name="Normal 3 3 5" xfId="215" xr:uid="{00000000-0005-0000-0000-00000F010000}"/>
    <cellStyle name="Normal 3 3 5 2" xfId="1055" xr:uid="{A2FA8200-264A-4392-816B-13F50CA29943}"/>
    <cellStyle name="Normal 3 3 6" xfId="305" xr:uid="{00000000-0005-0000-0000-000010010000}"/>
    <cellStyle name="Normal 3 3 6 2" xfId="1145" xr:uid="{D5D2CEFC-4867-4702-BB86-F4124D6C89CB}"/>
    <cellStyle name="Normal 3 3 7" xfId="395" xr:uid="{00000000-0005-0000-0000-000011010000}"/>
    <cellStyle name="Normal 3 3 7 2" xfId="1235" xr:uid="{82149484-000A-4DF1-BC15-183DE65AFD45}"/>
    <cellStyle name="Normal 3 3 8" xfId="485" xr:uid="{00000000-0005-0000-0000-000012010000}"/>
    <cellStyle name="Normal 3 3 8 2" xfId="1325" xr:uid="{6F9CE2DC-3A46-4121-A425-D312D6D117E2}"/>
    <cellStyle name="Normal 3 3 9" xfId="575" xr:uid="{00000000-0005-0000-0000-000013010000}"/>
    <cellStyle name="Normal 3 3 9 2" xfId="1415" xr:uid="{61BE3EA5-E742-4A51-BE49-ABC647F744E5}"/>
    <cellStyle name="Normal 3 4" xfId="29" xr:uid="{00000000-0005-0000-0000-000014010000}"/>
    <cellStyle name="Normal 3 4 10" xfId="668" xr:uid="{00000000-0005-0000-0000-000015010000}"/>
    <cellStyle name="Normal 3 4 10 2" xfId="1508" xr:uid="{AEC3DE67-78A3-411F-8BF4-07E28E1182CD}"/>
    <cellStyle name="Normal 3 4 11" xfId="763" xr:uid="{00000000-0005-0000-0000-000016010000}"/>
    <cellStyle name="Normal 3 4 11 2" xfId="1603" xr:uid="{7F9B2C29-0FA5-483F-A238-DC9FC60C9234}"/>
    <cellStyle name="Normal 3 4 12" xfId="874" xr:uid="{03C890D0-38FD-49A7-80A9-D1D5216EF3B5}"/>
    <cellStyle name="Normal 3 4 2" xfId="51" xr:uid="{00000000-0005-0000-0000-000017010000}"/>
    <cellStyle name="Normal 3 4 2 10" xfId="783" xr:uid="{00000000-0005-0000-0000-000018010000}"/>
    <cellStyle name="Normal 3 4 2 10 2" xfId="1623" xr:uid="{D240F9A1-8267-4B71-BBB0-1C1EBD0DBEA9}"/>
    <cellStyle name="Normal 3 4 2 11" xfId="894" xr:uid="{D2A2824C-B2BE-4CEA-93BC-F70C0E573365}"/>
    <cellStyle name="Normal 3 4 2 2" xfId="91" xr:uid="{00000000-0005-0000-0000-000019010000}"/>
    <cellStyle name="Normal 3 4 2 2 10" xfId="932" xr:uid="{AADF0111-148A-44E7-B137-743C70D7D381}"/>
    <cellStyle name="Normal 3 4 2 2 2" xfId="184" xr:uid="{00000000-0005-0000-0000-00001A010000}"/>
    <cellStyle name="Normal 3 4 2 2 2 2" xfId="1024" xr:uid="{A8656513-9DAD-4EB3-8102-1FD41013DB7C}"/>
    <cellStyle name="Normal 3 4 2 2 3" xfId="274" xr:uid="{00000000-0005-0000-0000-00001B010000}"/>
    <cellStyle name="Normal 3 4 2 2 3 2" xfId="1114" xr:uid="{50CE4854-2A29-4801-8225-A386383C4ED6}"/>
    <cellStyle name="Normal 3 4 2 2 4" xfId="364" xr:uid="{00000000-0005-0000-0000-00001C010000}"/>
    <cellStyle name="Normal 3 4 2 2 4 2" xfId="1204" xr:uid="{9D64DD71-C44D-4928-9295-3BA45C0B5A6E}"/>
    <cellStyle name="Normal 3 4 2 2 5" xfId="454" xr:uid="{00000000-0005-0000-0000-00001D010000}"/>
    <cellStyle name="Normal 3 4 2 2 5 2" xfId="1294" xr:uid="{95774D65-705D-493D-85B9-F8C88155389B}"/>
    <cellStyle name="Normal 3 4 2 2 6" xfId="544" xr:uid="{00000000-0005-0000-0000-00001E010000}"/>
    <cellStyle name="Normal 3 4 2 2 6 2" xfId="1384" xr:uid="{2C06ECAC-82D0-4367-8723-5E18835DBA0F}"/>
    <cellStyle name="Normal 3 4 2 2 7" xfId="634" xr:uid="{00000000-0005-0000-0000-00001F010000}"/>
    <cellStyle name="Normal 3 4 2 2 7 2" xfId="1474" xr:uid="{B2CFA5FA-CD53-4AE4-91D2-F301F90486EC}"/>
    <cellStyle name="Normal 3 4 2 2 8" xfId="724" xr:uid="{00000000-0005-0000-0000-000020010000}"/>
    <cellStyle name="Normal 3 4 2 2 8 2" xfId="1564" xr:uid="{31F6D5AA-C366-401E-AFE3-C1A362F73DA2}"/>
    <cellStyle name="Normal 3 4 2 2 9" xfId="821" xr:uid="{00000000-0005-0000-0000-000021010000}"/>
    <cellStyle name="Normal 3 4 2 2 9 2" xfId="1661" xr:uid="{3F552CDC-0B59-4384-9135-6D2E9A227FAD}"/>
    <cellStyle name="Normal 3 4 2 3" xfId="147" xr:uid="{00000000-0005-0000-0000-000022010000}"/>
    <cellStyle name="Normal 3 4 2 3 2" xfId="987" xr:uid="{86C85CB9-651D-4B71-98A9-FB08DBADA403}"/>
    <cellStyle name="Normal 3 4 2 4" xfId="237" xr:uid="{00000000-0005-0000-0000-000023010000}"/>
    <cellStyle name="Normal 3 4 2 4 2" xfId="1077" xr:uid="{5FB5F106-C675-4115-A211-5536CB28B272}"/>
    <cellStyle name="Normal 3 4 2 5" xfId="327" xr:uid="{00000000-0005-0000-0000-000024010000}"/>
    <cellStyle name="Normal 3 4 2 5 2" xfId="1167" xr:uid="{5BD098A9-8355-4B56-AA5B-FE4ECDAD17B3}"/>
    <cellStyle name="Normal 3 4 2 6" xfId="417" xr:uid="{00000000-0005-0000-0000-000025010000}"/>
    <cellStyle name="Normal 3 4 2 6 2" xfId="1257" xr:uid="{AD51D642-0B9E-427D-B90E-BF2E5D2DE839}"/>
    <cellStyle name="Normal 3 4 2 7" xfId="507" xr:uid="{00000000-0005-0000-0000-000026010000}"/>
    <cellStyle name="Normal 3 4 2 7 2" xfId="1347" xr:uid="{66CC7306-07C3-4D9F-91E4-1E344BFC1754}"/>
    <cellStyle name="Normal 3 4 2 8" xfId="597" xr:uid="{00000000-0005-0000-0000-000027010000}"/>
    <cellStyle name="Normal 3 4 2 8 2" xfId="1437" xr:uid="{265215A6-3952-4F48-B009-6D097940FD8B}"/>
    <cellStyle name="Normal 3 4 2 9" xfId="687" xr:uid="{00000000-0005-0000-0000-000028010000}"/>
    <cellStyle name="Normal 3 4 2 9 2" xfId="1527" xr:uid="{1772D9E2-CBA4-4E09-8DC3-55BC43727AE6}"/>
    <cellStyle name="Normal 3 4 3" xfId="72" xr:uid="{00000000-0005-0000-0000-000029010000}"/>
    <cellStyle name="Normal 3 4 3 10" xfId="913" xr:uid="{713E9CD2-72A9-45A1-A5B3-6CE1108FEB5E}"/>
    <cellStyle name="Normal 3 4 3 2" xfId="165" xr:uid="{00000000-0005-0000-0000-00002A010000}"/>
    <cellStyle name="Normal 3 4 3 2 2" xfId="1005" xr:uid="{3B3CD05B-77AF-4F8E-BAB8-356EA01CFB00}"/>
    <cellStyle name="Normal 3 4 3 3" xfId="255" xr:uid="{00000000-0005-0000-0000-00002B010000}"/>
    <cellStyle name="Normal 3 4 3 3 2" xfId="1095" xr:uid="{50EA47D0-2260-4B37-BDA5-40C7CB3CB936}"/>
    <cellStyle name="Normal 3 4 3 4" xfId="345" xr:uid="{00000000-0005-0000-0000-00002C010000}"/>
    <cellStyle name="Normal 3 4 3 4 2" xfId="1185" xr:uid="{7C5BB515-7B86-4196-8799-87E67645564E}"/>
    <cellStyle name="Normal 3 4 3 5" xfId="435" xr:uid="{00000000-0005-0000-0000-00002D010000}"/>
    <cellStyle name="Normal 3 4 3 5 2" xfId="1275" xr:uid="{45EACD31-91E9-438B-970F-3A2A87AD6603}"/>
    <cellStyle name="Normal 3 4 3 6" xfId="525" xr:uid="{00000000-0005-0000-0000-00002E010000}"/>
    <cellStyle name="Normal 3 4 3 6 2" xfId="1365" xr:uid="{F7DCC9A3-2374-4286-8352-5A9D73BC86BF}"/>
    <cellStyle name="Normal 3 4 3 7" xfId="615" xr:uid="{00000000-0005-0000-0000-00002F010000}"/>
    <cellStyle name="Normal 3 4 3 7 2" xfId="1455" xr:uid="{497CD366-2090-45AB-B8EB-9EF939778BD5}"/>
    <cellStyle name="Normal 3 4 3 8" xfId="705" xr:uid="{00000000-0005-0000-0000-000030010000}"/>
    <cellStyle name="Normal 3 4 3 8 2" xfId="1545" xr:uid="{6D27287D-0861-4D58-9174-D199C94597A8}"/>
    <cellStyle name="Normal 3 4 3 9" xfId="802" xr:uid="{00000000-0005-0000-0000-000031010000}"/>
    <cellStyle name="Normal 3 4 3 9 2" xfId="1642" xr:uid="{FB859820-172C-40F4-B6FF-B22478B4337B}"/>
    <cellStyle name="Normal 3 4 4" xfId="128" xr:uid="{00000000-0005-0000-0000-000032010000}"/>
    <cellStyle name="Normal 3 4 4 2" xfId="968" xr:uid="{C0897702-3149-4924-BAB3-0DE6C25A4E67}"/>
    <cellStyle name="Normal 3 4 5" xfId="218" xr:uid="{00000000-0005-0000-0000-000033010000}"/>
    <cellStyle name="Normal 3 4 5 2" xfId="1058" xr:uid="{CA02E748-C21F-40F2-9302-57EFBEA13F05}"/>
    <cellStyle name="Normal 3 4 6" xfId="308" xr:uid="{00000000-0005-0000-0000-000034010000}"/>
    <cellStyle name="Normal 3 4 6 2" xfId="1148" xr:uid="{17C4D4EC-B03D-4E89-8927-596F4B25939A}"/>
    <cellStyle name="Normal 3 4 7" xfId="398" xr:uid="{00000000-0005-0000-0000-000035010000}"/>
    <cellStyle name="Normal 3 4 7 2" xfId="1238" xr:uid="{A7D22DDE-A9C7-4596-8D5F-F2C3BED95851}"/>
    <cellStyle name="Normal 3 4 8" xfId="488" xr:uid="{00000000-0005-0000-0000-000036010000}"/>
    <cellStyle name="Normal 3 4 8 2" xfId="1328" xr:uid="{25E13F5C-87AE-4BE6-9E19-71411D0B3623}"/>
    <cellStyle name="Normal 3 4 9" xfId="578" xr:uid="{00000000-0005-0000-0000-000037010000}"/>
    <cellStyle name="Normal 3 4 9 2" xfId="1418" xr:uid="{5D331C80-80E5-4863-B11B-022F89239689}"/>
    <cellStyle name="Normal 3 5" xfId="33" xr:uid="{00000000-0005-0000-0000-000038010000}"/>
    <cellStyle name="Normal 3 5 10" xfId="671" xr:uid="{00000000-0005-0000-0000-000039010000}"/>
    <cellStyle name="Normal 3 5 10 2" xfId="1511" xr:uid="{6799867B-C17E-48D1-ABDD-8175AB2CCDE1}"/>
    <cellStyle name="Normal 3 5 11" xfId="766" xr:uid="{00000000-0005-0000-0000-00003A010000}"/>
    <cellStyle name="Normal 3 5 11 2" xfId="1606" xr:uid="{FFDBFDC3-6595-46FA-900C-66EBC27FE408}"/>
    <cellStyle name="Normal 3 5 12" xfId="877" xr:uid="{85F28AD7-B894-4B51-B372-EEF32505A947}"/>
    <cellStyle name="Normal 3 5 2" xfId="55" xr:uid="{00000000-0005-0000-0000-00003B010000}"/>
    <cellStyle name="Normal 3 5 2 10" xfId="786" xr:uid="{00000000-0005-0000-0000-00003C010000}"/>
    <cellStyle name="Normal 3 5 2 10 2" xfId="1626" xr:uid="{D4A97446-928D-4BFD-AD39-2D6974725680}"/>
    <cellStyle name="Normal 3 5 2 11" xfId="897" xr:uid="{E2DC70F1-4624-444C-9590-D7FB4E5936D0}"/>
    <cellStyle name="Normal 3 5 2 2" xfId="95" xr:uid="{00000000-0005-0000-0000-00003D010000}"/>
    <cellStyle name="Normal 3 5 2 2 10" xfId="935" xr:uid="{5DAF73B1-A07A-4E8E-8C4D-BA3786D6AF70}"/>
    <cellStyle name="Normal 3 5 2 2 2" xfId="187" xr:uid="{00000000-0005-0000-0000-00003E010000}"/>
    <cellStyle name="Normal 3 5 2 2 2 2" xfId="1027" xr:uid="{04663144-41D1-46D2-9C66-EC6D542D9A09}"/>
    <cellStyle name="Normal 3 5 2 2 3" xfId="277" xr:uid="{00000000-0005-0000-0000-00003F010000}"/>
    <cellStyle name="Normal 3 5 2 2 3 2" xfId="1117" xr:uid="{890A5F1E-67AF-4A22-AABD-2453BF52E03E}"/>
    <cellStyle name="Normal 3 5 2 2 4" xfId="367" xr:uid="{00000000-0005-0000-0000-000040010000}"/>
    <cellStyle name="Normal 3 5 2 2 4 2" xfId="1207" xr:uid="{C0BC4EBD-2381-48E8-AED6-95882A6237ED}"/>
    <cellStyle name="Normal 3 5 2 2 5" xfId="457" xr:uid="{00000000-0005-0000-0000-000041010000}"/>
    <cellStyle name="Normal 3 5 2 2 5 2" xfId="1297" xr:uid="{280783B1-0A2A-41F5-B546-D498B5C693AC}"/>
    <cellStyle name="Normal 3 5 2 2 6" xfId="547" xr:uid="{00000000-0005-0000-0000-000042010000}"/>
    <cellStyle name="Normal 3 5 2 2 6 2" xfId="1387" xr:uid="{648B9A3F-6DE7-446D-AC36-926B3BE80CAB}"/>
    <cellStyle name="Normal 3 5 2 2 7" xfId="637" xr:uid="{00000000-0005-0000-0000-000043010000}"/>
    <cellStyle name="Normal 3 5 2 2 7 2" xfId="1477" xr:uid="{2EBEC804-CB1B-43C6-AEBC-22DE3169FCA2}"/>
    <cellStyle name="Normal 3 5 2 2 8" xfId="727" xr:uid="{00000000-0005-0000-0000-000044010000}"/>
    <cellStyle name="Normal 3 5 2 2 8 2" xfId="1567" xr:uid="{3DB6F4EA-2316-490E-ACF5-5D57AB043CE0}"/>
    <cellStyle name="Normal 3 5 2 2 9" xfId="824" xr:uid="{00000000-0005-0000-0000-000045010000}"/>
    <cellStyle name="Normal 3 5 2 2 9 2" xfId="1664" xr:uid="{20D9BA48-2C20-433A-9010-F5B847B522A2}"/>
    <cellStyle name="Normal 3 5 2 3" xfId="150" xr:uid="{00000000-0005-0000-0000-000046010000}"/>
    <cellStyle name="Normal 3 5 2 3 2" xfId="990" xr:uid="{93CE7C53-256C-404C-AFC3-164C571390F6}"/>
    <cellStyle name="Normal 3 5 2 4" xfId="240" xr:uid="{00000000-0005-0000-0000-000047010000}"/>
    <cellStyle name="Normal 3 5 2 4 2" xfId="1080" xr:uid="{AA3D609F-A177-4793-8DB6-ED02F331DC1C}"/>
    <cellStyle name="Normal 3 5 2 5" xfId="330" xr:uid="{00000000-0005-0000-0000-000048010000}"/>
    <cellStyle name="Normal 3 5 2 5 2" xfId="1170" xr:uid="{6E22B6E9-850B-4AA3-AF39-CDDA9A49D187}"/>
    <cellStyle name="Normal 3 5 2 6" xfId="420" xr:uid="{00000000-0005-0000-0000-000049010000}"/>
    <cellStyle name="Normal 3 5 2 6 2" xfId="1260" xr:uid="{7D95677D-7563-4836-9F93-E2D79ED3B8DE}"/>
    <cellStyle name="Normal 3 5 2 7" xfId="510" xr:uid="{00000000-0005-0000-0000-00004A010000}"/>
    <cellStyle name="Normal 3 5 2 7 2" xfId="1350" xr:uid="{A2C4865A-6CAD-48FC-8447-3F8527CD8037}"/>
    <cellStyle name="Normal 3 5 2 8" xfId="600" xr:uid="{00000000-0005-0000-0000-00004B010000}"/>
    <cellStyle name="Normal 3 5 2 8 2" xfId="1440" xr:uid="{10819700-E192-4361-85C3-3B245BC2753A}"/>
    <cellStyle name="Normal 3 5 2 9" xfId="690" xr:uid="{00000000-0005-0000-0000-00004C010000}"/>
    <cellStyle name="Normal 3 5 2 9 2" xfId="1530" xr:uid="{07C0378F-A546-433B-B913-8EB763208621}"/>
    <cellStyle name="Normal 3 5 3" xfId="75" xr:uid="{00000000-0005-0000-0000-00004D010000}"/>
    <cellStyle name="Normal 3 5 3 10" xfId="916" xr:uid="{6E5676F7-49F0-4121-B3B1-0959045F449B}"/>
    <cellStyle name="Normal 3 5 3 2" xfId="168" xr:uid="{00000000-0005-0000-0000-00004E010000}"/>
    <cellStyle name="Normal 3 5 3 2 2" xfId="1008" xr:uid="{F2DD58BC-466C-4FB8-AA95-0929D72B312D}"/>
    <cellStyle name="Normal 3 5 3 3" xfId="258" xr:uid="{00000000-0005-0000-0000-00004F010000}"/>
    <cellStyle name="Normal 3 5 3 3 2" xfId="1098" xr:uid="{8D8B6960-28FD-41EF-86B0-E5B9682F7BFE}"/>
    <cellStyle name="Normal 3 5 3 4" xfId="348" xr:uid="{00000000-0005-0000-0000-000050010000}"/>
    <cellStyle name="Normal 3 5 3 4 2" xfId="1188" xr:uid="{110E105F-795C-4A91-A945-C9CF8444A097}"/>
    <cellStyle name="Normal 3 5 3 5" xfId="438" xr:uid="{00000000-0005-0000-0000-000051010000}"/>
    <cellStyle name="Normal 3 5 3 5 2" xfId="1278" xr:uid="{3E31F222-6AE9-4047-A98D-074B06217309}"/>
    <cellStyle name="Normal 3 5 3 6" xfId="528" xr:uid="{00000000-0005-0000-0000-000052010000}"/>
    <cellStyle name="Normal 3 5 3 6 2" xfId="1368" xr:uid="{78E1E209-C843-45C5-BB65-A47161BB9DE4}"/>
    <cellStyle name="Normal 3 5 3 7" xfId="618" xr:uid="{00000000-0005-0000-0000-000053010000}"/>
    <cellStyle name="Normal 3 5 3 7 2" xfId="1458" xr:uid="{AF4CC480-4681-4490-932F-66BA82902EE2}"/>
    <cellStyle name="Normal 3 5 3 8" xfId="708" xr:uid="{00000000-0005-0000-0000-000054010000}"/>
    <cellStyle name="Normal 3 5 3 8 2" xfId="1548" xr:uid="{54999E86-3849-491C-B705-42055E9D6F7E}"/>
    <cellStyle name="Normal 3 5 3 9" xfId="805" xr:uid="{00000000-0005-0000-0000-000055010000}"/>
    <cellStyle name="Normal 3 5 3 9 2" xfId="1645" xr:uid="{DE70E53C-D033-4F94-A9A3-1DB5B0AFBB31}"/>
    <cellStyle name="Normal 3 5 4" xfId="131" xr:uid="{00000000-0005-0000-0000-000056010000}"/>
    <cellStyle name="Normal 3 5 4 2" xfId="971" xr:uid="{3E838ED4-8C72-451E-BC0F-3756EDB283AE}"/>
    <cellStyle name="Normal 3 5 5" xfId="221" xr:uid="{00000000-0005-0000-0000-000057010000}"/>
    <cellStyle name="Normal 3 5 5 2" xfId="1061" xr:uid="{F90896A0-5578-442D-BB66-656CB3475C4E}"/>
    <cellStyle name="Normal 3 5 6" xfId="311" xr:uid="{00000000-0005-0000-0000-000058010000}"/>
    <cellStyle name="Normal 3 5 6 2" xfId="1151" xr:uid="{ECB8B03F-B121-4F0B-97BE-C3FFBB4E6F07}"/>
    <cellStyle name="Normal 3 5 7" xfId="401" xr:uid="{00000000-0005-0000-0000-000059010000}"/>
    <cellStyle name="Normal 3 5 7 2" xfId="1241" xr:uid="{B1D54FF5-FC82-4BD6-AAD8-20CC49324EDF}"/>
    <cellStyle name="Normal 3 5 8" xfId="491" xr:uid="{00000000-0005-0000-0000-00005A010000}"/>
    <cellStyle name="Normal 3 5 8 2" xfId="1331" xr:uid="{4D23E18A-E961-46EB-9F7C-02C48A705024}"/>
    <cellStyle name="Normal 3 5 9" xfId="581" xr:uid="{00000000-0005-0000-0000-00005B010000}"/>
    <cellStyle name="Normal 3 5 9 2" xfId="1421" xr:uid="{E94645E8-FEDA-4BC2-8B71-B328EB011041}"/>
    <cellStyle name="Normal 3 6" xfId="36" xr:uid="{00000000-0005-0000-0000-00005C010000}"/>
    <cellStyle name="Normal 3 6 10" xfId="674" xr:uid="{00000000-0005-0000-0000-00005D010000}"/>
    <cellStyle name="Normal 3 6 10 2" xfId="1514" xr:uid="{50CB8C79-6423-46EE-AAB1-EFDF38216B17}"/>
    <cellStyle name="Normal 3 6 11" xfId="769" xr:uid="{00000000-0005-0000-0000-00005E010000}"/>
    <cellStyle name="Normal 3 6 11 2" xfId="1609" xr:uid="{8EF841B4-0B59-49C3-9933-137CCAFF64B8}"/>
    <cellStyle name="Normal 3 6 12" xfId="880" xr:uid="{BBA071C9-CF97-47D2-8DE6-5204D087CF10}"/>
    <cellStyle name="Normal 3 6 2" xfId="58" xr:uid="{00000000-0005-0000-0000-00005F010000}"/>
    <cellStyle name="Normal 3 6 2 10" xfId="789" xr:uid="{00000000-0005-0000-0000-000060010000}"/>
    <cellStyle name="Normal 3 6 2 10 2" xfId="1629" xr:uid="{8FA150EC-E3D2-4481-AA64-22EA7317DE34}"/>
    <cellStyle name="Normal 3 6 2 11" xfId="900" xr:uid="{31342B0F-8A9D-4A80-8EE8-ED2B940E1FFD}"/>
    <cellStyle name="Normal 3 6 2 2" xfId="98" xr:uid="{00000000-0005-0000-0000-000061010000}"/>
    <cellStyle name="Normal 3 6 2 2 10" xfId="938" xr:uid="{2BC44AFD-8E2C-408E-997C-0A115EE5EB05}"/>
    <cellStyle name="Normal 3 6 2 2 2" xfId="190" xr:uid="{00000000-0005-0000-0000-000062010000}"/>
    <cellStyle name="Normal 3 6 2 2 2 2" xfId="1030" xr:uid="{53062073-24B4-40E8-8C92-B9631B1899B9}"/>
    <cellStyle name="Normal 3 6 2 2 3" xfId="280" xr:uid="{00000000-0005-0000-0000-000063010000}"/>
    <cellStyle name="Normal 3 6 2 2 3 2" xfId="1120" xr:uid="{514CB73C-EF41-4F8F-8C16-D4AFFD6A32EC}"/>
    <cellStyle name="Normal 3 6 2 2 4" xfId="370" xr:uid="{00000000-0005-0000-0000-000064010000}"/>
    <cellStyle name="Normal 3 6 2 2 4 2" xfId="1210" xr:uid="{2956C258-1F84-4090-949A-2AC5CEFBEE66}"/>
    <cellStyle name="Normal 3 6 2 2 5" xfId="460" xr:uid="{00000000-0005-0000-0000-000065010000}"/>
    <cellStyle name="Normal 3 6 2 2 5 2" xfId="1300" xr:uid="{D3FFF2AD-6172-40B8-8EF8-8601D64D41AC}"/>
    <cellStyle name="Normal 3 6 2 2 6" xfId="550" xr:uid="{00000000-0005-0000-0000-000066010000}"/>
    <cellStyle name="Normal 3 6 2 2 6 2" xfId="1390" xr:uid="{32A7ACEB-C1EA-42D8-ABDD-224B1B985D2C}"/>
    <cellStyle name="Normal 3 6 2 2 7" xfId="640" xr:uid="{00000000-0005-0000-0000-000067010000}"/>
    <cellStyle name="Normal 3 6 2 2 7 2" xfId="1480" xr:uid="{1889EF71-5247-4628-9380-08DC3F95826F}"/>
    <cellStyle name="Normal 3 6 2 2 8" xfId="730" xr:uid="{00000000-0005-0000-0000-000068010000}"/>
    <cellStyle name="Normal 3 6 2 2 8 2" xfId="1570" xr:uid="{70F65101-5734-47AF-890D-BFB42D075FCA}"/>
    <cellStyle name="Normal 3 6 2 2 9" xfId="827" xr:uid="{00000000-0005-0000-0000-000069010000}"/>
    <cellStyle name="Normal 3 6 2 2 9 2" xfId="1667" xr:uid="{8C1B6613-6022-4EAC-AAB1-2DDBBA87DC18}"/>
    <cellStyle name="Normal 3 6 2 3" xfId="153" xr:uid="{00000000-0005-0000-0000-00006A010000}"/>
    <cellStyle name="Normal 3 6 2 3 2" xfId="993" xr:uid="{72EDEACF-8F44-4352-AD2D-7F566794E27F}"/>
    <cellStyle name="Normal 3 6 2 4" xfId="243" xr:uid="{00000000-0005-0000-0000-00006B010000}"/>
    <cellStyle name="Normal 3 6 2 4 2" xfId="1083" xr:uid="{FBEE8DEA-2CA0-42E5-B4F2-7C9679CA40D4}"/>
    <cellStyle name="Normal 3 6 2 5" xfId="333" xr:uid="{00000000-0005-0000-0000-00006C010000}"/>
    <cellStyle name="Normal 3 6 2 5 2" xfId="1173" xr:uid="{8C9AC81E-0E9F-4DDC-A053-124A54AAC454}"/>
    <cellStyle name="Normal 3 6 2 6" xfId="423" xr:uid="{00000000-0005-0000-0000-00006D010000}"/>
    <cellStyle name="Normal 3 6 2 6 2" xfId="1263" xr:uid="{511ABB75-90D5-4EC7-89FA-7D9F702FE570}"/>
    <cellStyle name="Normal 3 6 2 7" xfId="513" xr:uid="{00000000-0005-0000-0000-00006E010000}"/>
    <cellStyle name="Normal 3 6 2 7 2" xfId="1353" xr:uid="{CD7F3E76-61F2-42ED-8C58-0E9CA6798312}"/>
    <cellStyle name="Normal 3 6 2 8" xfId="603" xr:uid="{00000000-0005-0000-0000-00006F010000}"/>
    <cellStyle name="Normal 3 6 2 8 2" xfId="1443" xr:uid="{1E632615-26B1-4E43-8CC1-938339000BF0}"/>
    <cellStyle name="Normal 3 6 2 9" xfId="693" xr:uid="{00000000-0005-0000-0000-000070010000}"/>
    <cellStyle name="Normal 3 6 2 9 2" xfId="1533" xr:uid="{A59AA9D7-6292-4146-B6A0-F12A14033063}"/>
    <cellStyle name="Normal 3 6 3" xfId="78" xr:uid="{00000000-0005-0000-0000-000071010000}"/>
    <cellStyle name="Normal 3 6 3 10" xfId="919" xr:uid="{54F0B9CD-95DD-4CF6-A5B0-4E46C9FDEC3E}"/>
    <cellStyle name="Normal 3 6 3 2" xfId="171" xr:uid="{00000000-0005-0000-0000-000072010000}"/>
    <cellStyle name="Normal 3 6 3 2 2" xfId="1011" xr:uid="{739AC2AE-2227-4B46-96BA-090E89367BDF}"/>
    <cellStyle name="Normal 3 6 3 3" xfId="261" xr:uid="{00000000-0005-0000-0000-000073010000}"/>
    <cellStyle name="Normal 3 6 3 3 2" xfId="1101" xr:uid="{6492D253-E3AC-4CBB-A9B3-B4ACA76E224A}"/>
    <cellStyle name="Normal 3 6 3 4" xfId="351" xr:uid="{00000000-0005-0000-0000-000074010000}"/>
    <cellStyle name="Normal 3 6 3 4 2" xfId="1191" xr:uid="{BD870222-3421-4A03-B512-0EAB22874DBB}"/>
    <cellStyle name="Normal 3 6 3 5" xfId="441" xr:uid="{00000000-0005-0000-0000-000075010000}"/>
    <cellStyle name="Normal 3 6 3 5 2" xfId="1281" xr:uid="{D31A3C74-C203-4B02-9DBF-B0A83FDB0966}"/>
    <cellStyle name="Normal 3 6 3 6" xfId="531" xr:uid="{00000000-0005-0000-0000-000076010000}"/>
    <cellStyle name="Normal 3 6 3 6 2" xfId="1371" xr:uid="{2BF2A21E-E729-49C0-9ABE-9B8BCC87013E}"/>
    <cellStyle name="Normal 3 6 3 7" xfId="621" xr:uid="{00000000-0005-0000-0000-000077010000}"/>
    <cellStyle name="Normal 3 6 3 7 2" xfId="1461" xr:uid="{0CADC9B4-6C0A-462A-8D8F-5BD87548B9F6}"/>
    <cellStyle name="Normal 3 6 3 8" xfId="711" xr:uid="{00000000-0005-0000-0000-000078010000}"/>
    <cellStyle name="Normal 3 6 3 8 2" xfId="1551" xr:uid="{6EB54A30-95EA-445D-9434-13FA4B1AB034}"/>
    <cellStyle name="Normal 3 6 3 9" xfId="808" xr:uid="{00000000-0005-0000-0000-000079010000}"/>
    <cellStyle name="Normal 3 6 3 9 2" xfId="1648" xr:uid="{63179C66-93C5-486F-827B-726B6A046891}"/>
    <cellStyle name="Normal 3 6 4" xfId="134" xr:uid="{00000000-0005-0000-0000-00007A010000}"/>
    <cellStyle name="Normal 3 6 4 2" xfId="974" xr:uid="{0935F41E-AB80-4A96-A3FE-181F35F311BF}"/>
    <cellStyle name="Normal 3 6 5" xfId="224" xr:uid="{00000000-0005-0000-0000-00007B010000}"/>
    <cellStyle name="Normal 3 6 5 2" xfId="1064" xr:uid="{6C6DF6D6-B10B-4F63-8822-E4C19CD27D30}"/>
    <cellStyle name="Normal 3 6 6" xfId="314" xr:uid="{00000000-0005-0000-0000-00007C010000}"/>
    <cellStyle name="Normal 3 6 6 2" xfId="1154" xr:uid="{BAA9B685-D725-44CD-B1E3-DF434711CC2D}"/>
    <cellStyle name="Normal 3 6 7" xfId="404" xr:uid="{00000000-0005-0000-0000-00007D010000}"/>
    <cellStyle name="Normal 3 6 7 2" xfId="1244" xr:uid="{6598FA48-B560-4CBD-843C-10F151E3A29E}"/>
    <cellStyle name="Normal 3 6 8" xfId="494" xr:uid="{00000000-0005-0000-0000-00007E010000}"/>
    <cellStyle name="Normal 3 6 8 2" xfId="1334" xr:uid="{5D060B25-355B-47DD-ACD0-8C7ED81ABA89}"/>
    <cellStyle name="Normal 3 6 9" xfId="584" xr:uid="{00000000-0005-0000-0000-00007F010000}"/>
    <cellStyle name="Normal 3 6 9 2" xfId="1424" xr:uid="{D3B2A1F1-40EA-4315-A1EB-2E0F6C645731}"/>
    <cellStyle name="Normal 3 7" xfId="42" xr:uid="{00000000-0005-0000-0000-000080010000}"/>
    <cellStyle name="Normal 3 7 10" xfId="774" xr:uid="{00000000-0005-0000-0000-000081010000}"/>
    <cellStyle name="Normal 3 7 10 2" xfId="1614" xr:uid="{392EC5EB-0A8E-4646-9119-A38A6A172770}"/>
    <cellStyle name="Normal 3 7 11" xfId="885" xr:uid="{35F1CD6E-FA3A-4CCB-9B22-4641E5EFDD92}"/>
    <cellStyle name="Normal 3 7 2" xfId="82" xr:uid="{00000000-0005-0000-0000-000082010000}"/>
    <cellStyle name="Normal 3 7 2 10" xfId="923" xr:uid="{40256C46-27FA-4F39-87D8-92A81692F595}"/>
    <cellStyle name="Normal 3 7 2 2" xfId="175" xr:uid="{00000000-0005-0000-0000-000083010000}"/>
    <cellStyle name="Normal 3 7 2 2 2" xfId="1015" xr:uid="{C44CF7E0-FB76-4815-AFEB-5C8BD9C2821F}"/>
    <cellStyle name="Normal 3 7 2 3" xfId="265" xr:uid="{00000000-0005-0000-0000-000084010000}"/>
    <cellStyle name="Normal 3 7 2 3 2" xfId="1105" xr:uid="{293FDA97-75B1-47EC-8141-0221BF560FCA}"/>
    <cellStyle name="Normal 3 7 2 4" xfId="355" xr:uid="{00000000-0005-0000-0000-000085010000}"/>
    <cellStyle name="Normal 3 7 2 4 2" xfId="1195" xr:uid="{91CA63B1-15DA-4AFB-BD15-1089F3208092}"/>
    <cellStyle name="Normal 3 7 2 5" xfId="445" xr:uid="{00000000-0005-0000-0000-000086010000}"/>
    <cellStyle name="Normal 3 7 2 5 2" xfId="1285" xr:uid="{B0FCDFC6-6F83-408A-8E09-04C1601271CE}"/>
    <cellStyle name="Normal 3 7 2 6" xfId="535" xr:uid="{00000000-0005-0000-0000-000087010000}"/>
    <cellStyle name="Normal 3 7 2 6 2" xfId="1375" xr:uid="{93191A22-958B-40D9-9DF2-140EDB4F478D}"/>
    <cellStyle name="Normal 3 7 2 7" xfId="625" xr:uid="{00000000-0005-0000-0000-000088010000}"/>
    <cellStyle name="Normal 3 7 2 7 2" xfId="1465" xr:uid="{70DA9CC1-11B5-4A00-8C3B-0A5DE13506D7}"/>
    <cellStyle name="Normal 3 7 2 8" xfId="715" xr:uid="{00000000-0005-0000-0000-000089010000}"/>
    <cellStyle name="Normal 3 7 2 8 2" xfId="1555" xr:uid="{708A8575-993D-4387-9EB0-1C9C908A0750}"/>
    <cellStyle name="Normal 3 7 2 9" xfId="812" xr:uid="{00000000-0005-0000-0000-00008A010000}"/>
    <cellStyle name="Normal 3 7 2 9 2" xfId="1652" xr:uid="{F26D0DF8-1A11-4F96-A437-F5645CDB2C6C}"/>
    <cellStyle name="Normal 3 7 3" xfId="138" xr:uid="{00000000-0005-0000-0000-00008B010000}"/>
    <cellStyle name="Normal 3 7 3 2" xfId="978" xr:uid="{402491B4-0455-4D13-8338-F89BAA646080}"/>
    <cellStyle name="Normal 3 7 4" xfId="228" xr:uid="{00000000-0005-0000-0000-00008C010000}"/>
    <cellStyle name="Normal 3 7 4 2" xfId="1068" xr:uid="{2BE8F117-A034-4397-8432-EA6D007170CE}"/>
    <cellStyle name="Normal 3 7 5" xfId="318" xr:uid="{00000000-0005-0000-0000-00008D010000}"/>
    <cellStyle name="Normal 3 7 5 2" xfId="1158" xr:uid="{891757B9-C0F5-49FE-8AA1-051DA4EC7F3A}"/>
    <cellStyle name="Normal 3 7 6" xfId="408" xr:uid="{00000000-0005-0000-0000-00008E010000}"/>
    <cellStyle name="Normal 3 7 6 2" xfId="1248" xr:uid="{A673ED11-54F5-42CF-BC10-646635958B3D}"/>
    <cellStyle name="Normal 3 7 7" xfId="498" xr:uid="{00000000-0005-0000-0000-00008F010000}"/>
    <cellStyle name="Normal 3 7 7 2" xfId="1338" xr:uid="{5611A1BA-8B6E-4DB3-8F78-93D7B941CAC8}"/>
    <cellStyle name="Normal 3 7 8" xfId="588" xr:uid="{00000000-0005-0000-0000-000090010000}"/>
    <cellStyle name="Normal 3 7 8 2" xfId="1428" xr:uid="{0E168806-D116-46FC-A4EA-8BF48E2A651A}"/>
    <cellStyle name="Normal 3 7 9" xfId="678" xr:uid="{00000000-0005-0000-0000-000091010000}"/>
    <cellStyle name="Normal 3 7 9 2" xfId="1518" xr:uid="{225894CD-A2B3-41FF-A5FE-2580A9B85CA0}"/>
    <cellStyle name="Normal 3 8" xfId="63" xr:uid="{00000000-0005-0000-0000-000092010000}"/>
    <cellStyle name="Normal 3 8 10" xfId="904" xr:uid="{9593A249-E777-4C50-9C0D-FB86B0B3C15E}"/>
    <cellStyle name="Normal 3 8 2" xfId="156" xr:uid="{00000000-0005-0000-0000-000093010000}"/>
    <cellStyle name="Normal 3 8 2 2" xfId="996" xr:uid="{B4964ACF-F52D-4DDC-918D-C89E7FE36335}"/>
    <cellStyle name="Normal 3 8 3" xfId="246" xr:uid="{00000000-0005-0000-0000-000094010000}"/>
    <cellStyle name="Normal 3 8 3 2" xfId="1086" xr:uid="{A6A867D5-ACE5-46D1-87E5-BDD4538312B8}"/>
    <cellStyle name="Normal 3 8 4" xfId="336" xr:uid="{00000000-0005-0000-0000-000095010000}"/>
    <cellStyle name="Normal 3 8 4 2" xfId="1176" xr:uid="{9427D22F-4B35-4484-B1C3-B303D241608B}"/>
    <cellStyle name="Normal 3 8 5" xfId="426" xr:uid="{00000000-0005-0000-0000-000096010000}"/>
    <cellStyle name="Normal 3 8 5 2" xfId="1266" xr:uid="{E99FF2BD-A60A-4B06-890A-F7906EA38479}"/>
    <cellStyle name="Normal 3 8 6" xfId="516" xr:uid="{00000000-0005-0000-0000-000097010000}"/>
    <cellStyle name="Normal 3 8 6 2" xfId="1356" xr:uid="{43717C29-6106-4B7A-867A-79CF79D5C1A1}"/>
    <cellStyle name="Normal 3 8 7" xfId="606" xr:uid="{00000000-0005-0000-0000-000098010000}"/>
    <cellStyle name="Normal 3 8 7 2" xfId="1446" xr:uid="{177F4289-20F2-4CD8-BDB9-6DB361146B4D}"/>
    <cellStyle name="Normal 3 8 8" xfId="696" xr:uid="{00000000-0005-0000-0000-000099010000}"/>
    <cellStyle name="Normal 3 8 8 2" xfId="1536" xr:uid="{4FC51170-238D-4068-A606-6D343EA42D2F}"/>
    <cellStyle name="Normal 3 8 9" xfId="793" xr:uid="{00000000-0005-0000-0000-00009A010000}"/>
    <cellStyle name="Normal 3 8 9 2" xfId="1633" xr:uid="{9105807A-B881-4902-AD07-F3BF8BCFB571}"/>
    <cellStyle name="Normal 3 9" xfId="101" xr:uid="{00000000-0005-0000-0000-00009B010000}"/>
    <cellStyle name="Normal 3 9 10" xfId="941" xr:uid="{1676EE35-D13C-45DE-8ADB-E3E91EE3203F}"/>
    <cellStyle name="Normal 3 9 2" xfId="193" xr:uid="{00000000-0005-0000-0000-00009C010000}"/>
    <cellStyle name="Normal 3 9 2 2" xfId="1033" xr:uid="{4CA9E654-04C3-4404-B8F2-169B70AE8ED3}"/>
    <cellStyle name="Normal 3 9 3" xfId="283" xr:uid="{00000000-0005-0000-0000-00009D010000}"/>
    <cellStyle name="Normal 3 9 3 2" xfId="1123" xr:uid="{5626F53C-C40B-4A2B-9461-D5089490C8D7}"/>
    <cellStyle name="Normal 3 9 4" xfId="373" xr:uid="{00000000-0005-0000-0000-00009E010000}"/>
    <cellStyle name="Normal 3 9 4 2" xfId="1213" xr:uid="{0A881D24-D187-401D-9B89-209E06FD4544}"/>
    <cellStyle name="Normal 3 9 5" xfId="463" xr:uid="{00000000-0005-0000-0000-00009F010000}"/>
    <cellStyle name="Normal 3 9 5 2" xfId="1303" xr:uid="{32F3CFBA-23E8-40AB-9909-855938D0BCFB}"/>
    <cellStyle name="Normal 3 9 6" xfId="553" xr:uid="{00000000-0005-0000-0000-0000A0010000}"/>
    <cellStyle name="Normal 3 9 6 2" xfId="1393" xr:uid="{590CDF33-04A9-461F-BCBE-D2B7B76CE995}"/>
    <cellStyle name="Normal 3 9 7" xfId="643" xr:uid="{00000000-0005-0000-0000-0000A1010000}"/>
    <cellStyle name="Normal 3 9 7 2" xfId="1483" xr:uid="{F389931F-C6EB-47EA-A8BA-45BEECB2067E}"/>
    <cellStyle name="Normal 3 9 8" xfId="733" xr:uid="{00000000-0005-0000-0000-0000A2010000}"/>
    <cellStyle name="Normal 3 9 8 2" xfId="1573" xr:uid="{A35CEF34-4878-4EF3-B2BE-E1EC1832568C}"/>
    <cellStyle name="Normal 3 9 9" xfId="830" xr:uid="{00000000-0005-0000-0000-0000A3010000}"/>
    <cellStyle name="Normal 3 9 9 2" xfId="1670" xr:uid="{527956AD-1C29-4D29-8138-9430051FDD5F}"/>
    <cellStyle name="Normal 4" xfId="12" xr:uid="{00000000-0005-0000-0000-0000A4010000}"/>
    <cellStyle name="Normal 5" xfId="9" xr:uid="{00000000-0005-0000-0000-0000A5010000}"/>
    <cellStyle name="Normal 5 2" xfId="5" xr:uid="{00000000-0005-0000-0000-0000A6010000}"/>
    <cellStyle name="Normal 5 3" xfId="32" xr:uid="{00000000-0005-0000-0000-0000A7010000}"/>
    <cellStyle name="Normal 5 3 2" xfId="54" xr:uid="{00000000-0005-0000-0000-0000A8010000}"/>
    <cellStyle name="Normal 5 4" xfId="19" xr:uid="{00000000-0005-0000-0000-0000A9010000}"/>
    <cellStyle name="Normal 6" xfId="18" xr:uid="{00000000-0005-0000-0000-0000AA010000}"/>
    <cellStyle name="Normal 6 10" xfId="660" xr:uid="{00000000-0005-0000-0000-0000AB010000}"/>
    <cellStyle name="Normal 6 10 2" xfId="1500" xr:uid="{067A76AF-4C32-4315-91C8-23B8E1BEE437}"/>
    <cellStyle name="Normal 6 11" xfId="754" xr:uid="{00000000-0005-0000-0000-0000AC010000}"/>
    <cellStyle name="Normal 6 11 2" xfId="1594" xr:uid="{007EF57F-ECE6-44FA-A5F6-A76E5238D2F8}"/>
    <cellStyle name="Normal 6 12" xfId="865" xr:uid="{F5591F06-F7E4-470A-80BD-7F8496F89720}"/>
    <cellStyle name="Normal 6 2" xfId="41" xr:uid="{00000000-0005-0000-0000-0000AD010000}"/>
    <cellStyle name="Normal 6 2 10" xfId="773" xr:uid="{00000000-0005-0000-0000-0000AE010000}"/>
    <cellStyle name="Normal 6 2 10 2" xfId="1613" xr:uid="{E9956583-8903-47DE-A3EC-BB82182871B4}"/>
    <cellStyle name="Normal 6 2 11" xfId="884" xr:uid="{B3DEC4CD-50FD-4828-BED6-73CC7030DB6A}"/>
    <cellStyle name="Normal 6 2 2" xfId="81" xr:uid="{00000000-0005-0000-0000-0000AF010000}"/>
    <cellStyle name="Normal 6 2 2 10" xfId="922" xr:uid="{2AF533FE-8010-4170-A1AB-AC45C697B46F}"/>
    <cellStyle name="Normal 6 2 2 2" xfId="174" xr:uid="{00000000-0005-0000-0000-0000B0010000}"/>
    <cellStyle name="Normal 6 2 2 2 2" xfId="1014" xr:uid="{6CEE9CA4-D7CD-437A-A810-AD753985109E}"/>
    <cellStyle name="Normal 6 2 2 3" xfId="264" xr:uid="{00000000-0005-0000-0000-0000B1010000}"/>
    <cellStyle name="Normal 6 2 2 3 2" xfId="1104" xr:uid="{AF86BCF8-9435-498C-9A31-0A917B53D6F3}"/>
    <cellStyle name="Normal 6 2 2 4" xfId="354" xr:uid="{00000000-0005-0000-0000-0000B2010000}"/>
    <cellStyle name="Normal 6 2 2 4 2" xfId="1194" xr:uid="{B197C232-5825-44D1-A4B6-FFCB94B6DB12}"/>
    <cellStyle name="Normal 6 2 2 5" xfId="444" xr:uid="{00000000-0005-0000-0000-0000B3010000}"/>
    <cellStyle name="Normal 6 2 2 5 2" xfId="1284" xr:uid="{E6FAA59C-2764-41FD-8FB3-175C764E96A4}"/>
    <cellStyle name="Normal 6 2 2 6" xfId="534" xr:uid="{00000000-0005-0000-0000-0000B4010000}"/>
    <cellStyle name="Normal 6 2 2 6 2" xfId="1374" xr:uid="{B06FF032-B3D1-4AC5-9038-83E9EF320B77}"/>
    <cellStyle name="Normal 6 2 2 7" xfId="624" xr:uid="{00000000-0005-0000-0000-0000B5010000}"/>
    <cellStyle name="Normal 6 2 2 7 2" xfId="1464" xr:uid="{3763DAF4-6A1E-4F4B-B22C-3F046A2E1EDA}"/>
    <cellStyle name="Normal 6 2 2 8" xfId="714" xr:uid="{00000000-0005-0000-0000-0000B6010000}"/>
    <cellStyle name="Normal 6 2 2 8 2" xfId="1554" xr:uid="{A4CC5878-6196-40DD-BC75-A611BC07D1D2}"/>
    <cellStyle name="Normal 6 2 2 9" xfId="811" xr:uid="{00000000-0005-0000-0000-0000B7010000}"/>
    <cellStyle name="Normal 6 2 2 9 2" xfId="1651" xr:uid="{AFF63254-7BC5-4662-BDDC-07FAE5290F96}"/>
    <cellStyle name="Normal 6 2 3" xfId="137" xr:uid="{00000000-0005-0000-0000-0000B8010000}"/>
    <cellStyle name="Normal 6 2 3 2" xfId="977" xr:uid="{DAAA3F58-DB51-47CF-A3E3-6462B584AC69}"/>
    <cellStyle name="Normal 6 2 4" xfId="227" xr:uid="{00000000-0005-0000-0000-0000B9010000}"/>
    <cellStyle name="Normal 6 2 4 2" xfId="1067" xr:uid="{2FECA5B3-25C9-4D82-8E3F-19F6B63C7126}"/>
    <cellStyle name="Normal 6 2 5" xfId="317" xr:uid="{00000000-0005-0000-0000-0000BA010000}"/>
    <cellStyle name="Normal 6 2 5 2" xfId="1157" xr:uid="{10BFCCF4-4213-4E68-9D92-7FFCA7E6C2CC}"/>
    <cellStyle name="Normal 6 2 6" xfId="407" xr:uid="{00000000-0005-0000-0000-0000BB010000}"/>
    <cellStyle name="Normal 6 2 6 2" xfId="1247" xr:uid="{FB5ECF69-252B-49AA-8B26-68C2FCFC3FD3}"/>
    <cellStyle name="Normal 6 2 7" xfId="497" xr:uid="{00000000-0005-0000-0000-0000BC010000}"/>
    <cellStyle name="Normal 6 2 7 2" xfId="1337" xr:uid="{55CE2089-B549-4FCC-A15D-159EB63B22A7}"/>
    <cellStyle name="Normal 6 2 8" xfId="587" xr:uid="{00000000-0005-0000-0000-0000BD010000}"/>
    <cellStyle name="Normal 6 2 8 2" xfId="1427" xr:uid="{4F74C12C-9FC4-4B8C-9D70-891A0007B19A}"/>
    <cellStyle name="Normal 6 2 9" xfId="677" xr:uid="{00000000-0005-0000-0000-0000BE010000}"/>
    <cellStyle name="Normal 6 2 9 2" xfId="1517" xr:uid="{C5BAEEF6-1239-41AD-A171-41C0CA04E8D7}"/>
    <cellStyle name="Normal 6 3" xfId="62" xr:uid="{00000000-0005-0000-0000-0000BF010000}"/>
    <cellStyle name="Normal 6 3 10" xfId="903" xr:uid="{08E513B8-F7A5-4702-A52B-25448FF1EE82}"/>
    <cellStyle name="Normal 6 3 2" xfId="155" xr:uid="{00000000-0005-0000-0000-0000C0010000}"/>
    <cellStyle name="Normal 6 3 2 2" xfId="995" xr:uid="{E6C6FF3D-5706-4043-9989-5FAEBE1BDB94}"/>
    <cellStyle name="Normal 6 3 3" xfId="245" xr:uid="{00000000-0005-0000-0000-0000C1010000}"/>
    <cellStyle name="Normal 6 3 3 2" xfId="1085" xr:uid="{620E8AEC-88DD-4C19-AB86-113A1FEF5EBC}"/>
    <cellStyle name="Normal 6 3 4" xfId="335" xr:uid="{00000000-0005-0000-0000-0000C2010000}"/>
    <cellStyle name="Normal 6 3 4 2" xfId="1175" xr:uid="{ABB0FEFD-A8A4-4BBC-971C-7344FA29DA58}"/>
    <cellStyle name="Normal 6 3 5" xfId="425" xr:uid="{00000000-0005-0000-0000-0000C3010000}"/>
    <cellStyle name="Normal 6 3 5 2" xfId="1265" xr:uid="{80A87DA1-66C4-4AA7-8111-E81009FA273D}"/>
    <cellStyle name="Normal 6 3 6" xfId="515" xr:uid="{00000000-0005-0000-0000-0000C4010000}"/>
    <cellStyle name="Normal 6 3 6 2" xfId="1355" xr:uid="{D255367F-DA54-4CBF-890C-B6A897213C07}"/>
    <cellStyle name="Normal 6 3 7" xfId="605" xr:uid="{00000000-0005-0000-0000-0000C5010000}"/>
    <cellStyle name="Normal 6 3 7 2" xfId="1445" xr:uid="{9D0762A0-8074-4AFB-BF23-7ECC8FC36CF6}"/>
    <cellStyle name="Normal 6 3 8" xfId="695" xr:uid="{00000000-0005-0000-0000-0000C6010000}"/>
    <cellStyle name="Normal 6 3 8 2" xfId="1535" xr:uid="{35705BC8-C5B9-4D0E-8488-389084DAED26}"/>
    <cellStyle name="Normal 6 3 9" xfId="792" xr:uid="{00000000-0005-0000-0000-0000C7010000}"/>
    <cellStyle name="Normal 6 3 9 2" xfId="1632" xr:uid="{B4013C9D-0A47-4C03-A5F9-1F6519147C16}"/>
    <cellStyle name="Normal 6 4" xfId="120" xr:uid="{00000000-0005-0000-0000-0000C8010000}"/>
    <cellStyle name="Normal 6 4 2" xfId="960" xr:uid="{7CC0275A-8AF9-4B48-B2E9-53D86CE13E33}"/>
    <cellStyle name="Normal 6 5" xfId="210" xr:uid="{00000000-0005-0000-0000-0000C9010000}"/>
    <cellStyle name="Normal 6 5 2" xfId="1050" xr:uid="{ACA21A62-A622-4BD0-BCD6-13B23B3B3398}"/>
    <cellStyle name="Normal 6 6" xfId="300" xr:uid="{00000000-0005-0000-0000-0000CA010000}"/>
    <cellStyle name="Normal 6 6 2" xfId="1140" xr:uid="{1F27C6DA-2262-45C4-BDF6-068800203F57}"/>
    <cellStyle name="Normal 6 7" xfId="390" xr:uid="{00000000-0005-0000-0000-0000CB010000}"/>
    <cellStyle name="Normal 6 7 2" xfId="1230" xr:uid="{E65F1DDC-2D57-4A46-9E29-ABA5DE162926}"/>
    <cellStyle name="Normal 6 8" xfId="480" xr:uid="{00000000-0005-0000-0000-0000CC010000}"/>
    <cellStyle name="Normal 6 8 2" xfId="1320" xr:uid="{D6574EC4-371D-4082-853E-4712833F67C3}"/>
    <cellStyle name="Normal 6 9" xfId="570" xr:uid="{00000000-0005-0000-0000-0000CD010000}"/>
    <cellStyle name="Normal 6 9 2" xfId="1410" xr:uid="{36B3F557-761C-4185-BC3B-63E0AD8C9294}"/>
    <cellStyle name="Normal 7" xfId="22" xr:uid="{00000000-0005-0000-0000-0000CE010000}"/>
    <cellStyle name="Normal 7 10" xfId="661" xr:uid="{00000000-0005-0000-0000-0000CF010000}"/>
    <cellStyle name="Normal 7 10 2" xfId="1501" xr:uid="{79240149-5403-4E81-904B-A0B5EB7A39B8}"/>
    <cellStyle name="Normal 7 11" xfId="756" xr:uid="{00000000-0005-0000-0000-0000D0010000}"/>
    <cellStyle name="Normal 7 11 2" xfId="1596" xr:uid="{BEBE0A86-D951-4502-9D7C-82B6842FA3B0}"/>
    <cellStyle name="Normal 7 12" xfId="867" xr:uid="{EA69484F-5C7D-480B-9A28-CF6A47D603C9}"/>
    <cellStyle name="Normal 7 2" xfId="44" xr:uid="{00000000-0005-0000-0000-0000D1010000}"/>
    <cellStyle name="Normal 7 2 10" xfId="776" xr:uid="{00000000-0005-0000-0000-0000D2010000}"/>
    <cellStyle name="Normal 7 2 10 2" xfId="1616" xr:uid="{B053993E-8AB6-41FF-9ADF-A7DBD9C4B1BD}"/>
    <cellStyle name="Normal 7 2 11" xfId="887" xr:uid="{58C3AA33-770E-4A0D-90A2-69CAECE639F1}"/>
    <cellStyle name="Normal 7 2 2" xfId="84" xr:uid="{00000000-0005-0000-0000-0000D3010000}"/>
    <cellStyle name="Normal 7 2 2 10" xfId="925" xr:uid="{0AAC2F5E-7D7C-49B0-B85A-96556BE9661A}"/>
    <cellStyle name="Normal 7 2 2 2" xfId="177" xr:uid="{00000000-0005-0000-0000-0000D4010000}"/>
    <cellStyle name="Normal 7 2 2 2 2" xfId="1017" xr:uid="{D9CAB6DF-9096-4CE5-BCE3-1BF3FAD5858A}"/>
    <cellStyle name="Normal 7 2 2 3" xfId="267" xr:uid="{00000000-0005-0000-0000-0000D5010000}"/>
    <cellStyle name="Normal 7 2 2 3 2" xfId="1107" xr:uid="{620C6D24-F5D4-4B83-8726-161ECE4FB1C0}"/>
    <cellStyle name="Normal 7 2 2 4" xfId="357" xr:uid="{00000000-0005-0000-0000-0000D6010000}"/>
    <cellStyle name="Normal 7 2 2 4 2" xfId="1197" xr:uid="{F0896C9D-FEB6-417E-9D93-A762DAC7D80D}"/>
    <cellStyle name="Normal 7 2 2 5" xfId="447" xr:uid="{00000000-0005-0000-0000-0000D7010000}"/>
    <cellStyle name="Normal 7 2 2 5 2" xfId="1287" xr:uid="{B555A8E1-6F76-4395-B546-89270CDB704D}"/>
    <cellStyle name="Normal 7 2 2 6" xfId="537" xr:uid="{00000000-0005-0000-0000-0000D8010000}"/>
    <cellStyle name="Normal 7 2 2 6 2" xfId="1377" xr:uid="{0732532D-0CDC-4578-BC03-E79AF431CC06}"/>
    <cellStyle name="Normal 7 2 2 7" xfId="627" xr:uid="{00000000-0005-0000-0000-0000D9010000}"/>
    <cellStyle name="Normal 7 2 2 7 2" xfId="1467" xr:uid="{65991C5B-07A8-47E0-BF79-8FB592419749}"/>
    <cellStyle name="Normal 7 2 2 8" xfId="717" xr:uid="{00000000-0005-0000-0000-0000DA010000}"/>
    <cellStyle name="Normal 7 2 2 8 2" xfId="1557" xr:uid="{E863D707-F031-482F-922E-102008B26E69}"/>
    <cellStyle name="Normal 7 2 2 9" xfId="814" xr:uid="{00000000-0005-0000-0000-0000DB010000}"/>
    <cellStyle name="Normal 7 2 2 9 2" xfId="1654" xr:uid="{22D22F47-41E0-4CAD-9F97-D3523CD60A3D}"/>
    <cellStyle name="Normal 7 2 3" xfId="140" xr:uid="{00000000-0005-0000-0000-0000DC010000}"/>
    <cellStyle name="Normal 7 2 3 2" xfId="980" xr:uid="{EA85F2D5-0FC4-476A-A702-98CA49B51E6C}"/>
    <cellStyle name="Normal 7 2 4" xfId="230" xr:uid="{00000000-0005-0000-0000-0000DD010000}"/>
    <cellStyle name="Normal 7 2 4 2" xfId="1070" xr:uid="{840C87DB-ACB7-457D-B3CC-FC394810EE0E}"/>
    <cellStyle name="Normal 7 2 5" xfId="320" xr:uid="{00000000-0005-0000-0000-0000DE010000}"/>
    <cellStyle name="Normal 7 2 5 2" xfId="1160" xr:uid="{170CFE62-D61B-4088-9623-E6DFD8E4155B}"/>
    <cellStyle name="Normal 7 2 6" xfId="410" xr:uid="{00000000-0005-0000-0000-0000DF010000}"/>
    <cellStyle name="Normal 7 2 6 2" xfId="1250" xr:uid="{A6757C50-4C6C-4984-9AA5-DE6F9BA6DE38}"/>
    <cellStyle name="Normal 7 2 7" xfId="500" xr:uid="{00000000-0005-0000-0000-0000E0010000}"/>
    <cellStyle name="Normal 7 2 7 2" xfId="1340" xr:uid="{0143F630-CD15-43F3-A772-212B05BCE9B1}"/>
    <cellStyle name="Normal 7 2 8" xfId="590" xr:uid="{00000000-0005-0000-0000-0000E1010000}"/>
    <cellStyle name="Normal 7 2 8 2" xfId="1430" xr:uid="{2D24FA73-DE8F-473D-876B-7A565853B4CA}"/>
    <cellStyle name="Normal 7 2 9" xfId="680" xr:uid="{00000000-0005-0000-0000-0000E2010000}"/>
    <cellStyle name="Normal 7 2 9 2" xfId="1520" xr:uid="{CE76FC95-2194-4B67-8323-70BBCB4D359F}"/>
    <cellStyle name="Normal 7 3" xfId="65" xr:uid="{00000000-0005-0000-0000-0000E3010000}"/>
    <cellStyle name="Normal 7 3 10" xfId="906" xr:uid="{71C33DBC-C740-4F36-ADF6-04877A341901}"/>
    <cellStyle name="Normal 7 3 2" xfId="158" xr:uid="{00000000-0005-0000-0000-0000E4010000}"/>
    <cellStyle name="Normal 7 3 2 2" xfId="998" xr:uid="{9B24CF38-D768-48A0-BDA6-F2F00D44FDF0}"/>
    <cellStyle name="Normal 7 3 3" xfId="248" xr:uid="{00000000-0005-0000-0000-0000E5010000}"/>
    <cellStyle name="Normal 7 3 3 2" xfId="1088" xr:uid="{89DA4284-6FF1-4FA8-B426-0CBCCFBB58E8}"/>
    <cellStyle name="Normal 7 3 4" xfId="338" xr:uid="{00000000-0005-0000-0000-0000E6010000}"/>
    <cellStyle name="Normal 7 3 4 2" xfId="1178" xr:uid="{FFF6E81C-E671-4901-A36B-DA34479C88DE}"/>
    <cellStyle name="Normal 7 3 5" xfId="428" xr:uid="{00000000-0005-0000-0000-0000E7010000}"/>
    <cellStyle name="Normal 7 3 5 2" xfId="1268" xr:uid="{0EBA4C87-42EA-4ED0-AA76-2559CF8244A2}"/>
    <cellStyle name="Normal 7 3 6" xfId="518" xr:uid="{00000000-0005-0000-0000-0000E8010000}"/>
    <cellStyle name="Normal 7 3 6 2" xfId="1358" xr:uid="{B0DF2B92-CBEE-46ED-AF88-869543331952}"/>
    <cellStyle name="Normal 7 3 7" xfId="608" xr:uid="{00000000-0005-0000-0000-0000E9010000}"/>
    <cellStyle name="Normal 7 3 7 2" xfId="1448" xr:uid="{A128411D-7F94-4C14-B333-CB37F420330D}"/>
    <cellStyle name="Normal 7 3 8" xfId="698" xr:uid="{00000000-0005-0000-0000-0000EA010000}"/>
    <cellStyle name="Normal 7 3 8 2" xfId="1538" xr:uid="{3C062119-457D-4A95-A8A9-D5DD549148FE}"/>
    <cellStyle name="Normal 7 3 9" xfId="795" xr:uid="{00000000-0005-0000-0000-0000EB010000}"/>
    <cellStyle name="Normal 7 3 9 2" xfId="1635" xr:uid="{374D1F39-168C-487C-90A5-13AFBC8FD18E}"/>
    <cellStyle name="Normal 7 4" xfId="121" xr:uid="{00000000-0005-0000-0000-0000EC010000}"/>
    <cellStyle name="Normal 7 4 2" xfId="961" xr:uid="{9A05D8D6-EC42-430E-B1F8-35B5BF5CBB33}"/>
    <cellStyle name="Normal 7 5" xfId="211" xr:uid="{00000000-0005-0000-0000-0000ED010000}"/>
    <cellStyle name="Normal 7 5 2" xfId="1051" xr:uid="{D7C50511-734D-4B76-BAAD-DDB3514C045C}"/>
    <cellStyle name="Normal 7 6" xfId="301" xr:uid="{00000000-0005-0000-0000-0000EE010000}"/>
    <cellStyle name="Normal 7 6 2" xfId="1141" xr:uid="{99F8F8AB-D250-4C94-86BD-0058458E1623}"/>
    <cellStyle name="Normal 7 7" xfId="391" xr:uid="{00000000-0005-0000-0000-0000EF010000}"/>
    <cellStyle name="Normal 7 7 2" xfId="1231" xr:uid="{E2A1591C-D0C2-4E25-B186-27F8EA809984}"/>
    <cellStyle name="Normal 7 8" xfId="481" xr:uid="{00000000-0005-0000-0000-0000F0010000}"/>
    <cellStyle name="Normal 7 8 2" xfId="1321" xr:uid="{2FEC6A12-0CB2-4C9B-BF11-5574494F4E88}"/>
    <cellStyle name="Normal 7 9" xfId="571" xr:uid="{00000000-0005-0000-0000-0000F1010000}"/>
    <cellStyle name="Normal 7 9 2" xfId="1411" xr:uid="{09B12FB6-2A1B-4AD9-976F-CBC0A3CFB657}"/>
    <cellStyle name="Normal 8" xfId="25" xr:uid="{00000000-0005-0000-0000-0000F2010000}"/>
    <cellStyle name="Normal 8 10" xfId="664" xr:uid="{00000000-0005-0000-0000-0000F3010000}"/>
    <cellStyle name="Normal 8 10 2" xfId="1504" xr:uid="{A043D3E6-469F-4B7C-8BB0-7879568E302F}"/>
    <cellStyle name="Normal 8 11" xfId="759" xr:uid="{00000000-0005-0000-0000-0000F4010000}"/>
    <cellStyle name="Normal 8 11 2" xfId="1599" xr:uid="{D29D81D3-E69D-40AA-AA18-B77E005062EE}"/>
    <cellStyle name="Normal 8 12" xfId="870" xr:uid="{F4E1AC9B-AF92-4F98-98E5-D1F4C34117D9}"/>
    <cellStyle name="Normal 8 2" xfId="47" xr:uid="{00000000-0005-0000-0000-0000F5010000}"/>
    <cellStyle name="Normal 8 2 10" xfId="779" xr:uid="{00000000-0005-0000-0000-0000F6010000}"/>
    <cellStyle name="Normal 8 2 10 2" xfId="1619" xr:uid="{8AE20084-3EB2-464D-A5D5-B1F1C481734A}"/>
    <cellStyle name="Normal 8 2 11" xfId="890" xr:uid="{0A16D77A-A835-4386-9760-3D3A286D6471}"/>
    <cellStyle name="Normal 8 2 2" xfId="87" xr:uid="{00000000-0005-0000-0000-0000F7010000}"/>
    <cellStyle name="Normal 8 2 2 10" xfId="928" xr:uid="{F986600D-CD4F-482B-AF6F-4C0E41FE4EEE}"/>
    <cellStyle name="Normal 8 2 2 2" xfId="180" xr:uid="{00000000-0005-0000-0000-0000F8010000}"/>
    <cellStyle name="Normal 8 2 2 2 2" xfId="1020" xr:uid="{69FF54C6-BDA7-4C17-8A94-E39A50329AEC}"/>
    <cellStyle name="Normal 8 2 2 3" xfId="270" xr:uid="{00000000-0005-0000-0000-0000F9010000}"/>
    <cellStyle name="Normal 8 2 2 3 2" xfId="1110" xr:uid="{8A315F8D-8349-4768-A9FC-B99C846ED1B0}"/>
    <cellStyle name="Normal 8 2 2 4" xfId="360" xr:uid="{00000000-0005-0000-0000-0000FA010000}"/>
    <cellStyle name="Normal 8 2 2 4 2" xfId="1200" xr:uid="{14C53DA5-D7FE-40A0-8FAA-DAD46A1EAF67}"/>
    <cellStyle name="Normal 8 2 2 5" xfId="450" xr:uid="{00000000-0005-0000-0000-0000FB010000}"/>
    <cellStyle name="Normal 8 2 2 5 2" xfId="1290" xr:uid="{6CE6AA68-15D2-41BE-8061-7CF3C955AE1F}"/>
    <cellStyle name="Normal 8 2 2 6" xfId="540" xr:uid="{00000000-0005-0000-0000-0000FC010000}"/>
    <cellStyle name="Normal 8 2 2 6 2" xfId="1380" xr:uid="{20C2CCCF-8FBD-4DE3-9AE7-741CF58682C1}"/>
    <cellStyle name="Normal 8 2 2 7" xfId="630" xr:uid="{00000000-0005-0000-0000-0000FD010000}"/>
    <cellStyle name="Normal 8 2 2 7 2" xfId="1470" xr:uid="{3E9FBD5D-9657-4928-8BF8-74127E1D9F88}"/>
    <cellStyle name="Normal 8 2 2 8" xfId="720" xr:uid="{00000000-0005-0000-0000-0000FE010000}"/>
    <cellStyle name="Normal 8 2 2 8 2" xfId="1560" xr:uid="{6926ABF7-0A30-4325-9131-E392ADF80F15}"/>
    <cellStyle name="Normal 8 2 2 9" xfId="817" xr:uid="{00000000-0005-0000-0000-0000FF010000}"/>
    <cellStyle name="Normal 8 2 2 9 2" xfId="1657" xr:uid="{35C34574-9DF5-4780-8D73-D1E00E44441D}"/>
    <cellStyle name="Normal 8 2 3" xfId="143" xr:uid="{00000000-0005-0000-0000-000000020000}"/>
    <cellStyle name="Normal 8 2 3 2" xfId="983" xr:uid="{BC0CDC1D-57F6-4DF8-BDDC-CA91555D9587}"/>
    <cellStyle name="Normal 8 2 4" xfId="233" xr:uid="{00000000-0005-0000-0000-000001020000}"/>
    <cellStyle name="Normal 8 2 4 2" xfId="1073" xr:uid="{1E562361-8BC7-4E76-B503-4C660DCB66C2}"/>
    <cellStyle name="Normal 8 2 5" xfId="323" xr:uid="{00000000-0005-0000-0000-000002020000}"/>
    <cellStyle name="Normal 8 2 5 2" xfId="1163" xr:uid="{4F0CDE45-8FA7-461B-9826-371B3F909F28}"/>
    <cellStyle name="Normal 8 2 6" xfId="413" xr:uid="{00000000-0005-0000-0000-000003020000}"/>
    <cellStyle name="Normal 8 2 6 2" xfId="1253" xr:uid="{C803B059-C06D-4C96-B9B4-806A00606792}"/>
    <cellStyle name="Normal 8 2 7" xfId="503" xr:uid="{00000000-0005-0000-0000-000004020000}"/>
    <cellStyle name="Normal 8 2 7 2" xfId="1343" xr:uid="{A8A76A06-ED89-4C45-A433-792CDF831DE4}"/>
    <cellStyle name="Normal 8 2 8" xfId="593" xr:uid="{00000000-0005-0000-0000-000005020000}"/>
    <cellStyle name="Normal 8 2 8 2" xfId="1433" xr:uid="{380B5C97-3483-4430-AF8F-7AC44D181835}"/>
    <cellStyle name="Normal 8 2 9" xfId="683" xr:uid="{00000000-0005-0000-0000-000006020000}"/>
    <cellStyle name="Normal 8 2 9 2" xfId="1523" xr:uid="{849D129C-5E17-4684-9E10-8FCA774C125C}"/>
    <cellStyle name="Normal 8 3" xfId="68" xr:uid="{00000000-0005-0000-0000-000007020000}"/>
    <cellStyle name="Normal 8 3 10" xfId="909" xr:uid="{22F445C4-5DA0-4C75-B207-E1D2A60EE6A7}"/>
    <cellStyle name="Normal 8 3 2" xfId="161" xr:uid="{00000000-0005-0000-0000-000008020000}"/>
    <cellStyle name="Normal 8 3 2 2" xfId="1001" xr:uid="{6BE559C9-B879-4281-8956-E978A5CA8CBF}"/>
    <cellStyle name="Normal 8 3 3" xfId="251" xr:uid="{00000000-0005-0000-0000-000009020000}"/>
    <cellStyle name="Normal 8 3 3 2" xfId="1091" xr:uid="{6EC56E87-2F8B-437F-9671-FC6B1ECBCBEA}"/>
    <cellStyle name="Normal 8 3 4" xfId="341" xr:uid="{00000000-0005-0000-0000-00000A020000}"/>
    <cellStyle name="Normal 8 3 4 2" xfId="1181" xr:uid="{28E8158E-CC22-459C-8C0C-D98172B1338C}"/>
    <cellStyle name="Normal 8 3 5" xfId="431" xr:uid="{00000000-0005-0000-0000-00000B020000}"/>
    <cellStyle name="Normal 8 3 5 2" xfId="1271" xr:uid="{E58E1F4B-1441-4641-9AD2-A50FE3067250}"/>
    <cellStyle name="Normal 8 3 6" xfId="521" xr:uid="{00000000-0005-0000-0000-00000C020000}"/>
    <cellStyle name="Normal 8 3 6 2" xfId="1361" xr:uid="{1E78FA3D-BA2B-42C9-84CF-C95BDBA93496}"/>
    <cellStyle name="Normal 8 3 7" xfId="611" xr:uid="{00000000-0005-0000-0000-00000D020000}"/>
    <cellStyle name="Normal 8 3 7 2" xfId="1451" xr:uid="{9CB768D8-E413-460C-ADA7-65BE2FE8C962}"/>
    <cellStyle name="Normal 8 3 8" xfId="701" xr:uid="{00000000-0005-0000-0000-00000E020000}"/>
    <cellStyle name="Normal 8 3 8 2" xfId="1541" xr:uid="{41694B1B-1A31-4CF6-BF4A-BBA783614385}"/>
    <cellStyle name="Normal 8 3 9" xfId="798" xr:uid="{00000000-0005-0000-0000-00000F020000}"/>
    <cellStyle name="Normal 8 3 9 2" xfId="1638" xr:uid="{50108DEF-6E01-4262-B417-8701BEBDC0BE}"/>
    <cellStyle name="Normal 8 4" xfId="124" xr:uid="{00000000-0005-0000-0000-000010020000}"/>
    <cellStyle name="Normal 8 4 2" xfId="964" xr:uid="{B8F33BC6-0A9A-4BA5-AE5C-A0AB3DA93115}"/>
    <cellStyle name="Normal 8 5" xfId="214" xr:uid="{00000000-0005-0000-0000-000011020000}"/>
    <cellStyle name="Normal 8 5 2" xfId="1054" xr:uid="{974DE7E9-96EE-4E74-BED7-43E59D562977}"/>
    <cellStyle name="Normal 8 6" xfId="304" xr:uid="{00000000-0005-0000-0000-000012020000}"/>
    <cellStyle name="Normal 8 6 2" xfId="1144" xr:uid="{03409A05-F83D-4523-B7D3-C340889738E2}"/>
    <cellStyle name="Normal 8 7" xfId="394" xr:uid="{00000000-0005-0000-0000-000013020000}"/>
    <cellStyle name="Normal 8 7 2" xfId="1234" xr:uid="{E374F5B6-AB4A-4286-9B68-15E52637C356}"/>
    <cellStyle name="Normal 8 8" xfId="484" xr:uid="{00000000-0005-0000-0000-000014020000}"/>
    <cellStyle name="Normal 8 8 2" xfId="1324" xr:uid="{B47CC38B-F7CB-4166-836F-71CBED01253A}"/>
    <cellStyle name="Normal 8 9" xfId="574" xr:uid="{00000000-0005-0000-0000-000015020000}"/>
    <cellStyle name="Normal 8 9 2" xfId="1414" xr:uid="{C2BA9582-06AD-4911-9CC4-B92148053E24}"/>
    <cellStyle name="Normal 9" xfId="28" xr:uid="{00000000-0005-0000-0000-000016020000}"/>
    <cellStyle name="Normal 9 10" xfId="667" xr:uid="{00000000-0005-0000-0000-000017020000}"/>
    <cellStyle name="Normal 9 10 2" xfId="1507" xr:uid="{3BC16AF3-D2FA-471E-BC73-34851014DCDE}"/>
    <cellStyle name="Normal 9 11" xfId="762" xr:uid="{00000000-0005-0000-0000-000018020000}"/>
    <cellStyle name="Normal 9 11 2" xfId="1602" xr:uid="{24367C87-3341-414C-B1A7-3D666807AD40}"/>
    <cellStyle name="Normal 9 12" xfId="873" xr:uid="{06D0C6AD-A5D8-434D-B03C-DB3F5B7B4B6E}"/>
    <cellStyle name="Normal 9 2" xfId="50" xr:uid="{00000000-0005-0000-0000-000019020000}"/>
    <cellStyle name="Normal 9 2 10" xfId="782" xr:uid="{00000000-0005-0000-0000-00001A020000}"/>
    <cellStyle name="Normal 9 2 10 2" xfId="1622" xr:uid="{ADAE013B-8E73-444E-A2AE-90C3F46B7FC5}"/>
    <cellStyle name="Normal 9 2 11" xfId="893" xr:uid="{D3AE37D4-73C5-4A2A-B7D5-959D47B3AE87}"/>
    <cellStyle name="Normal 9 2 2" xfId="90" xr:uid="{00000000-0005-0000-0000-00001B020000}"/>
    <cellStyle name="Normal 9 2 2 10" xfId="931" xr:uid="{78A6DAEA-CEE5-4FA3-8D48-F4EB09222C0E}"/>
    <cellStyle name="Normal 9 2 2 2" xfId="183" xr:uid="{00000000-0005-0000-0000-00001C020000}"/>
    <cellStyle name="Normal 9 2 2 2 2" xfId="1023" xr:uid="{B9D619C7-6725-4145-BFC5-1DD0F4AE53C1}"/>
    <cellStyle name="Normal 9 2 2 3" xfId="273" xr:uid="{00000000-0005-0000-0000-00001D020000}"/>
    <cellStyle name="Normal 9 2 2 3 2" xfId="1113" xr:uid="{9F53179A-DEE0-48DF-8607-0C0EC5199BED}"/>
    <cellStyle name="Normal 9 2 2 4" xfId="363" xr:uid="{00000000-0005-0000-0000-00001E020000}"/>
    <cellStyle name="Normal 9 2 2 4 2" xfId="1203" xr:uid="{ED8BFC0C-1830-4BA8-807E-CA200FEF810B}"/>
    <cellStyle name="Normal 9 2 2 5" xfId="453" xr:uid="{00000000-0005-0000-0000-00001F020000}"/>
    <cellStyle name="Normal 9 2 2 5 2" xfId="1293" xr:uid="{3B597434-F915-4776-8084-E8AEECD1D041}"/>
    <cellStyle name="Normal 9 2 2 6" xfId="543" xr:uid="{00000000-0005-0000-0000-000020020000}"/>
    <cellStyle name="Normal 9 2 2 6 2" xfId="1383" xr:uid="{56568AB8-F2E8-4340-A118-646C91996914}"/>
    <cellStyle name="Normal 9 2 2 7" xfId="633" xr:uid="{00000000-0005-0000-0000-000021020000}"/>
    <cellStyle name="Normal 9 2 2 7 2" xfId="1473" xr:uid="{012EFB14-0939-4AA9-B6EB-E9CA2AD0DD9F}"/>
    <cellStyle name="Normal 9 2 2 8" xfId="723" xr:uid="{00000000-0005-0000-0000-000022020000}"/>
    <cellStyle name="Normal 9 2 2 8 2" xfId="1563" xr:uid="{E15DE1F0-388F-475B-92C6-86D7309E2EC0}"/>
    <cellStyle name="Normal 9 2 2 9" xfId="820" xr:uid="{00000000-0005-0000-0000-000023020000}"/>
    <cellStyle name="Normal 9 2 2 9 2" xfId="1660" xr:uid="{9F6FA1D0-2859-45DE-97D9-FFC8D4BAA711}"/>
    <cellStyle name="Normal 9 2 3" xfId="146" xr:uid="{00000000-0005-0000-0000-000024020000}"/>
    <cellStyle name="Normal 9 2 3 2" xfId="986" xr:uid="{B491E3B1-6C46-4FF7-9812-669522FC4E0F}"/>
    <cellStyle name="Normal 9 2 4" xfId="236" xr:uid="{00000000-0005-0000-0000-000025020000}"/>
    <cellStyle name="Normal 9 2 4 2" xfId="1076" xr:uid="{3D18D019-E3A0-4336-AC3E-8B7ED6E583B0}"/>
    <cellStyle name="Normal 9 2 5" xfId="326" xr:uid="{00000000-0005-0000-0000-000026020000}"/>
    <cellStyle name="Normal 9 2 5 2" xfId="1166" xr:uid="{AD219863-F7D5-4F67-BA7D-91A08DF208F3}"/>
    <cellStyle name="Normal 9 2 6" xfId="416" xr:uid="{00000000-0005-0000-0000-000027020000}"/>
    <cellStyle name="Normal 9 2 6 2" xfId="1256" xr:uid="{6DAE4593-A4AD-412C-8DB7-EC8205166387}"/>
    <cellStyle name="Normal 9 2 7" xfId="506" xr:uid="{00000000-0005-0000-0000-000028020000}"/>
    <cellStyle name="Normal 9 2 7 2" xfId="1346" xr:uid="{696570F5-0931-425B-A560-49FEA1977AA5}"/>
    <cellStyle name="Normal 9 2 8" xfId="596" xr:uid="{00000000-0005-0000-0000-000029020000}"/>
    <cellStyle name="Normal 9 2 8 2" xfId="1436" xr:uid="{C4008C7A-50E1-4B4F-AA00-84BCC79B292A}"/>
    <cellStyle name="Normal 9 2 9" xfId="686" xr:uid="{00000000-0005-0000-0000-00002A020000}"/>
    <cellStyle name="Normal 9 2 9 2" xfId="1526" xr:uid="{CF68AA5D-8768-4323-A13C-5B506354151D}"/>
    <cellStyle name="Normal 9 3" xfId="71" xr:uid="{00000000-0005-0000-0000-00002B020000}"/>
    <cellStyle name="Normal 9 3 10" xfId="912" xr:uid="{2B2C9CF5-1CDD-4A19-B528-7549FEF40EA9}"/>
    <cellStyle name="Normal 9 3 2" xfId="164" xr:uid="{00000000-0005-0000-0000-00002C020000}"/>
    <cellStyle name="Normal 9 3 2 2" xfId="1004" xr:uid="{7A1BEBD5-DECB-4ECC-BF1D-EDAF2DD72C7B}"/>
    <cellStyle name="Normal 9 3 3" xfId="254" xr:uid="{00000000-0005-0000-0000-00002D020000}"/>
    <cellStyle name="Normal 9 3 3 2" xfId="1094" xr:uid="{DE6C0272-471B-4C1E-ACC9-3A3A38662D9B}"/>
    <cellStyle name="Normal 9 3 4" xfId="344" xr:uid="{00000000-0005-0000-0000-00002E020000}"/>
    <cellStyle name="Normal 9 3 4 2" xfId="1184" xr:uid="{791C976C-D2B8-4507-80A1-AA00098843EC}"/>
    <cellStyle name="Normal 9 3 5" xfId="434" xr:uid="{00000000-0005-0000-0000-00002F020000}"/>
    <cellStyle name="Normal 9 3 5 2" xfId="1274" xr:uid="{58D0D37A-CDD7-46B4-A4E4-21BB1A1819FA}"/>
    <cellStyle name="Normal 9 3 6" xfId="524" xr:uid="{00000000-0005-0000-0000-000030020000}"/>
    <cellStyle name="Normal 9 3 6 2" xfId="1364" xr:uid="{B49877ED-1179-4FDC-A23B-AEE4AD5B6BD1}"/>
    <cellStyle name="Normal 9 3 7" xfId="614" xr:uid="{00000000-0005-0000-0000-000031020000}"/>
    <cellStyle name="Normal 9 3 7 2" xfId="1454" xr:uid="{92331CE8-AB59-4843-8BE7-2903BB06532A}"/>
    <cellStyle name="Normal 9 3 8" xfId="704" xr:uid="{00000000-0005-0000-0000-000032020000}"/>
    <cellStyle name="Normal 9 3 8 2" xfId="1544" xr:uid="{CF0113BA-CAD7-4DD5-8945-0DCBF0DC079B}"/>
    <cellStyle name="Normal 9 3 9" xfId="801" xr:uid="{00000000-0005-0000-0000-000033020000}"/>
    <cellStyle name="Normal 9 3 9 2" xfId="1641" xr:uid="{89CDBC57-2205-4339-9D24-7512092BBCA2}"/>
    <cellStyle name="Normal 9 4" xfId="127" xr:uid="{00000000-0005-0000-0000-000034020000}"/>
    <cellStyle name="Normal 9 4 2" xfId="967" xr:uid="{F14C3054-3CAB-4F5E-ADD1-0A0FB6ED82C8}"/>
    <cellStyle name="Normal 9 5" xfId="217" xr:uid="{00000000-0005-0000-0000-000035020000}"/>
    <cellStyle name="Normal 9 5 2" xfId="1057" xr:uid="{DF069DBE-4D34-4485-B25F-00A54712473B}"/>
    <cellStyle name="Normal 9 6" xfId="307" xr:uid="{00000000-0005-0000-0000-000036020000}"/>
    <cellStyle name="Normal 9 6 2" xfId="1147" xr:uid="{5A01CAEE-F1A8-429B-85BF-BA8271FCBBC9}"/>
    <cellStyle name="Normal 9 7" xfId="397" xr:uid="{00000000-0005-0000-0000-000037020000}"/>
    <cellStyle name="Normal 9 7 2" xfId="1237" xr:uid="{941E7AC8-60AB-4DFD-B39F-EECD53E46EEC}"/>
    <cellStyle name="Normal 9 8" xfId="487" xr:uid="{00000000-0005-0000-0000-000038020000}"/>
    <cellStyle name="Normal 9 8 2" xfId="1327" xr:uid="{3FB7DA78-DF59-44CC-ADE7-BA60630D4F9D}"/>
    <cellStyle name="Normal 9 9" xfId="577" xr:uid="{00000000-0005-0000-0000-000039020000}"/>
    <cellStyle name="Normal 9 9 2" xfId="1417" xr:uid="{6CC018DE-9B3E-4F2C-946A-04250B93177C}"/>
    <cellStyle name="Normal_Forslag" xfId="845" xr:uid="{00000000-0005-0000-0000-00003A020000}"/>
    <cellStyle name="Normal_Forslag 2" xfId="848" xr:uid="{00000000-0005-0000-0000-00003B020000}"/>
    <cellStyle name="Prosent" xfId="853" builtinId="5"/>
    <cellStyle name="Tusenskille 2" xfId="14" xr:uid="{00000000-0005-0000-0000-00003C020000}"/>
    <cellStyle name="Tusenskille 2 2" xfId="15" xr:uid="{00000000-0005-0000-0000-00003D020000}"/>
    <cellStyle name="Tusenskille 2 2 2" xfId="751" xr:uid="{00000000-0005-0000-0000-00003E020000}"/>
    <cellStyle name="Tusenskille 2 2 2 2" xfId="1591" xr:uid="{E4F74A0F-5A5B-4FE0-A980-D4503F43E513}"/>
    <cellStyle name="Tusenskille 2 2 3" xfId="849" xr:uid="{F77FA10F-B946-43D0-BDB2-55CEFCE8EA1F}"/>
    <cellStyle name="Tusenskille 2 2 3 2" xfId="1686" xr:uid="{684DB664-224A-4F19-9E4E-4EC22A45D4C6}"/>
    <cellStyle name="Tusenskille 2 2 4" xfId="862" xr:uid="{BF4C28A0-A992-4300-87C5-BE80AAC1F170}"/>
    <cellStyle name="Tusenskille 2 3" xfId="21" xr:uid="{00000000-0005-0000-0000-00003F020000}"/>
    <cellStyle name="Tusenskille 2 3 2" xfId="755" xr:uid="{00000000-0005-0000-0000-000040020000}"/>
    <cellStyle name="Tusenskille 2 3 2 2" xfId="1595" xr:uid="{9AD17E4A-1898-45BA-AB43-5ABC6D927852}"/>
    <cellStyle name="Tusenskille 2 3 3" xfId="866" xr:uid="{C14A93B7-D72F-421F-8D33-23F5F9673746}"/>
    <cellStyle name="Tusenskille 2 4" xfId="40" xr:uid="{00000000-0005-0000-0000-000041020000}"/>
    <cellStyle name="Tusenskille 2 4 2" xfId="772" xr:uid="{00000000-0005-0000-0000-000042020000}"/>
    <cellStyle name="Tusenskille 2 4 2 2" xfId="1612" xr:uid="{898A14BB-E19D-4C18-A9C1-BDE3DEEC6AAF}"/>
    <cellStyle name="Tusenskille 2 4 3" xfId="883" xr:uid="{37F00717-E2B3-430E-9BCC-142D92CE2364}"/>
    <cellStyle name="Tusenskille 2 5" xfId="61" xr:uid="{00000000-0005-0000-0000-000043020000}"/>
    <cellStyle name="Tusenskille 2 5 2" xfId="791" xr:uid="{00000000-0005-0000-0000-000044020000}"/>
    <cellStyle name="Tusenskille 2 5 2 2" xfId="1631" xr:uid="{0A5A0A53-8691-4306-AFE3-BB0E805B369A}"/>
    <cellStyle name="Tusenskille 2 5 3" xfId="902" xr:uid="{DB2FA3B8-652F-43F7-847C-6DE3546A1004}"/>
    <cellStyle name="Tusenskille 2 6" xfId="750" xr:uid="{00000000-0005-0000-0000-000045020000}"/>
    <cellStyle name="Tusenskille 2 6 2" xfId="1590" xr:uid="{87C58470-F4CE-478B-8F2D-5673E44E194A}"/>
    <cellStyle name="Tusenskille 2 7" xfId="861" xr:uid="{27C100E2-04FE-4C17-AD72-AB62C1327CC1}"/>
    <cellStyle name="Tusenskille 3" xfId="16" xr:uid="{00000000-0005-0000-0000-000046020000}"/>
    <cellStyle name="Tusenskille 3 10" xfId="105" xr:uid="{00000000-0005-0000-0000-000047020000}"/>
    <cellStyle name="Tusenskille 3 10 10" xfId="945" xr:uid="{94CB2062-2AC5-4A48-B313-E357FC69FC3C}"/>
    <cellStyle name="Tusenskille 3 10 2" xfId="197" xr:uid="{00000000-0005-0000-0000-000048020000}"/>
    <cellStyle name="Tusenskille 3 10 2 2" xfId="1037" xr:uid="{AD2D7510-825B-485A-9F7D-627499CFB5F4}"/>
    <cellStyle name="Tusenskille 3 10 3" xfId="287" xr:uid="{00000000-0005-0000-0000-000049020000}"/>
    <cellStyle name="Tusenskille 3 10 3 2" xfId="1127" xr:uid="{44C17D28-CFE0-4F40-B6B1-8A635F913D5A}"/>
    <cellStyle name="Tusenskille 3 10 4" xfId="377" xr:uid="{00000000-0005-0000-0000-00004A020000}"/>
    <cellStyle name="Tusenskille 3 10 4 2" xfId="1217" xr:uid="{CA22BC40-5D95-4777-8944-8619D722DB52}"/>
    <cellStyle name="Tusenskille 3 10 5" xfId="467" xr:uid="{00000000-0005-0000-0000-00004B020000}"/>
    <cellStyle name="Tusenskille 3 10 5 2" xfId="1307" xr:uid="{DC6296AD-58EF-46D7-A086-8047E9E8E44D}"/>
    <cellStyle name="Tusenskille 3 10 6" xfId="557" xr:uid="{00000000-0005-0000-0000-00004C020000}"/>
    <cellStyle name="Tusenskille 3 10 6 2" xfId="1397" xr:uid="{DF5C53DF-99CF-43D2-A735-2466963EA86B}"/>
    <cellStyle name="Tusenskille 3 10 7" xfId="647" xr:uid="{00000000-0005-0000-0000-00004D020000}"/>
    <cellStyle name="Tusenskille 3 10 7 2" xfId="1487" xr:uid="{F4830F7B-7AF7-49D5-9145-52871BF8AD39}"/>
    <cellStyle name="Tusenskille 3 10 8" xfId="737" xr:uid="{00000000-0005-0000-0000-00004E020000}"/>
    <cellStyle name="Tusenskille 3 10 8 2" xfId="1577" xr:uid="{7859B23B-4B58-4CC5-A6ED-9DC6A51F8C31}"/>
    <cellStyle name="Tusenskille 3 10 9" xfId="834" xr:uid="{00000000-0005-0000-0000-00004F020000}"/>
    <cellStyle name="Tusenskille 3 10 9 2" xfId="1674" xr:uid="{09A02DDA-936B-4FB0-8615-1B9B9AB9EED0}"/>
    <cellStyle name="Tusenskille 3 11" xfId="108" xr:uid="{00000000-0005-0000-0000-000050020000}"/>
    <cellStyle name="Tusenskille 3 11 10" xfId="948" xr:uid="{EFB5241F-8398-4ECA-94F2-5C015D410339}"/>
    <cellStyle name="Tusenskille 3 11 2" xfId="200" xr:uid="{00000000-0005-0000-0000-000051020000}"/>
    <cellStyle name="Tusenskille 3 11 2 2" xfId="1040" xr:uid="{5719314A-7F80-44E3-882F-91B690E21123}"/>
    <cellStyle name="Tusenskille 3 11 3" xfId="290" xr:uid="{00000000-0005-0000-0000-000052020000}"/>
    <cellStyle name="Tusenskille 3 11 3 2" xfId="1130" xr:uid="{2D680373-027F-4E18-BF21-D5BADEAAC118}"/>
    <cellStyle name="Tusenskille 3 11 4" xfId="380" xr:uid="{00000000-0005-0000-0000-000053020000}"/>
    <cellStyle name="Tusenskille 3 11 4 2" xfId="1220" xr:uid="{C26745C2-6FF7-41ED-BBDA-4F3175877CE3}"/>
    <cellStyle name="Tusenskille 3 11 5" xfId="470" xr:uid="{00000000-0005-0000-0000-000054020000}"/>
    <cellStyle name="Tusenskille 3 11 5 2" xfId="1310" xr:uid="{9824E1A5-76E1-4D0C-8FE1-8A445E9C45A8}"/>
    <cellStyle name="Tusenskille 3 11 6" xfId="560" xr:uid="{00000000-0005-0000-0000-000055020000}"/>
    <cellStyle name="Tusenskille 3 11 6 2" xfId="1400" xr:uid="{EE7A9DDF-B0CE-4315-96F6-F63816911AED}"/>
    <cellStyle name="Tusenskille 3 11 7" xfId="650" xr:uid="{00000000-0005-0000-0000-000056020000}"/>
    <cellStyle name="Tusenskille 3 11 7 2" xfId="1490" xr:uid="{8493416F-4A46-405B-B634-96286C608615}"/>
    <cellStyle name="Tusenskille 3 11 8" xfId="740" xr:uid="{00000000-0005-0000-0000-000057020000}"/>
    <cellStyle name="Tusenskille 3 11 8 2" xfId="1580" xr:uid="{5C2C90E9-BFB5-41D7-BFA3-2C4FB56DB48A}"/>
    <cellStyle name="Tusenskille 3 11 9" xfId="837" xr:uid="{00000000-0005-0000-0000-000058020000}"/>
    <cellStyle name="Tusenskille 3 11 9 2" xfId="1677" xr:uid="{D45AB203-67DD-436A-8A4E-78053AD06C33}"/>
    <cellStyle name="Tusenskille 3 12" xfId="111" xr:uid="{00000000-0005-0000-0000-000059020000}"/>
    <cellStyle name="Tusenskille 3 12 10" xfId="951" xr:uid="{A30478AC-6DA8-4304-8599-CF4C3A97196F}"/>
    <cellStyle name="Tusenskille 3 12 2" xfId="203" xr:uid="{00000000-0005-0000-0000-00005A020000}"/>
    <cellStyle name="Tusenskille 3 12 2 2" xfId="1043" xr:uid="{46C0B07E-A625-411E-9A8F-56D61DFE79FF}"/>
    <cellStyle name="Tusenskille 3 12 3" xfId="293" xr:uid="{00000000-0005-0000-0000-00005B020000}"/>
    <cellStyle name="Tusenskille 3 12 3 2" xfId="1133" xr:uid="{97C4B2AC-9520-4326-A29F-EE8015B3AB62}"/>
    <cellStyle name="Tusenskille 3 12 4" xfId="383" xr:uid="{00000000-0005-0000-0000-00005C020000}"/>
    <cellStyle name="Tusenskille 3 12 4 2" xfId="1223" xr:uid="{742273CD-5689-49B6-BDDF-9E70A64C82AA}"/>
    <cellStyle name="Tusenskille 3 12 5" xfId="473" xr:uid="{00000000-0005-0000-0000-00005D020000}"/>
    <cellStyle name="Tusenskille 3 12 5 2" xfId="1313" xr:uid="{42E451B3-B06D-4EBA-B524-6E1E44F85132}"/>
    <cellStyle name="Tusenskille 3 12 6" xfId="563" xr:uid="{00000000-0005-0000-0000-00005E020000}"/>
    <cellStyle name="Tusenskille 3 12 6 2" xfId="1403" xr:uid="{6E6C0232-948D-46EB-8D05-FF278056042F}"/>
    <cellStyle name="Tusenskille 3 12 7" xfId="653" xr:uid="{00000000-0005-0000-0000-00005F020000}"/>
    <cellStyle name="Tusenskille 3 12 7 2" xfId="1493" xr:uid="{16D008FB-DC75-40E4-8434-1BE30B60716A}"/>
    <cellStyle name="Tusenskille 3 12 8" xfId="743" xr:uid="{00000000-0005-0000-0000-000060020000}"/>
    <cellStyle name="Tusenskille 3 12 8 2" xfId="1583" xr:uid="{31A29B37-3729-4FC3-A56D-1BBE57E86FA5}"/>
    <cellStyle name="Tusenskille 3 12 9" xfId="840" xr:uid="{00000000-0005-0000-0000-000061020000}"/>
    <cellStyle name="Tusenskille 3 12 9 2" xfId="1680" xr:uid="{F2F176F6-C6BB-4F36-800E-3BD20C2D7C68}"/>
    <cellStyle name="Tusenskille 3 13" xfId="114" xr:uid="{00000000-0005-0000-0000-000062020000}"/>
    <cellStyle name="Tusenskille 3 13 10" xfId="954" xr:uid="{86FADBB0-6578-489A-AFBC-17968162FFD8}"/>
    <cellStyle name="Tusenskille 3 13 2" xfId="206" xr:uid="{00000000-0005-0000-0000-000063020000}"/>
    <cellStyle name="Tusenskille 3 13 2 2" xfId="1046" xr:uid="{161FC820-EA7A-4D8A-A46A-7BFF632C9AC3}"/>
    <cellStyle name="Tusenskille 3 13 3" xfId="296" xr:uid="{00000000-0005-0000-0000-000064020000}"/>
    <cellStyle name="Tusenskille 3 13 3 2" xfId="1136" xr:uid="{442A5215-520E-4D29-8968-F016EB0BA223}"/>
    <cellStyle name="Tusenskille 3 13 4" xfId="386" xr:uid="{00000000-0005-0000-0000-000065020000}"/>
    <cellStyle name="Tusenskille 3 13 4 2" xfId="1226" xr:uid="{8EA44529-5DB2-457C-ACDF-5F9A111A54B0}"/>
    <cellStyle name="Tusenskille 3 13 5" xfId="476" xr:uid="{00000000-0005-0000-0000-000066020000}"/>
    <cellStyle name="Tusenskille 3 13 5 2" xfId="1316" xr:uid="{52E55DEF-EF15-45AC-891D-0B0F5B4CF09E}"/>
    <cellStyle name="Tusenskille 3 13 6" xfId="566" xr:uid="{00000000-0005-0000-0000-000067020000}"/>
    <cellStyle name="Tusenskille 3 13 6 2" xfId="1406" xr:uid="{E08C2B14-94F3-4083-B67E-A9DA3AC813CC}"/>
    <cellStyle name="Tusenskille 3 13 7" xfId="656" xr:uid="{00000000-0005-0000-0000-000068020000}"/>
    <cellStyle name="Tusenskille 3 13 7 2" xfId="1496" xr:uid="{748F4770-C70E-4085-856D-D6C7B88FCBA5}"/>
    <cellStyle name="Tusenskille 3 13 8" xfId="746" xr:uid="{00000000-0005-0000-0000-000069020000}"/>
    <cellStyle name="Tusenskille 3 13 8 2" xfId="1586" xr:uid="{7D2EABCD-FD77-4FE1-AED9-88B3AE9566DD}"/>
    <cellStyle name="Tusenskille 3 13 9" xfId="843" xr:uid="{00000000-0005-0000-0000-00006A020000}"/>
    <cellStyle name="Tusenskille 3 13 9 2" xfId="1683" xr:uid="{3C46960D-B1DC-41E8-8E5F-1330F4746CB0}"/>
    <cellStyle name="Tusenskille 3 14" xfId="119" xr:uid="{00000000-0005-0000-0000-00006B020000}"/>
    <cellStyle name="Tusenskille 3 14 2" xfId="959" xr:uid="{4FF3822E-36B6-46A8-AABA-83E3EA56BC7A}"/>
    <cellStyle name="Tusenskille 3 15" xfId="209" xr:uid="{00000000-0005-0000-0000-00006C020000}"/>
    <cellStyle name="Tusenskille 3 15 2" xfId="1049" xr:uid="{325C7B81-0B40-45FF-A072-3592AA54DDDC}"/>
    <cellStyle name="Tusenskille 3 16" xfId="299" xr:uid="{00000000-0005-0000-0000-00006D020000}"/>
    <cellStyle name="Tusenskille 3 16 2" xfId="1139" xr:uid="{EEE0B011-3AB6-4375-96C9-692FBC59BD56}"/>
    <cellStyle name="Tusenskille 3 17" xfId="389" xr:uid="{00000000-0005-0000-0000-00006E020000}"/>
    <cellStyle name="Tusenskille 3 17 2" xfId="1229" xr:uid="{B024B57D-2D4E-41CE-B0EC-59FE4C9ECC36}"/>
    <cellStyle name="Tusenskille 3 18" xfId="479" xr:uid="{00000000-0005-0000-0000-00006F020000}"/>
    <cellStyle name="Tusenskille 3 18 2" xfId="1319" xr:uid="{31844981-E3EE-4E60-BC79-0205FDA46243}"/>
    <cellStyle name="Tusenskille 3 19" xfId="569" xr:uid="{00000000-0005-0000-0000-000070020000}"/>
    <cellStyle name="Tusenskille 3 19 2" xfId="1409" xr:uid="{CDD03EC9-5C89-4F79-A289-ACEEC45391AA}"/>
    <cellStyle name="Tusenskille 3 2" xfId="24" xr:uid="{00000000-0005-0000-0000-000071020000}"/>
    <cellStyle name="Tusenskille 3 2 10" xfId="663" xr:uid="{00000000-0005-0000-0000-000072020000}"/>
    <cellStyle name="Tusenskille 3 2 10 2" xfId="1503" xr:uid="{C9174490-7A0A-46ED-B261-D874BC20D1A3}"/>
    <cellStyle name="Tusenskille 3 2 11" xfId="758" xr:uid="{00000000-0005-0000-0000-000073020000}"/>
    <cellStyle name="Tusenskille 3 2 11 2" xfId="1598" xr:uid="{396744FE-5192-4067-9652-6A010CEB13DB}"/>
    <cellStyle name="Tusenskille 3 2 12" xfId="869" xr:uid="{7245BC4D-FE64-47F2-87ED-98FF16FE5F4B}"/>
    <cellStyle name="Tusenskille 3 2 2" xfId="46" xr:uid="{00000000-0005-0000-0000-000074020000}"/>
    <cellStyle name="Tusenskille 3 2 2 10" xfId="778" xr:uid="{00000000-0005-0000-0000-000075020000}"/>
    <cellStyle name="Tusenskille 3 2 2 10 2" xfId="1618" xr:uid="{24A212F1-3387-4738-B95B-3F9CA4D6DCA0}"/>
    <cellStyle name="Tusenskille 3 2 2 11" xfId="889" xr:uid="{C8D6D894-262A-4F19-85C6-59C50C80BFC2}"/>
    <cellStyle name="Tusenskille 3 2 2 2" xfId="86" xr:uid="{00000000-0005-0000-0000-000076020000}"/>
    <cellStyle name="Tusenskille 3 2 2 2 10" xfId="927" xr:uid="{F0A3C137-1556-4E11-847C-117B0E441EE6}"/>
    <cellStyle name="Tusenskille 3 2 2 2 2" xfId="179" xr:uid="{00000000-0005-0000-0000-000077020000}"/>
    <cellStyle name="Tusenskille 3 2 2 2 2 2" xfId="1019" xr:uid="{3FE617F6-F6F8-4625-8F40-B77A2E9C06AE}"/>
    <cellStyle name="Tusenskille 3 2 2 2 3" xfId="269" xr:uid="{00000000-0005-0000-0000-000078020000}"/>
    <cellStyle name="Tusenskille 3 2 2 2 3 2" xfId="1109" xr:uid="{C5C89FB4-CA4B-4322-9F7C-F723601EDFBF}"/>
    <cellStyle name="Tusenskille 3 2 2 2 4" xfId="359" xr:uid="{00000000-0005-0000-0000-000079020000}"/>
    <cellStyle name="Tusenskille 3 2 2 2 4 2" xfId="1199" xr:uid="{A9F4D720-E8A5-4F3D-AECB-3FC47FE7A7BD}"/>
    <cellStyle name="Tusenskille 3 2 2 2 5" xfId="449" xr:uid="{00000000-0005-0000-0000-00007A020000}"/>
    <cellStyle name="Tusenskille 3 2 2 2 5 2" xfId="1289" xr:uid="{BB043BA4-7CEE-4B8E-9385-507ED1C174D1}"/>
    <cellStyle name="Tusenskille 3 2 2 2 6" xfId="539" xr:uid="{00000000-0005-0000-0000-00007B020000}"/>
    <cellStyle name="Tusenskille 3 2 2 2 6 2" xfId="1379" xr:uid="{118C2D77-BDF8-494F-9060-28E154FC83B0}"/>
    <cellStyle name="Tusenskille 3 2 2 2 7" xfId="629" xr:uid="{00000000-0005-0000-0000-00007C020000}"/>
    <cellStyle name="Tusenskille 3 2 2 2 7 2" xfId="1469" xr:uid="{5B006D5B-3F73-49D8-8B80-47A6A1484AD6}"/>
    <cellStyle name="Tusenskille 3 2 2 2 8" xfId="719" xr:uid="{00000000-0005-0000-0000-00007D020000}"/>
    <cellStyle name="Tusenskille 3 2 2 2 8 2" xfId="1559" xr:uid="{3300E21B-040E-4DDE-BF15-44A346CBF387}"/>
    <cellStyle name="Tusenskille 3 2 2 2 9" xfId="816" xr:uid="{00000000-0005-0000-0000-00007E020000}"/>
    <cellStyle name="Tusenskille 3 2 2 2 9 2" xfId="1656" xr:uid="{2E8560BC-ECB8-43D0-8AB8-DD53F5F3D39D}"/>
    <cellStyle name="Tusenskille 3 2 2 3" xfId="142" xr:uid="{00000000-0005-0000-0000-00007F020000}"/>
    <cellStyle name="Tusenskille 3 2 2 3 2" xfId="982" xr:uid="{56D8A468-1DC2-4AAB-B478-EE5E8288AA20}"/>
    <cellStyle name="Tusenskille 3 2 2 4" xfId="232" xr:uid="{00000000-0005-0000-0000-000080020000}"/>
    <cellStyle name="Tusenskille 3 2 2 4 2" xfId="1072" xr:uid="{4F0D726F-B426-4AE3-A9C7-C2E906F28C1E}"/>
    <cellStyle name="Tusenskille 3 2 2 5" xfId="322" xr:uid="{00000000-0005-0000-0000-000081020000}"/>
    <cellStyle name="Tusenskille 3 2 2 5 2" xfId="1162" xr:uid="{C43C6CEA-DA93-4B26-8F33-083D5B06E4DD}"/>
    <cellStyle name="Tusenskille 3 2 2 6" xfId="412" xr:uid="{00000000-0005-0000-0000-000082020000}"/>
    <cellStyle name="Tusenskille 3 2 2 6 2" xfId="1252" xr:uid="{12B68CA9-6D25-4E1A-BF79-F5A9426552F5}"/>
    <cellStyle name="Tusenskille 3 2 2 7" xfId="502" xr:uid="{00000000-0005-0000-0000-000083020000}"/>
    <cellStyle name="Tusenskille 3 2 2 7 2" xfId="1342" xr:uid="{A36C1B05-68AD-43E2-88B0-4846241B3F38}"/>
    <cellStyle name="Tusenskille 3 2 2 8" xfId="592" xr:uid="{00000000-0005-0000-0000-000084020000}"/>
    <cellStyle name="Tusenskille 3 2 2 8 2" xfId="1432" xr:uid="{D37B0BBA-3FA0-4C77-BB89-3B97FE8DE952}"/>
    <cellStyle name="Tusenskille 3 2 2 9" xfId="682" xr:uid="{00000000-0005-0000-0000-000085020000}"/>
    <cellStyle name="Tusenskille 3 2 2 9 2" xfId="1522" xr:uid="{092D02BE-9437-4873-9B9D-46C913430D54}"/>
    <cellStyle name="Tusenskille 3 2 3" xfId="67" xr:uid="{00000000-0005-0000-0000-000086020000}"/>
    <cellStyle name="Tusenskille 3 2 3 10" xfId="908" xr:uid="{A88E2780-5B46-474A-8912-BFCB047DDC30}"/>
    <cellStyle name="Tusenskille 3 2 3 2" xfId="160" xr:uid="{00000000-0005-0000-0000-000087020000}"/>
    <cellStyle name="Tusenskille 3 2 3 2 2" xfId="1000" xr:uid="{184A42F0-037F-45FE-9D89-E9D94E5E3CA2}"/>
    <cellStyle name="Tusenskille 3 2 3 3" xfId="250" xr:uid="{00000000-0005-0000-0000-000088020000}"/>
    <cellStyle name="Tusenskille 3 2 3 3 2" xfId="1090" xr:uid="{5B72B0F9-D808-4EBA-AF27-278F450C7CC1}"/>
    <cellStyle name="Tusenskille 3 2 3 4" xfId="340" xr:uid="{00000000-0005-0000-0000-000089020000}"/>
    <cellStyle name="Tusenskille 3 2 3 4 2" xfId="1180" xr:uid="{6E33BE2B-451B-44D1-93D9-DAB0DCC78191}"/>
    <cellStyle name="Tusenskille 3 2 3 5" xfId="430" xr:uid="{00000000-0005-0000-0000-00008A020000}"/>
    <cellStyle name="Tusenskille 3 2 3 5 2" xfId="1270" xr:uid="{568216B8-94D0-4F61-8853-2932A273A0F0}"/>
    <cellStyle name="Tusenskille 3 2 3 6" xfId="520" xr:uid="{00000000-0005-0000-0000-00008B020000}"/>
    <cellStyle name="Tusenskille 3 2 3 6 2" xfId="1360" xr:uid="{2A4DCF54-0142-4F60-837C-4F948F3993E1}"/>
    <cellStyle name="Tusenskille 3 2 3 7" xfId="610" xr:uid="{00000000-0005-0000-0000-00008C020000}"/>
    <cellStyle name="Tusenskille 3 2 3 7 2" xfId="1450" xr:uid="{3F3653FC-D612-4B18-A481-3034ECD590C2}"/>
    <cellStyle name="Tusenskille 3 2 3 8" xfId="700" xr:uid="{00000000-0005-0000-0000-00008D020000}"/>
    <cellStyle name="Tusenskille 3 2 3 8 2" xfId="1540" xr:uid="{1448652C-A0D8-4462-B00B-6F9427FA64EF}"/>
    <cellStyle name="Tusenskille 3 2 3 9" xfId="797" xr:uid="{00000000-0005-0000-0000-00008E020000}"/>
    <cellStyle name="Tusenskille 3 2 3 9 2" xfId="1637" xr:uid="{E581A9F1-0682-44FC-9751-11F4D17A0BDD}"/>
    <cellStyle name="Tusenskille 3 2 4" xfId="123" xr:uid="{00000000-0005-0000-0000-00008F020000}"/>
    <cellStyle name="Tusenskille 3 2 4 2" xfId="963" xr:uid="{0AE0D5EB-21A1-4FCB-BE68-A2039633D594}"/>
    <cellStyle name="Tusenskille 3 2 5" xfId="213" xr:uid="{00000000-0005-0000-0000-000090020000}"/>
    <cellStyle name="Tusenskille 3 2 5 2" xfId="1053" xr:uid="{9DC93365-99C6-4437-8C68-C4D8CDAF510F}"/>
    <cellStyle name="Tusenskille 3 2 6" xfId="303" xr:uid="{00000000-0005-0000-0000-000091020000}"/>
    <cellStyle name="Tusenskille 3 2 6 2" xfId="1143" xr:uid="{6A07F9BC-D1C0-4536-B10F-67AC10C6DE97}"/>
    <cellStyle name="Tusenskille 3 2 7" xfId="393" xr:uid="{00000000-0005-0000-0000-000092020000}"/>
    <cellStyle name="Tusenskille 3 2 7 2" xfId="1233" xr:uid="{8C2DAE32-387D-4A6A-9058-5AE43F49FC1D}"/>
    <cellStyle name="Tusenskille 3 2 8" xfId="483" xr:uid="{00000000-0005-0000-0000-000093020000}"/>
    <cellStyle name="Tusenskille 3 2 8 2" xfId="1323" xr:uid="{A2FAEC9D-4BAA-4D5B-B045-EA5CC472775B}"/>
    <cellStyle name="Tusenskille 3 2 9" xfId="573" xr:uid="{00000000-0005-0000-0000-000094020000}"/>
    <cellStyle name="Tusenskille 3 2 9 2" xfId="1413" xr:uid="{B5FDC87A-8BA1-44A1-82F9-D94F85531C87}"/>
    <cellStyle name="Tusenskille 3 20" xfId="659" xr:uid="{00000000-0005-0000-0000-000095020000}"/>
    <cellStyle name="Tusenskille 3 20 2" xfId="1499" xr:uid="{F08E34ED-04AE-4847-AE40-22E9D40D6497}"/>
    <cellStyle name="Tusenskille 3 21" xfId="752" xr:uid="{00000000-0005-0000-0000-000096020000}"/>
    <cellStyle name="Tusenskille 3 21 2" xfId="1592" xr:uid="{5D48EF38-4DB7-4E06-ABA2-E0D8A00FFF88}"/>
    <cellStyle name="Tusenskille 3 22" xfId="863" xr:uid="{3ECDD290-FA2E-4A0C-B9C8-890C2372A8C8}"/>
    <cellStyle name="Tusenskille 3 3" xfId="27" xr:uid="{00000000-0005-0000-0000-000097020000}"/>
    <cellStyle name="Tusenskille 3 3 10" xfId="666" xr:uid="{00000000-0005-0000-0000-000098020000}"/>
    <cellStyle name="Tusenskille 3 3 10 2" xfId="1506" xr:uid="{615D2E46-7BA7-4F77-ADD2-9CE41EA2BDC2}"/>
    <cellStyle name="Tusenskille 3 3 11" xfId="761" xr:uid="{00000000-0005-0000-0000-000099020000}"/>
    <cellStyle name="Tusenskille 3 3 11 2" xfId="1601" xr:uid="{C71749B1-A626-4A80-8B7E-A07EF8C9AA54}"/>
    <cellStyle name="Tusenskille 3 3 12" xfId="872" xr:uid="{CF2DDDEA-5C24-4917-B83D-9EA6DC9EA511}"/>
    <cellStyle name="Tusenskille 3 3 2" xfId="49" xr:uid="{00000000-0005-0000-0000-00009A020000}"/>
    <cellStyle name="Tusenskille 3 3 2 10" xfId="781" xr:uid="{00000000-0005-0000-0000-00009B020000}"/>
    <cellStyle name="Tusenskille 3 3 2 10 2" xfId="1621" xr:uid="{0227FB91-0093-4897-8F66-6B65C82303B1}"/>
    <cellStyle name="Tusenskille 3 3 2 11" xfId="892" xr:uid="{DEE05C50-31B3-4A4A-98A2-EB305E8BA873}"/>
    <cellStyle name="Tusenskille 3 3 2 2" xfId="89" xr:uid="{00000000-0005-0000-0000-00009C020000}"/>
    <cellStyle name="Tusenskille 3 3 2 2 10" xfId="930" xr:uid="{A086B7DC-1DA7-4983-B90A-4BABFE65AA19}"/>
    <cellStyle name="Tusenskille 3 3 2 2 2" xfId="182" xr:uid="{00000000-0005-0000-0000-00009D020000}"/>
    <cellStyle name="Tusenskille 3 3 2 2 2 2" xfId="1022" xr:uid="{D7F641A3-BAD9-464D-B443-F5C6D98C8260}"/>
    <cellStyle name="Tusenskille 3 3 2 2 3" xfId="272" xr:uid="{00000000-0005-0000-0000-00009E020000}"/>
    <cellStyle name="Tusenskille 3 3 2 2 3 2" xfId="1112" xr:uid="{FD98BF1E-9F24-4146-A3B4-28649538A98B}"/>
    <cellStyle name="Tusenskille 3 3 2 2 4" xfId="362" xr:uid="{00000000-0005-0000-0000-00009F020000}"/>
    <cellStyle name="Tusenskille 3 3 2 2 4 2" xfId="1202" xr:uid="{DF299A8E-BB36-42A4-B490-20A3A80FB8A0}"/>
    <cellStyle name="Tusenskille 3 3 2 2 5" xfId="452" xr:uid="{00000000-0005-0000-0000-0000A0020000}"/>
    <cellStyle name="Tusenskille 3 3 2 2 5 2" xfId="1292" xr:uid="{9733F3F7-B8E2-4B2B-9AAD-3962A3D2ACA5}"/>
    <cellStyle name="Tusenskille 3 3 2 2 6" xfId="542" xr:uid="{00000000-0005-0000-0000-0000A1020000}"/>
    <cellStyle name="Tusenskille 3 3 2 2 6 2" xfId="1382" xr:uid="{46C02824-6F03-4800-9DE5-51138CFBA089}"/>
    <cellStyle name="Tusenskille 3 3 2 2 7" xfId="632" xr:uid="{00000000-0005-0000-0000-0000A2020000}"/>
    <cellStyle name="Tusenskille 3 3 2 2 7 2" xfId="1472" xr:uid="{C6C60599-5370-4EFA-9892-81C8CDA535B2}"/>
    <cellStyle name="Tusenskille 3 3 2 2 8" xfId="722" xr:uid="{00000000-0005-0000-0000-0000A3020000}"/>
    <cellStyle name="Tusenskille 3 3 2 2 8 2" xfId="1562" xr:uid="{E6B289DB-D5D8-4DCA-B7A3-28C6E74D5AE9}"/>
    <cellStyle name="Tusenskille 3 3 2 2 9" xfId="819" xr:uid="{00000000-0005-0000-0000-0000A4020000}"/>
    <cellStyle name="Tusenskille 3 3 2 2 9 2" xfId="1659" xr:uid="{26DEC334-57C6-412D-B6EF-48D6D26F9E1A}"/>
    <cellStyle name="Tusenskille 3 3 2 3" xfId="145" xr:uid="{00000000-0005-0000-0000-0000A5020000}"/>
    <cellStyle name="Tusenskille 3 3 2 3 2" xfId="985" xr:uid="{8E7BEC28-C678-4287-97B0-2170DF3C4076}"/>
    <cellStyle name="Tusenskille 3 3 2 4" xfId="235" xr:uid="{00000000-0005-0000-0000-0000A6020000}"/>
    <cellStyle name="Tusenskille 3 3 2 4 2" xfId="1075" xr:uid="{F9F63777-F226-4F2A-B7B8-8DE00996B7F9}"/>
    <cellStyle name="Tusenskille 3 3 2 5" xfId="325" xr:uid="{00000000-0005-0000-0000-0000A7020000}"/>
    <cellStyle name="Tusenskille 3 3 2 5 2" xfId="1165" xr:uid="{108F3206-D95E-4EDB-8F83-3AC66EF9A97A}"/>
    <cellStyle name="Tusenskille 3 3 2 6" xfId="415" xr:uid="{00000000-0005-0000-0000-0000A8020000}"/>
    <cellStyle name="Tusenskille 3 3 2 6 2" xfId="1255" xr:uid="{30ED52A2-16AF-43F1-B5DE-F64887A3C882}"/>
    <cellStyle name="Tusenskille 3 3 2 7" xfId="505" xr:uid="{00000000-0005-0000-0000-0000A9020000}"/>
    <cellStyle name="Tusenskille 3 3 2 7 2" xfId="1345" xr:uid="{864FF38A-0758-4B42-AB92-F641925478CE}"/>
    <cellStyle name="Tusenskille 3 3 2 8" xfId="595" xr:uid="{00000000-0005-0000-0000-0000AA020000}"/>
    <cellStyle name="Tusenskille 3 3 2 8 2" xfId="1435" xr:uid="{47AEEAC0-CB05-48D0-B284-AF95388D1F11}"/>
    <cellStyle name="Tusenskille 3 3 2 9" xfId="685" xr:uid="{00000000-0005-0000-0000-0000AB020000}"/>
    <cellStyle name="Tusenskille 3 3 2 9 2" xfId="1525" xr:uid="{D75D7F6A-7C16-4473-ABDD-5132300270D9}"/>
    <cellStyle name="Tusenskille 3 3 3" xfId="70" xr:uid="{00000000-0005-0000-0000-0000AC020000}"/>
    <cellStyle name="Tusenskille 3 3 3 10" xfId="911" xr:uid="{6F78D877-75AA-4C77-B216-662A830F1FC6}"/>
    <cellStyle name="Tusenskille 3 3 3 2" xfId="163" xr:uid="{00000000-0005-0000-0000-0000AD020000}"/>
    <cellStyle name="Tusenskille 3 3 3 2 2" xfId="1003" xr:uid="{EB8E9867-3424-4DFD-BFE0-AF88D6FA92F3}"/>
    <cellStyle name="Tusenskille 3 3 3 3" xfId="253" xr:uid="{00000000-0005-0000-0000-0000AE020000}"/>
    <cellStyle name="Tusenskille 3 3 3 3 2" xfId="1093" xr:uid="{BB50C2C7-709E-461F-91A3-DE833A39B74F}"/>
    <cellStyle name="Tusenskille 3 3 3 4" xfId="343" xr:uid="{00000000-0005-0000-0000-0000AF020000}"/>
    <cellStyle name="Tusenskille 3 3 3 4 2" xfId="1183" xr:uid="{0DB38934-5AF7-4CF2-9BFD-DFD0554A3CAA}"/>
    <cellStyle name="Tusenskille 3 3 3 5" xfId="433" xr:uid="{00000000-0005-0000-0000-0000B0020000}"/>
    <cellStyle name="Tusenskille 3 3 3 5 2" xfId="1273" xr:uid="{B11CCC93-3C3B-4A8C-AA26-9BDA2DC8E32C}"/>
    <cellStyle name="Tusenskille 3 3 3 6" xfId="523" xr:uid="{00000000-0005-0000-0000-0000B1020000}"/>
    <cellStyle name="Tusenskille 3 3 3 6 2" xfId="1363" xr:uid="{D3036E92-4813-4DF8-8BDC-F950117B139D}"/>
    <cellStyle name="Tusenskille 3 3 3 7" xfId="613" xr:uid="{00000000-0005-0000-0000-0000B2020000}"/>
    <cellStyle name="Tusenskille 3 3 3 7 2" xfId="1453" xr:uid="{812F0ECC-452F-4DC3-86A6-6AE5F3BBBBE2}"/>
    <cellStyle name="Tusenskille 3 3 3 8" xfId="703" xr:uid="{00000000-0005-0000-0000-0000B3020000}"/>
    <cellStyle name="Tusenskille 3 3 3 8 2" xfId="1543" xr:uid="{80704711-3FD0-41A3-816C-F6BFF17B08D1}"/>
    <cellStyle name="Tusenskille 3 3 3 9" xfId="800" xr:uid="{00000000-0005-0000-0000-0000B4020000}"/>
    <cellStyle name="Tusenskille 3 3 3 9 2" xfId="1640" xr:uid="{14BB7BCA-3DB3-4E81-9FD6-605FBDBDAE83}"/>
    <cellStyle name="Tusenskille 3 3 4" xfId="126" xr:uid="{00000000-0005-0000-0000-0000B5020000}"/>
    <cellStyle name="Tusenskille 3 3 4 2" xfId="966" xr:uid="{60CED306-9B42-4330-9D8E-B4CE9A29B854}"/>
    <cellStyle name="Tusenskille 3 3 5" xfId="216" xr:uid="{00000000-0005-0000-0000-0000B6020000}"/>
    <cellStyle name="Tusenskille 3 3 5 2" xfId="1056" xr:uid="{C6966062-53F5-4859-9ECB-7BF7BAC9E395}"/>
    <cellStyle name="Tusenskille 3 3 6" xfId="306" xr:uid="{00000000-0005-0000-0000-0000B7020000}"/>
    <cellStyle name="Tusenskille 3 3 6 2" xfId="1146" xr:uid="{3C4B6482-FC05-4BD2-BA58-BF14EC5D6A7B}"/>
    <cellStyle name="Tusenskille 3 3 7" xfId="396" xr:uid="{00000000-0005-0000-0000-0000B8020000}"/>
    <cellStyle name="Tusenskille 3 3 7 2" xfId="1236" xr:uid="{953BA465-65EC-478D-A268-7BBAF7E3C67B}"/>
    <cellStyle name="Tusenskille 3 3 8" xfId="486" xr:uid="{00000000-0005-0000-0000-0000B9020000}"/>
    <cellStyle name="Tusenskille 3 3 8 2" xfId="1326" xr:uid="{4D852802-6299-4817-BA58-DF08A946D105}"/>
    <cellStyle name="Tusenskille 3 3 9" xfId="576" xr:uid="{00000000-0005-0000-0000-0000BA020000}"/>
    <cellStyle name="Tusenskille 3 3 9 2" xfId="1416" xr:uid="{B922F52A-8F69-46A0-9876-89D09733959D}"/>
    <cellStyle name="Tusenskille 3 4" xfId="30" xr:uid="{00000000-0005-0000-0000-0000BB020000}"/>
    <cellStyle name="Tusenskille 3 4 10" xfId="669" xr:uid="{00000000-0005-0000-0000-0000BC020000}"/>
    <cellStyle name="Tusenskille 3 4 10 2" xfId="1509" xr:uid="{D19FA360-6322-4A74-9933-2773D50DC3A8}"/>
    <cellStyle name="Tusenskille 3 4 11" xfId="764" xr:uid="{00000000-0005-0000-0000-0000BD020000}"/>
    <cellStyle name="Tusenskille 3 4 11 2" xfId="1604" xr:uid="{911A51BC-D721-4F66-8D92-0E8A2936E319}"/>
    <cellStyle name="Tusenskille 3 4 12" xfId="875" xr:uid="{B43C0DED-F6F6-4CCE-8128-C86B2F4378AA}"/>
    <cellStyle name="Tusenskille 3 4 2" xfId="52" xr:uid="{00000000-0005-0000-0000-0000BE020000}"/>
    <cellStyle name="Tusenskille 3 4 2 10" xfId="784" xr:uid="{00000000-0005-0000-0000-0000BF020000}"/>
    <cellStyle name="Tusenskille 3 4 2 10 2" xfId="1624" xr:uid="{55DFA9B5-AE2E-4DA5-9759-7979FF1B9115}"/>
    <cellStyle name="Tusenskille 3 4 2 11" xfId="895" xr:uid="{1B00B290-FAE5-4EDC-93C4-CD9D1EDB2A0F}"/>
    <cellStyle name="Tusenskille 3 4 2 2" xfId="92" xr:uid="{00000000-0005-0000-0000-0000C0020000}"/>
    <cellStyle name="Tusenskille 3 4 2 2 10" xfId="933" xr:uid="{3AC9335B-D306-40E1-9067-CB0DA0023B77}"/>
    <cellStyle name="Tusenskille 3 4 2 2 2" xfId="185" xr:uid="{00000000-0005-0000-0000-0000C1020000}"/>
    <cellStyle name="Tusenskille 3 4 2 2 2 2" xfId="1025" xr:uid="{E7ECC5B7-0906-4A72-94AE-624800BB1E7D}"/>
    <cellStyle name="Tusenskille 3 4 2 2 3" xfId="275" xr:uid="{00000000-0005-0000-0000-0000C2020000}"/>
    <cellStyle name="Tusenskille 3 4 2 2 3 2" xfId="1115" xr:uid="{5902EB7F-6B75-46A9-9030-EEDD5C27FC64}"/>
    <cellStyle name="Tusenskille 3 4 2 2 4" xfId="365" xr:uid="{00000000-0005-0000-0000-0000C3020000}"/>
    <cellStyle name="Tusenskille 3 4 2 2 4 2" xfId="1205" xr:uid="{12C7D099-0AF5-42E6-ACD0-E78F70CCDB1B}"/>
    <cellStyle name="Tusenskille 3 4 2 2 5" xfId="455" xr:uid="{00000000-0005-0000-0000-0000C4020000}"/>
    <cellStyle name="Tusenskille 3 4 2 2 5 2" xfId="1295" xr:uid="{7FF39E9E-574C-4D34-840C-1E449EA095B5}"/>
    <cellStyle name="Tusenskille 3 4 2 2 6" xfId="545" xr:uid="{00000000-0005-0000-0000-0000C5020000}"/>
    <cellStyle name="Tusenskille 3 4 2 2 6 2" xfId="1385" xr:uid="{929A3233-50F8-433A-B501-E6BAEDAF1BD2}"/>
    <cellStyle name="Tusenskille 3 4 2 2 7" xfId="635" xr:uid="{00000000-0005-0000-0000-0000C6020000}"/>
    <cellStyle name="Tusenskille 3 4 2 2 7 2" xfId="1475" xr:uid="{755845BF-3F6A-4317-87A9-AC16041B1EE6}"/>
    <cellStyle name="Tusenskille 3 4 2 2 8" xfId="725" xr:uid="{00000000-0005-0000-0000-0000C7020000}"/>
    <cellStyle name="Tusenskille 3 4 2 2 8 2" xfId="1565" xr:uid="{26B2D98C-A51D-49DF-B600-568FD700E186}"/>
    <cellStyle name="Tusenskille 3 4 2 2 9" xfId="822" xr:uid="{00000000-0005-0000-0000-0000C8020000}"/>
    <cellStyle name="Tusenskille 3 4 2 2 9 2" xfId="1662" xr:uid="{BA2E6F93-1BBA-42E9-8EB0-9C98C273C934}"/>
    <cellStyle name="Tusenskille 3 4 2 3" xfId="148" xr:uid="{00000000-0005-0000-0000-0000C9020000}"/>
    <cellStyle name="Tusenskille 3 4 2 3 2" xfId="988" xr:uid="{08A6424A-0B6A-443D-BF7F-44D699561063}"/>
    <cellStyle name="Tusenskille 3 4 2 4" xfId="238" xr:uid="{00000000-0005-0000-0000-0000CA020000}"/>
    <cellStyle name="Tusenskille 3 4 2 4 2" xfId="1078" xr:uid="{554BE57B-8259-4799-B7B1-2EC6C4C4F06E}"/>
    <cellStyle name="Tusenskille 3 4 2 5" xfId="328" xr:uid="{00000000-0005-0000-0000-0000CB020000}"/>
    <cellStyle name="Tusenskille 3 4 2 5 2" xfId="1168" xr:uid="{B8B8CA7A-2062-4A9B-BB2C-51DD2A24653A}"/>
    <cellStyle name="Tusenskille 3 4 2 6" xfId="418" xr:uid="{00000000-0005-0000-0000-0000CC020000}"/>
    <cellStyle name="Tusenskille 3 4 2 6 2" xfId="1258" xr:uid="{7C3D9637-D1E4-4639-9289-D1A5D9D7FC1D}"/>
    <cellStyle name="Tusenskille 3 4 2 7" xfId="508" xr:uid="{00000000-0005-0000-0000-0000CD020000}"/>
    <cellStyle name="Tusenskille 3 4 2 7 2" xfId="1348" xr:uid="{99BD97F2-23E3-41FF-A417-BECE7C2B70E7}"/>
    <cellStyle name="Tusenskille 3 4 2 8" xfId="598" xr:uid="{00000000-0005-0000-0000-0000CE020000}"/>
    <cellStyle name="Tusenskille 3 4 2 8 2" xfId="1438" xr:uid="{9AA1DC25-4969-4891-B1F8-2A13D1DCA768}"/>
    <cellStyle name="Tusenskille 3 4 2 9" xfId="688" xr:uid="{00000000-0005-0000-0000-0000CF020000}"/>
    <cellStyle name="Tusenskille 3 4 2 9 2" xfId="1528" xr:uid="{C1E290A1-229D-490A-889D-D315D26CD19F}"/>
    <cellStyle name="Tusenskille 3 4 3" xfId="73" xr:uid="{00000000-0005-0000-0000-0000D0020000}"/>
    <cellStyle name="Tusenskille 3 4 3 10" xfId="914" xr:uid="{637360C7-81BE-4E74-B650-FF72B2E7BB15}"/>
    <cellStyle name="Tusenskille 3 4 3 2" xfId="166" xr:uid="{00000000-0005-0000-0000-0000D1020000}"/>
    <cellStyle name="Tusenskille 3 4 3 2 2" xfId="1006" xr:uid="{D4B1B1B2-7001-4144-BF6B-5535DA0D8B1F}"/>
    <cellStyle name="Tusenskille 3 4 3 3" xfId="256" xr:uid="{00000000-0005-0000-0000-0000D2020000}"/>
    <cellStyle name="Tusenskille 3 4 3 3 2" xfId="1096" xr:uid="{434934A3-AB5B-4439-8AB8-B2AAFDA87B39}"/>
    <cellStyle name="Tusenskille 3 4 3 4" xfId="346" xr:uid="{00000000-0005-0000-0000-0000D3020000}"/>
    <cellStyle name="Tusenskille 3 4 3 4 2" xfId="1186" xr:uid="{5782A4CF-6DAC-403A-89A4-D782549C29BE}"/>
    <cellStyle name="Tusenskille 3 4 3 5" xfId="436" xr:uid="{00000000-0005-0000-0000-0000D4020000}"/>
    <cellStyle name="Tusenskille 3 4 3 5 2" xfId="1276" xr:uid="{AA9D4890-BF41-4D0E-BAEA-A376FA526745}"/>
    <cellStyle name="Tusenskille 3 4 3 6" xfId="526" xr:uid="{00000000-0005-0000-0000-0000D5020000}"/>
    <cellStyle name="Tusenskille 3 4 3 6 2" xfId="1366" xr:uid="{3754CDF5-143F-4C61-981B-33CFC041B00D}"/>
    <cellStyle name="Tusenskille 3 4 3 7" xfId="616" xr:uid="{00000000-0005-0000-0000-0000D6020000}"/>
    <cellStyle name="Tusenskille 3 4 3 7 2" xfId="1456" xr:uid="{3FC1E24E-3717-40B0-8741-65FC9D126E73}"/>
    <cellStyle name="Tusenskille 3 4 3 8" xfId="706" xr:uid="{00000000-0005-0000-0000-0000D7020000}"/>
    <cellStyle name="Tusenskille 3 4 3 8 2" xfId="1546" xr:uid="{CD08A8A3-C5FE-428D-B4F9-E983B63E041B}"/>
    <cellStyle name="Tusenskille 3 4 3 9" xfId="803" xr:uid="{00000000-0005-0000-0000-0000D8020000}"/>
    <cellStyle name="Tusenskille 3 4 3 9 2" xfId="1643" xr:uid="{20327572-BF47-48DB-A2C3-79B04D0C4C25}"/>
    <cellStyle name="Tusenskille 3 4 4" xfId="129" xr:uid="{00000000-0005-0000-0000-0000D9020000}"/>
    <cellStyle name="Tusenskille 3 4 4 2" xfId="969" xr:uid="{7CBA47BA-7F25-4C73-A175-05D2C91410AD}"/>
    <cellStyle name="Tusenskille 3 4 5" xfId="219" xr:uid="{00000000-0005-0000-0000-0000DA020000}"/>
    <cellStyle name="Tusenskille 3 4 5 2" xfId="1059" xr:uid="{0C733662-F914-4E2F-9A79-A9C800FA4473}"/>
    <cellStyle name="Tusenskille 3 4 6" xfId="309" xr:uid="{00000000-0005-0000-0000-0000DB020000}"/>
    <cellStyle name="Tusenskille 3 4 6 2" xfId="1149" xr:uid="{2C6B6F90-4E91-4580-9AE1-8670CA854AF1}"/>
    <cellStyle name="Tusenskille 3 4 7" xfId="399" xr:uid="{00000000-0005-0000-0000-0000DC020000}"/>
    <cellStyle name="Tusenskille 3 4 7 2" xfId="1239" xr:uid="{BF507F89-0DE9-4EFB-8C8A-0B2D2C39F06B}"/>
    <cellStyle name="Tusenskille 3 4 8" xfId="489" xr:uid="{00000000-0005-0000-0000-0000DD020000}"/>
    <cellStyle name="Tusenskille 3 4 8 2" xfId="1329" xr:uid="{C19CB85E-3D8E-4B0D-A969-248F31F60581}"/>
    <cellStyle name="Tusenskille 3 4 9" xfId="579" xr:uid="{00000000-0005-0000-0000-0000DE020000}"/>
    <cellStyle name="Tusenskille 3 4 9 2" xfId="1419" xr:uid="{99D7A324-40AA-4714-9AC7-1EEEA0BDEA3E}"/>
    <cellStyle name="Tusenskille 3 5" xfId="34" xr:uid="{00000000-0005-0000-0000-0000DF020000}"/>
    <cellStyle name="Tusenskille 3 5 10" xfId="672" xr:uid="{00000000-0005-0000-0000-0000E0020000}"/>
    <cellStyle name="Tusenskille 3 5 10 2" xfId="1512" xr:uid="{CA5C122A-5775-4FD8-8C1C-715ED7C9ADEF}"/>
    <cellStyle name="Tusenskille 3 5 11" xfId="767" xr:uid="{00000000-0005-0000-0000-0000E1020000}"/>
    <cellStyle name="Tusenskille 3 5 11 2" xfId="1607" xr:uid="{F90FC5E4-4E81-469F-8710-28A9B9AA450A}"/>
    <cellStyle name="Tusenskille 3 5 12" xfId="878" xr:uid="{F77032C0-70CB-4642-A390-1CBA3F038BA1}"/>
    <cellStyle name="Tusenskille 3 5 2" xfId="56" xr:uid="{00000000-0005-0000-0000-0000E2020000}"/>
    <cellStyle name="Tusenskille 3 5 2 10" xfId="787" xr:uid="{00000000-0005-0000-0000-0000E3020000}"/>
    <cellStyle name="Tusenskille 3 5 2 10 2" xfId="1627" xr:uid="{425B49CE-9C2D-4352-8653-4960FAD64C03}"/>
    <cellStyle name="Tusenskille 3 5 2 11" xfId="898" xr:uid="{5C2C97F5-F478-4B66-8F09-B5D7F3FAA960}"/>
    <cellStyle name="Tusenskille 3 5 2 2" xfId="96" xr:uid="{00000000-0005-0000-0000-0000E4020000}"/>
    <cellStyle name="Tusenskille 3 5 2 2 10" xfId="936" xr:uid="{95026287-059C-4111-98B1-B48F5F73FA13}"/>
    <cellStyle name="Tusenskille 3 5 2 2 2" xfId="188" xr:uid="{00000000-0005-0000-0000-0000E5020000}"/>
    <cellStyle name="Tusenskille 3 5 2 2 2 2" xfId="1028" xr:uid="{8F16057C-7458-4558-BC0B-557D7A55A746}"/>
    <cellStyle name="Tusenskille 3 5 2 2 3" xfId="278" xr:uid="{00000000-0005-0000-0000-0000E6020000}"/>
    <cellStyle name="Tusenskille 3 5 2 2 3 2" xfId="1118" xr:uid="{56388CDB-A448-4933-81DD-D3751C25FFA0}"/>
    <cellStyle name="Tusenskille 3 5 2 2 4" xfId="368" xr:uid="{00000000-0005-0000-0000-0000E7020000}"/>
    <cellStyle name="Tusenskille 3 5 2 2 4 2" xfId="1208" xr:uid="{C13C9F2D-2806-4250-8625-B957CC7CB202}"/>
    <cellStyle name="Tusenskille 3 5 2 2 5" xfId="458" xr:uid="{00000000-0005-0000-0000-0000E8020000}"/>
    <cellStyle name="Tusenskille 3 5 2 2 5 2" xfId="1298" xr:uid="{82525939-6BEA-4505-80CC-321B8F76D43D}"/>
    <cellStyle name="Tusenskille 3 5 2 2 6" xfId="548" xr:uid="{00000000-0005-0000-0000-0000E9020000}"/>
    <cellStyle name="Tusenskille 3 5 2 2 6 2" xfId="1388" xr:uid="{61331C79-FFBE-46F1-8160-A08237C0F587}"/>
    <cellStyle name="Tusenskille 3 5 2 2 7" xfId="638" xr:uid="{00000000-0005-0000-0000-0000EA020000}"/>
    <cellStyle name="Tusenskille 3 5 2 2 7 2" xfId="1478" xr:uid="{3C90859E-0794-4BBA-84BD-85E3E16AC286}"/>
    <cellStyle name="Tusenskille 3 5 2 2 8" xfId="728" xr:uid="{00000000-0005-0000-0000-0000EB020000}"/>
    <cellStyle name="Tusenskille 3 5 2 2 8 2" xfId="1568" xr:uid="{944BC1EB-B2CD-4475-A827-D39CA03B1BE1}"/>
    <cellStyle name="Tusenskille 3 5 2 2 9" xfId="825" xr:uid="{00000000-0005-0000-0000-0000EC020000}"/>
    <cellStyle name="Tusenskille 3 5 2 2 9 2" xfId="1665" xr:uid="{AEF86B9D-B035-4A04-A0D3-AE7DAD0C7FE4}"/>
    <cellStyle name="Tusenskille 3 5 2 3" xfId="151" xr:uid="{00000000-0005-0000-0000-0000ED020000}"/>
    <cellStyle name="Tusenskille 3 5 2 3 2" xfId="991" xr:uid="{94FE3477-41A3-427A-8F73-56AA8C4BCBF6}"/>
    <cellStyle name="Tusenskille 3 5 2 4" xfId="241" xr:uid="{00000000-0005-0000-0000-0000EE020000}"/>
    <cellStyle name="Tusenskille 3 5 2 4 2" xfId="1081" xr:uid="{B4EFE76E-96E5-432D-8FC0-008E92224054}"/>
    <cellStyle name="Tusenskille 3 5 2 5" xfId="331" xr:uid="{00000000-0005-0000-0000-0000EF020000}"/>
    <cellStyle name="Tusenskille 3 5 2 5 2" xfId="1171" xr:uid="{1D8CDCC5-33D3-4AC2-8A11-F7FF69816225}"/>
    <cellStyle name="Tusenskille 3 5 2 6" xfId="421" xr:uid="{00000000-0005-0000-0000-0000F0020000}"/>
    <cellStyle name="Tusenskille 3 5 2 6 2" xfId="1261" xr:uid="{640D94D2-C312-4FF2-9C9C-C9A5E8FC1C1C}"/>
    <cellStyle name="Tusenskille 3 5 2 7" xfId="511" xr:uid="{00000000-0005-0000-0000-0000F1020000}"/>
    <cellStyle name="Tusenskille 3 5 2 7 2" xfId="1351" xr:uid="{B46F44FC-DDE3-493C-A134-DF4881B22098}"/>
    <cellStyle name="Tusenskille 3 5 2 8" xfId="601" xr:uid="{00000000-0005-0000-0000-0000F2020000}"/>
    <cellStyle name="Tusenskille 3 5 2 8 2" xfId="1441" xr:uid="{171E7921-57B9-4B76-A291-190FB2A5B0C9}"/>
    <cellStyle name="Tusenskille 3 5 2 9" xfId="691" xr:uid="{00000000-0005-0000-0000-0000F3020000}"/>
    <cellStyle name="Tusenskille 3 5 2 9 2" xfId="1531" xr:uid="{7C329973-A7AB-4225-A6EE-6D144BC1D924}"/>
    <cellStyle name="Tusenskille 3 5 3" xfId="76" xr:uid="{00000000-0005-0000-0000-0000F4020000}"/>
    <cellStyle name="Tusenskille 3 5 3 10" xfId="917" xr:uid="{BC0B0DC3-203A-475F-AF7A-BD3601DCF669}"/>
    <cellStyle name="Tusenskille 3 5 3 2" xfId="169" xr:uid="{00000000-0005-0000-0000-0000F5020000}"/>
    <cellStyle name="Tusenskille 3 5 3 2 2" xfId="1009" xr:uid="{057BB234-060B-45DF-A98A-2F9ACEA821D3}"/>
    <cellStyle name="Tusenskille 3 5 3 3" xfId="259" xr:uid="{00000000-0005-0000-0000-0000F6020000}"/>
    <cellStyle name="Tusenskille 3 5 3 3 2" xfId="1099" xr:uid="{5D48D28B-E562-492A-828E-DF9E618D164E}"/>
    <cellStyle name="Tusenskille 3 5 3 4" xfId="349" xr:uid="{00000000-0005-0000-0000-0000F7020000}"/>
    <cellStyle name="Tusenskille 3 5 3 4 2" xfId="1189" xr:uid="{948CA4B6-FE83-4187-8D89-F7716C6753C7}"/>
    <cellStyle name="Tusenskille 3 5 3 5" xfId="439" xr:uid="{00000000-0005-0000-0000-0000F8020000}"/>
    <cellStyle name="Tusenskille 3 5 3 5 2" xfId="1279" xr:uid="{200933B2-86DD-4EEF-B860-89B27FB7CEE8}"/>
    <cellStyle name="Tusenskille 3 5 3 6" xfId="529" xr:uid="{00000000-0005-0000-0000-0000F9020000}"/>
    <cellStyle name="Tusenskille 3 5 3 6 2" xfId="1369" xr:uid="{6CFB0C25-3543-42AD-9AA0-EBC72704ED42}"/>
    <cellStyle name="Tusenskille 3 5 3 7" xfId="619" xr:uid="{00000000-0005-0000-0000-0000FA020000}"/>
    <cellStyle name="Tusenskille 3 5 3 7 2" xfId="1459" xr:uid="{502B6F70-2C8B-4EB4-B985-2406AE3BFC91}"/>
    <cellStyle name="Tusenskille 3 5 3 8" xfId="709" xr:uid="{00000000-0005-0000-0000-0000FB020000}"/>
    <cellStyle name="Tusenskille 3 5 3 8 2" xfId="1549" xr:uid="{C6D3E590-1B4F-47C1-97AC-824257234E9B}"/>
    <cellStyle name="Tusenskille 3 5 3 9" xfId="806" xr:uid="{00000000-0005-0000-0000-0000FC020000}"/>
    <cellStyle name="Tusenskille 3 5 3 9 2" xfId="1646" xr:uid="{86A9E68A-E54E-4447-BDDD-1CF4F9D04846}"/>
    <cellStyle name="Tusenskille 3 5 4" xfId="132" xr:uid="{00000000-0005-0000-0000-0000FD020000}"/>
    <cellStyle name="Tusenskille 3 5 4 2" xfId="972" xr:uid="{8044E799-EE88-4A4A-BEBF-C3C526B40B98}"/>
    <cellStyle name="Tusenskille 3 5 5" xfId="222" xr:uid="{00000000-0005-0000-0000-0000FE020000}"/>
    <cellStyle name="Tusenskille 3 5 5 2" xfId="1062" xr:uid="{B4ADCDFE-0E59-4864-89E9-4CB7A3074AFF}"/>
    <cellStyle name="Tusenskille 3 5 6" xfId="312" xr:uid="{00000000-0005-0000-0000-0000FF020000}"/>
    <cellStyle name="Tusenskille 3 5 6 2" xfId="1152" xr:uid="{CDD5C99D-875A-4A86-B7B9-0C8A5A715872}"/>
    <cellStyle name="Tusenskille 3 5 7" xfId="402" xr:uid="{00000000-0005-0000-0000-000000030000}"/>
    <cellStyle name="Tusenskille 3 5 7 2" xfId="1242" xr:uid="{CE78533D-331E-48DF-BB11-69D7DC26376D}"/>
    <cellStyle name="Tusenskille 3 5 8" xfId="492" xr:uid="{00000000-0005-0000-0000-000001030000}"/>
    <cellStyle name="Tusenskille 3 5 8 2" xfId="1332" xr:uid="{947E5495-F6AA-40A6-8628-88B8A7C8AF8E}"/>
    <cellStyle name="Tusenskille 3 5 9" xfId="582" xr:uid="{00000000-0005-0000-0000-000002030000}"/>
    <cellStyle name="Tusenskille 3 5 9 2" xfId="1422" xr:uid="{40C08C7A-7E3C-4887-9246-3C53542325B9}"/>
    <cellStyle name="Tusenskille 3 6" xfId="37" xr:uid="{00000000-0005-0000-0000-000003030000}"/>
    <cellStyle name="Tusenskille 3 6 10" xfId="675" xr:uid="{00000000-0005-0000-0000-000004030000}"/>
    <cellStyle name="Tusenskille 3 6 10 2" xfId="1515" xr:uid="{FE1B0FEB-BA49-4A41-A6AA-5BE14E67D620}"/>
    <cellStyle name="Tusenskille 3 6 11" xfId="770" xr:uid="{00000000-0005-0000-0000-000005030000}"/>
    <cellStyle name="Tusenskille 3 6 11 2" xfId="1610" xr:uid="{BB116A64-E05E-42AD-AA58-76D95A38C13C}"/>
    <cellStyle name="Tusenskille 3 6 12" xfId="881" xr:uid="{2D6B7A56-803C-4442-B56F-DC9C9B462C25}"/>
    <cellStyle name="Tusenskille 3 6 2" xfId="59" xr:uid="{00000000-0005-0000-0000-000006030000}"/>
    <cellStyle name="Tusenskille 3 6 2 10" xfId="790" xr:uid="{00000000-0005-0000-0000-000007030000}"/>
    <cellStyle name="Tusenskille 3 6 2 10 2" xfId="1630" xr:uid="{C30F1047-AC13-49AA-8E83-E4489FECF0DB}"/>
    <cellStyle name="Tusenskille 3 6 2 11" xfId="901" xr:uid="{4C28D93C-B627-467F-8B70-C85C575681CF}"/>
    <cellStyle name="Tusenskille 3 6 2 2" xfId="99" xr:uid="{00000000-0005-0000-0000-000008030000}"/>
    <cellStyle name="Tusenskille 3 6 2 2 10" xfId="939" xr:uid="{8B58DDAA-1048-48EE-A184-5C9220C13178}"/>
    <cellStyle name="Tusenskille 3 6 2 2 2" xfId="191" xr:uid="{00000000-0005-0000-0000-000009030000}"/>
    <cellStyle name="Tusenskille 3 6 2 2 2 2" xfId="1031" xr:uid="{BC1FC70E-C424-4F36-AB0E-C3017100FF3D}"/>
    <cellStyle name="Tusenskille 3 6 2 2 3" xfId="281" xr:uid="{00000000-0005-0000-0000-00000A030000}"/>
    <cellStyle name="Tusenskille 3 6 2 2 3 2" xfId="1121" xr:uid="{B711901D-A717-4EFC-BBD2-11DE898BBC9D}"/>
    <cellStyle name="Tusenskille 3 6 2 2 4" xfId="371" xr:uid="{00000000-0005-0000-0000-00000B030000}"/>
    <cellStyle name="Tusenskille 3 6 2 2 4 2" xfId="1211" xr:uid="{57845898-2437-4A5A-BEC0-1CA34F06DA51}"/>
    <cellStyle name="Tusenskille 3 6 2 2 5" xfId="461" xr:uid="{00000000-0005-0000-0000-00000C030000}"/>
    <cellStyle name="Tusenskille 3 6 2 2 5 2" xfId="1301" xr:uid="{0C313D6B-98D3-4923-BD69-05DE5A2064EF}"/>
    <cellStyle name="Tusenskille 3 6 2 2 6" xfId="551" xr:uid="{00000000-0005-0000-0000-00000D030000}"/>
    <cellStyle name="Tusenskille 3 6 2 2 6 2" xfId="1391" xr:uid="{45DF3755-620D-4A31-9B56-DDE626482119}"/>
    <cellStyle name="Tusenskille 3 6 2 2 7" xfId="641" xr:uid="{00000000-0005-0000-0000-00000E030000}"/>
    <cellStyle name="Tusenskille 3 6 2 2 7 2" xfId="1481" xr:uid="{EB23B764-A182-4814-B512-F9E02602D208}"/>
    <cellStyle name="Tusenskille 3 6 2 2 8" xfId="731" xr:uid="{00000000-0005-0000-0000-00000F030000}"/>
    <cellStyle name="Tusenskille 3 6 2 2 8 2" xfId="1571" xr:uid="{56D1528E-F34C-4DCC-818B-4590AE7B03E1}"/>
    <cellStyle name="Tusenskille 3 6 2 2 9" xfId="828" xr:uid="{00000000-0005-0000-0000-000010030000}"/>
    <cellStyle name="Tusenskille 3 6 2 2 9 2" xfId="1668" xr:uid="{AD1CD424-81C1-4D83-9BA8-6EDFDC51B017}"/>
    <cellStyle name="Tusenskille 3 6 2 3" xfId="154" xr:uid="{00000000-0005-0000-0000-000011030000}"/>
    <cellStyle name="Tusenskille 3 6 2 3 2" xfId="994" xr:uid="{E36A6541-E7F3-4E04-AC58-E49E076232EA}"/>
    <cellStyle name="Tusenskille 3 6 2 4" xfId="244" xr:uid="{00000000-0005-0000-0000-000012030000}"/>
    <cellStyle name="Tusenskille 3 6 2 4 2" xfId="1084" xr:uid="{AB1137CD-27E4-4EC4-BEE6-8552FB31D12F}"/>
    <cellStyle name="Tusenskille 3 6 2 5" xfId="334" xr:uid="{00000000-0005-0000-0000-000013030000}"/>
    <cellStyle name="Tusenskille 3 6 2 5 2" xfId="1174" xr:uid="{65CDAF20-2DBA-4972-AF82-3C0038AD6923}"/>
    <cellStyle name="Tusenskille 3 6 2 6" xfId="424" xr:uid="{00000000-0005-0000-0000-000014030000}"/>
    <cellStyle name="Tusenskille 3 6 2 6 2" xfId="1264" xr:uid="{D466723E-824E-4BCC-9D4A-8BFE9164F512}"/>
    <cellStyle name="Tusenskille 3 6 2 7" xfId="514" xr:uid="{00000000-0005-0000-0000-000015030000}"/>
    <cellStyle name="Tusenskille 3 6 2 7 2" xfId="1354" xr:uid="{BDD97EDD-C70D-4457-881D-929C8380A6A0}"/>
    <cellStyle name="Tusenskille 3 6 2 8" xfId="604" xr:uid="{00000000-0005-0000-0000-000016030000}"/>
    <cellStyle name="Tusenskille 3 6 2 8 2" xfId="1444" xr:uid="{803B2CBD-FF64-4D20-BDE0-2F8BD1E8EA28}"/>
    <cellStyle name="Tusenskille 3 6 2 9" xfId="694" xr:uid="{00000000-0005-0000-0000-000017030000}"/>
    <cellStyle name="Tusenskille 3 6 2 9 2" xfId="1534" xr:uid="{6E6CC338-E2AB-4F6B-9BE3-8FB48BCCE390}"/>
    <cellStyle name="Tusenskille 3 6 3" xfId="79" xr:uid="{00000000-0005-0000-0000-000018030000}"/>
    <cellStyle name="Tusenskille 3 6 3 10" xfId="920" xr:uid="{2946CB59-3B86-47B2-8CD2-9280DDE44764}"/>
    <cellStyle name="Tusenskille 3 6 3 2" xfId="172" xr:uid="{00000000-0005-0000-0000-000019030000}"/>
    <cellStyle name="Tusenskille 3 6 3 2 2" xfId="1012" xr:uid="{B421A947-4A2B-48E3-BC04-E8D16471DE2C}"/>
    <cellStyle name="Tusenskille 3 6 3 3" xfId="262" xr:uid="{00000000-0005-0000-0000-00001A030000}"/>
    <cellStyle name="Tusenskille 3 6 3 3 2" xfId="1102" xr:uid="{BF76C85C-178A-48CA-9D4E-0AF3FBB3A2E1}"/>
    <cellStyle name="Tusenskille 3 6 3 4" xfId="352" xr:uid="{00000000-0005-0000-0000-00001B030000}"/>
    <cellStyle name="Tusenskille 3 6 3 4 2" xfId="1192" xr:uid="{AB25DD62-B213-40EB-9DFC-69352C5AE259}"/>
    <cellStyle name="Tusenskille 3 6 3 5" xfId="442" xr:uid="{00000000-0005-0000-0000-00001C030000}"/>
    <cellStyle name="Tusenskille 3 6 3 5 2" xfId="1282" xr:uid="{14FB7CDB-4758-44B7-AAB8-FDCF62177D8F}"/>
    <cellStyle name="Tusenskille 3 6 3 6" xfId="532" xr:uid="{00000000-0005-0000-0000-00001D030000}"/>
    <cellStyle name="Tusenskille 3 6 3 6 2" xfId="1372" xr:uid="{1170AADC-94EC-4F39-B4EC-F0475236F112}"/>
    <cellStyle name="Tusenskille 3 6 3 7" xfId="622" xr:uid="{00000000-0005-0000-0000-00001E030000}"/>
    <cellStyle name="Tusenskille 3 6 3 7 2" xfId="1462" xr:uid="{4CE43891-580A-419D-85CB-F11B0C9D728D}"/>
    <cellStyle name="Tusenskille 3 6 3 8" xfId="712" xr:uid="{00000000-0005-0000-0000-00001F030000}"/>
    <cellStyle name="Tusenskille 3 6 3 8 2" xfId="1552" xr:uid="{2204DCB1-8CAA-4750-9DEF-1AD372C45058}"/>
    <cellStyle name="Tusenskille 3 6 3 9" xfId="809" xr:uid="{00000000-0005-0000-0000-000020030000}"/>
    <cellStyle name="Tusenskille 3 6 3 9 2" xfId="1649" xr:uid="{B9351EE7-1966-4113-AB70-FF06D36FB69C}"/>
    <cellStyle name="Tusenskille 3 6 4" xfId="135" xr:uid="{00000000-0005-0000-0000-000021030000}"/>
    <cellStyle name="Tusenskille 3 6 4 2" xfId="975" xr:uid="{E4D64A95-2B16-4CB6-B629-B89BDDF0C548}"/>
    <cellStyle name="Tusenskille 3 6 5" xfId="225" xr:uid="{00000000-0005-0000-0000-000022030000}"/>
    <cellStyle name="Tusenskille 3 6 5 2" xfId="1065" xr:uid="{82CD6C15-24A0-498E-8ECB-E35389058E93}"/>
    <cellStyle name="Tusenskille 3 6 6" xfId="315" xr:uid="{00000000-0005-0000-0000-000023030000}"/>
    <cellStyle name="Tusenskille 3 6 6 2" xfId="1155" xr:uid="{347C129C-3C8B-484B-9AAF-71BD21DE116C}"/>
    <cellStyle name="Tusenskille 3 6 7" xfId="405" xr:uid="{00000000-0005-0000-0000-000024030000}"/>
    <cellStyle name="Tusenskille 3 6 7 2" xfId="1245" xr:uid="{1AE61FD9-8334-4313-AB00-62417E9925A7}"/>
    <cellStyle name="Tusenskille 3 6 8" xfId="495" xr:uid="{00000000-0005-0000-0000-000025030000}"/>
    <cellStyle name="Tusenskille 3 6 8 2" xfId="1335" xr:uid="{D0C2C566-9BD7-4967-9364-3DE1F727293B}"/>
    <cellStyle name="Tusenskille 3 6 9" xfId="585" xr:uid="{00000000-0005-0000-0000-000026030000}"/>
    <cellStyle name="Tusenskille 3 6 9 2" xfId="1425" xr:uid="{FF0F56E2-FEB2-45AC-B57B-4921FCD2F935}"/>
    <cellStyle name="Tusenskille 3 7" xfId="43" xr:uid="{00000000-0005-0000-0000-000027030000}"/>
    <cellStyle name="Tusenskille 3 7 10" xfId="775" xr:uid="{00000000-0005-0000-0000-000028030000}"/>
    <cellStyle name="Tusenskille 3 7 10 2" xfId="1615" xr:uid="{38DC9E14-0CAE-4AD1-B8EE-49AA704D9349}"/>
    <cellStyle name="Tusenskille 3 7 11" xfId="886" xr:uid="{3CFD50C3-841B-4C6A-B563-1FEAB86D384F}"/>
    <cellStyle name="Tusenskille 3 7 2" xfId="83" xr:uid="{00000000-0005-0000-0000-000029030000}"/>
    <cellStyle name="Tusenskille 3 7 2 10" xfId="924" xr:uid="{F2CF0544-BA7D-47DA-BDB8-56CC9FF7A7CE}"/>
    <cellStyle name="Tusenskille 3 7 2 2" xfId="176" xr:uid="{00000000-0005-0000-0000-00002A030000}"/>
    <cellStyle name="Tusenskille 3 7 2 2 2" xfId="1016" xr:uid="{2CE120B6-291C-490B-B021-A79CC64A42AB}"/>
    <cellStyle name="Tusenskille 3 7 2 3" xfId="266" xr:uid="{00000000-0005-0000-0000-00002B030000}"/>
    <cellStyle name="Tusenskille 3 7 2 3 2" xfId="1106" xr:uid="{FF0AB294-0CB3-479A-91DC-32C1D4077097}"/>
    <cellStyle name="Tusenskille 3 7 2 4" xfId="356" xr:uid="{00000000-0005-0000-0000-00002C030000}"/>
    <cellStyle name="Tusenskille 3 7 2 4 2" xfId="1196" xr:uid="{F6F319C3-88D0-4EF4-BDFD-F1AFBFD670F9}"/>
    <cellStyle name="Tusenskille 3 7 2 5" xfId="446" xr:uid="{00000000-0005-0000-0000-00002D030000}"/>
    <cellStyle name="Tusenskille 3 7 2 5 2" xfId="1286" xr:uid="{8358B159-09E7-4A9E-BEC6-FD571CFC0385}"/>
    <cellStyle name="Tusenskille 3 7 2 6" xfId="536" xr:uid="{00000000-0005-0000-0000-00002E030000}"/>
    <cellStyle name="Tusenskille 3 7 2 6 2" xfId="1376" xr:uid="{DC498951-48D5-496C-8EA2-A05E06D2657A}"/>
    <cellStyle name="Tusenskille 3 7 2 7" xfId="626" xr:uid="{00000000-0005-0000-0000-00002F030000}"/>
    <cellStyle name="Tusenskille 3 7 2 7 2" xfId="1466" xr:uid="{6C43558D-CEE4-41C5-87AF-3BCA61B41F47}"/>
    <cellStyle name="Tusenskille 3 7 2 8" xfId="716" xr:uid="{00000000-0005-0000-0000-000030030000}"/>
    <cellStyle name="Tusenskille 3 7 2 8 2" xfId="1556" xr:uid="{40A13116-F5A0-4764-A96F-1242DD0AF6BA}"/>
    <cellStyle name="Tusenskille 3 7 2 9" xfId="813" xr:uid="{00000000-0005-0000-0000-000031030000}"/>
    <cellStyle name="Tusenskille 3 7 2 9 2" xfId="1653" xr:uid="{A6C2046C-5D80-48AF-B236-40576715C464}"/>
    <cellStyle name="Tusenskille 3 7 3" xfId="139" xr:uid="{00000000-0005-0000-0000-000032030000}"/>
    <cellStyle name="Tusenskille 3 7 3 2" xfId="979" xr:uid="{6FFF9B92-6A70-462A-B4A9-71340161E6B7}"/>
    <cellStyle name="Tusenskille 3 7 4" xfId="229" xr:uid="{00000000-0005-0000-0000-000033030000}"/>
    <cellStyle name="Tusenskille 3 7 4 2" xfId="1069" xr:uid="{38D25841-CC9B-4D39-B51A-CA54541EA2DF}"/>
    <cellStyle name="Tusenskille 3 7 5" xfId="319" xr:uid="{00000000-0005-0000-0000-000034030000}"/>
    <cellStyle name="Tusenskille 3 7 5 2" xfId="1159" xr:uid="{35D389AD-DEA1-4034-86CE-9B718B4344D4}"/>
    <cellStyle name="Tusenskille 3 7 6" xfId="409" xr:uid="{00000000-0005-0000-0000-000035030000}"/>
    <cellStyle name="Tusenskille 3 7 6 2" xfId="1249" xr:uid="{A3E315C1-90CD-479A-A6B5-96B8A3C25936}"/>
    <cellStyle name="Tusenskille 3 7 7" xfId="499" xr:uid="{00000000-0005-0000-0000-000036030000}"/>
    <cellStyle name="Tusenskille 3 7 7 2" xfId="1339" xr:uid="{617245B6-1179-40D6-87B7-A6FFFD8A5E9C}"/>
    <cellStyle name="Tusenskille 3 7 8" xfId="589" xr:uid="{00000000-0005-0000-0000-000037030000}"/>
    <cellStyle name="Tusenskille 3 7 8 2" xfId="1429" xr:uid="{806A95A6-45DA-4ADA-8386-8F7CC54AA548}"/>
    <cellStyle name="Tusenskille 3 7 9" xfId="679" xr:uid="{00000000-0005-0000-0000-000038030000}"/>
    <cellStyle name="Tusenskille 3 7 9 2" xfId="1519" xr:uid="{3A9C2160-20C3-4CAA-A57F-C2BB7A1B297D}"/>
    <cellStyle name="Tusenskille 3 8" xfId="64" xr:uid="{00000000-0005-0000-0000-000039030000}"/>
    <cellStyle name="Tusenskille 3 8 10" xfId="905" xr:uid="{6E28E894-686C-44FA-8DF8-A441BA6D42EB}"/>
    <cellStyle name="Tusenskille 3 8 2" xfId="157" xr:uid="{00000000-0005-0000-0000-00003A030000}"/>
    <cellStyle name="Tusenskille 3 8 2 2" xfId="997" xr:uid="{FF70AE52-F8C0-4448-899C-4B447B7DD937}"/>
    <cellStyle name="Tusenskille 3 8 3" xfId="247" xr:uid="{00000000-0005-0000-0000-00003B030000}"/>
    <cellStyle name="Tusenskille 3 8 3 2" xfId="1087" xr:uid="{BB4560D6-6AC1-4ECC-BBC0-B4BE7A0EC2AE}"/>
    <cellStyle name="Tusenskille 3 8 4" xfId="337" xr:uid="{00000000-0005-0000-0000-00003C030000}"/>
    <cellStyle name="Tusenskille 3 8 4 2" xfId="1177" xr:uid="{F3D41E91-5C09-48AC-9315-1FD47B16064A}"/>
    <cellStyle name="Tusenskille 3 8 5" xfId="427" xr:uid="{00000000-0005-0000-0000-00003D030000}"/>
    <cellStyle name="Tusenskille 3 8 5 2" xfId="1267" xr:uid="{5E48FB9B-ECD3-468F-B503-890A6819CFE7}"/>
    <cellStyle name="Tusenskille 3 8 6" xfId="517" xr:uid="{00000000-0005-0000-0000-00003E030000}"/>
    <cellStyle name="Tusenskille 3 8 6 2" xfId="1357" xr:uid="{324E6451-93F1-4ACB-A068-28E5FFFF480B}"/>
    <cellStyle name="Tusenskille 3 8 7" xfId="607" xr:uid="{00000000-0005-0000-0000-00003F030000}"/>
    <cellStyle name="Tusenskille 3 8 7 2" xfId="1447" xr:uid="{5DE296C6-01EB-4261-BCB9-E1B933FA4458}"/>
    <cellStyle name="Tusenskille 3 8 8" xfId="697" xr:uid="{00000000-0005-0000-0000-000040030000}"/>
    <cellStyle name="Tusenskille 3 8 8 2" xfId="1537" xr:uid="{31E84AFB-36A0-4CD9-9B58-E7162EDE9E7A}"/>
    <cellStyle name="Tusenskille 3 8 9" xfId="794" xr:uid="{00000000-0005-0000-0000-000041030000}"/>
    <cellStyle name="Tusenskille 3 8 9 2" xfId="1634" xr:uid="{A951DD37-5D7F-41F8-A8BB-D8ED5FE360B4}"/>
    <cellStyle name="Tusenskille 3 9" xfId="102" xr:uid="{00000000-0005-0000-0000-000042030000}"/>
    <cellStyle name="Tusenskille 3 9 10" xfId="942" xr:uid="{4EA5C88D-EE11-46AA-B606-E26BF2D85728}"/>
    <cellStyle name="Tusenskille 3 9 2" xfId="194" xr:uid="{00000000-0005-0000-0000-000043030000}"/>
    <cellStyle name="Tusenskille 3 9 2 2" xfId="1034" xr:uid="{B0DD81FC-BECB-4037-B251-36D2FA8BF318}"/>
    <cellStyle name="Tusenskille 3 9 3" xfId="284" xr:uid="{00000000-0005-0000-0000-000044030000}"/>
    <cellStyle name="Tusenskille 3 9 3 2" xfId="1124" xr:uid="{170582A0-012B-4E2C-BA54-6836434AEBE5}"/>
    <cellStyle name="Tusenskille 3 9 4" xfId="374" xr:uid="{00000000-0005-0000-0000-000045030000}"/>
    <cellStyle name="Tusenskille 3 9 4 2" xfId="1214" xr:uid="{2ACCAAE5-4AEC-4A71-BEF9-4F277B863537}"/>
    <cellStyle name="Tusenskille 3 9 5" xfId="464" xr:uid="{00000000-0005-0000-0000-000046030000}"/>
    <cellStyle name="Tusenskille 3 9 5 2" xfId="1304" xr:uid="{171D9817-34F6-4FCF-8CBD-BC17086BE607}"/>
    <cellStyle name="Tusenskille 3 9 6" xfId="554" xr:uid="{00000000-0005-0000-0000-000047030000}"/>
    <cellStyle name="Tusenskille 3 9 6 2" xfId="1394" xr:uid="{F61658FF-BEB1-4D1D-B2FE-E43AAF0B1303}"/>
    <cellStyle name="Tusenskille 3 9 7" xfId="644" xr:uid="{00000000-0005-0000-0000-000048030000}"/>
    <cellStyle name="Tusenskille 3 9 7 2" xfId="1484" xr:uid="{728CA0EA-F11C-4703-A6BA-B546C5599F05}"/>
    <cellStyle name="Tusenskille 3 9 8" xfId="734" xr:uid="{00000000-0005-0000-0000-000049030000}"/>
    <cellStyle name="Tusenskille 3 9 8 2" xfId="1574" xr:uid="{3521F300-6BA2-47A0-BD39-DEF798087049}"/>
    <cellStyle name="Tusenskille 3 9 9" xfId="831" xr:uid="{00000000-0005-0000-0000-00004A030000}"/>
    <cellStyle name="Tusenskille 3 9 9 2" xfId="1671" xr:uid="{96C3DC17-4F8C-4A5E-A464-6CE9099CA962}"/>
    <cellStyle name="Tusenskille 4" xfId="17" xr:uid="{00000000-0005-0000-0000-00004B030000}"/>
    <cellStyle name="Tusenskille 4 2" xfId="753" xr:uid="{00000000-0005-0000-0000-00004C030000}"/>
    <cellStyle name="Tusenskille 4 2 2" xfId="1593" xr:uid="{85048E69-976E-4CEE-96D5-2649425C6A5A}"/>
    <cellStyle name="Tusenskille 4 3" xfId="864" xr:uid="{F683F683-66AD-4631-BE70-552F9C778962}"/>
    <cellStyle name="Tusenskille 5" xfId="13" xr:uid="{00000000-0005-0000-0000-00004D030000}"/>
    <cellStyle name="Tusenskille 5 2" xfId="749" xr:uid="{00000000-0005-0000-0000-00004E030000}"/>
    <cellStyle name="Tusenskille 5 2 2" xfId="1589" xr:uid="{0A59A8B3-D508-4744-8E14-683E749B7631}"/>
    <cellStyle name="Tusenskille 5 3" xfId="860" xr:uid="{CDB14E7F-2B51-4454-847B-197811D1CA9B}"/>
    <cellStyle name="Tusenskille 6" xfId="115" xr:uid="{00000000-0005-0000-0000-00004F030000}"/>
    <cellStyle name="Tusenskille 6 2" xfId="955" xr:uid="{B65DE480-5C2C-4131-A827-68DDA18717B2}"/>
    <cellStyle name="TusenskilleFjernNull" xfId="846" xr:uid="{00000000-0005-0000-0000-000050030000}"/>
  </cellStyles>
  <dxfs count="136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8E9D6"/>
      <color rgb="FFFFFF99"/>
      <color rgb="FFF7D7F7"/>
      <color rgb="FFFCD2E2"/>
      <color rgb="FFD2F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onnections" Target="connections.xml"/><Relationship Id="rId47" Type="http://schemas.openxmlformats.org/officeDocument/2006/relationships/customXml" Target="../customXml/item1.xml"/><Relationship Id="rId50"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140801174953532"/>
          <c:y val="9.8477480734069936E-2"/>
          <c:w val="0.74903048765490665"/>
          <c:h val="0.65437502946862602"/>
        </c:manualLayout>
      </c:layout>
      <c:barChart>
        <c:barDir val="col"/>
        <c:grouping val="clustered"/>
        <c:varyColors val="0"/>
        <c:ser>
          <c:idx val="0"/>
          <c:order val="0"/>
          <c:tx>
            <c:strRef>
              <c:f>Figurer!$M$7</c:f>
              <c:strCache>
                <c:ptCount val="1"/>
                <c:pt idx="0">
                  <c:v>2024</c:v>
                </c:pt>
              </c:strCache>
            </c:strRef>
          </c:tx>
          <c:invertIfNegative val="0"/>
          <c:cat>
            <c:strRef>
              <c:f>Figurer!$L$8:$L$30</c:f>
              <c:strCache>
                <c:ptCount val="23"/>
                <c:pt idx="0">
                  <c:v>DNB Liv</c:v>
                </c:pt>
                <c:pt idx="1">
                  <c:v>Euro Accident</c:v>
                </c:pt>
                <c:pt idx="2">
                  <c:v>Fremtind Livsfors</c:v>
                </c:pt>
                <c:pt idx="3">
                  <c:v>Frende Livsfors</c:v>
                </c:pt>
                <c:pt idx="4">
                  <c:v>Frende Skade</c:v>
                </c:pt>
                <c:pt idx="5">
                  <c:v>Gjensidige Fors</c:v>
                </c:pt>
                <c:pt idx="6">
                  <c:v>Gjensidige Pensj</c:v>
                </c:pt>
                <c:pt idx="7">
                  <c:v>If Skadefors</c:v>
                </c:pt>
                <c:pt idx="8">
                  <c:v>KLP</c:v>
                </c:pt>
                <c:pt idx="9">
                  <c:v>KLP Skadef</c:v>
                </c:pt>
                <c:pt idx="10">
                  <c:v>Knif Trygghet Fors.</c:v>
                </c:pt>
                <c:pt idx="11">
                  <c:v>Landkreditt Fors.</c:v>
                </c:pt>
                <c:pt idx="12">
                  <c:v>Ly Forsikring</c:v>
                </c:pt>
                <c:pt idx="13">
                  <c:v>Nordea Liv</c:v>
                </c:pt>
                <c:pt idx="14">
                  <c:v>Oslo Forsikring</c:v>
                </c:pt>
                <c:pt idx="15">
                  <c:v>OPF</c:v>
                </c:pt>
                <c:pt idx="16">
                  <c:v>Protector Fors</c:v>
                </c:pt>
                <c:pt idx="17">
                  <c:v>SpareBank 1 Forsikring</c:v>
                </c:pt>
                <c:pt idx="18">
                  <c:v>Storebrand Liv</c:v>
                </c:pt>
                <c:pt idx="19">
                  <c:v>Telenor Fors</c:v>
                </c:pt>
                <c:pt idx="20">
                  <c:v>Tryg Fors</c:v>
                </c:pt>
                <c:pt idx="21">
                  <c:v>WaterCircles Fors.</c:v>
                </c:pt>
                <c:pt idx="22">
                  <c:v>Youplus Livsf</c:v>
                </c:pt>
              </c:strCache>
            </c:strRef>
          </c:cat>
          <c:val>
            <c:numRef>
              <c:f>Figurer!$M$8:$M$30</c:f>
              <c:numCache>
                <c:formatCode>#,##0</c:formatCode>
                <c:ptCount val="23"/>
                <c:pt idx="0">
                  <c:v>3461953</c:v>
                </c:pt>
                <c:pt idx="1">
                  <c:v>57607</c:v>
                </c:pt>
                <c:pt idx="2">
                  <c:v>4225621.7292200001</c:v>
                </c:pt>
                <c:pt idx="3">
                  <c:v>630989</c:v>
                </c:pt>
                <c:pt idx="4">
                  <c:v>2550.2539999999999</c:v>
                </c:pt>
                <c:pt idx="5">
                  <c:v>2307390.4688399998</c:v>
                </c:pt>
                <c:pt idx="6">
                  <c:v>1077042</c:v>
                </c:pt>
                <c:pt idx="7">
                  <c:v>733957.59109304007</c:v>
                </c:pt>
                <c:pt idx="8">
                  <c:v>60669623.227650002</c:v>
                </c:pt>
                <c:pt idx="9">
                  <c:v>390022.27399999998</c:v>
                </c:pt>
                <c:pt idx="10">
                  <c:v>47903</c:v>
                </c:pt>
                <c:pt idx="11">
                  <c:v>112297</c:v>
                </c:pt>
                <c:pt idx="12">
                  <c:v>32229.312999999998</c:v>
                </c:pt>
                <c:pt idx="13">
                  <c:v>1799637.4678502949</c:v>
                </c:pt>
                <c:pt idx="14">
                  <c:v>33970</c:v>
                </c:pt>
                <c:pt idx="15">
                  <c:v>8288469.449</c:v>
                </c:pt>
                <c:pt idx="16">
                  <c:v>398078</c:v>
                </c:pt>
                <c:pt idx="17">
                  <c:v>917537.71678000002</c:v>
                </c:pt>
                <c:pt idx="18">
                  <c:v>8057784.6228</c:v>
                </c:pt>
                <c:pt idx="19">
                  <c:v>9397</c:v>
                </c:pt>
                <c:pt idx="20">
                  <c:v>876213.18599999999</c:v>
                </c:pt>
                <c:pt idx="21">
                  <c:v>1705</c:v>
                </c:pt>
                <c:pt idx="22">
                  <c:v>63809</c:v>
                </c:pt>
              </c:numCache>
            </c:numRef>
          </c:val>
          <c:extLst>
            <c:ext xmlns:c16="http://schemas.microsoft.com/office/drawing/2014/chart" uri="{C3380CC4-5D6E-409C-BE32-E72D297353CC}">
              <c16:uniqueId val="{00000002-93AE-4CD9-98AD-A52686D1F9FB}"/>
            </c:ext>
          </c:extLst>
        </c:ser>
        <c:ser>
          <c:idx val="1"/>
          <c:order val="1"/>
          <c:tx>
            <c:strRef>
              <c:f>Figurer!$N$7</c:f>
              <c:strCache>
                <c:ptCount val="1"/>
                <c:pt idx="0">
                  <c:v>2025</c:v>
                </c:pt>
              </c:strCache>
            </c:strRef>
          </c:tx>
          <c:invertIfNegative val="0"/>
          <c:cat>
            <c:strRef>
              <c:f>Figurer!$L$8:$L$30</c:f>
              <c:strCache>
                <c:ptCount val="23"/>
                <c:pt idx="0">
                  <c:v>DNB Liv</c:v>
                </c:pt>
                <c:pt idx="1">
                  <c:v>Euro Accident</c:v>
                </c:pt>
                <c:pt idx="2">
                  <c:v>Fremtind Livsfors</c:v>
                </c:pt>
                <c:pt idx="3">
                  <c:v>Frende Livsfors</c:v>
                </c:pt>
                <c:pt idx="4">
                  <c:v>Frende Skade</c:v>
                </c:pt>
                <c:pt idx="5">
                  <c:v>Gjensidige Fors</c:v>
                </c:pt>
                <c:pt idx="6">
                  <c:v>Gjensidige Pensj</c:v>
                </c:pt>
                <c:pt idx="7">
                  <c:v>If Skadefors</c:v>
                </c:pt>
                <c:pt idx="8">
                  <c:v>KLP</c:v>
                </c:pt>
                <c:pt idx="9">
                  <c:v>KLP Skadef</c:v>
                </c:pt>
                <c:pt idx="10">
                  <c:v>Knif Trygghet Fors.</c:v>
                </c:pt>
                <c:pt idx="11">
                  <c:v>Landkreditt Fors.</c:v>
                </c:pt>
                <c:pt idx="12">
                  <c:v>Ly Forsikring</c:v>
                </c:pt>
                <c:pt idx="13">
                  <c:v>Nordea Liv</c:v>
                </c:pt>
                <c:pt idx="14">
                  <c:v>Oslo Forsikring</c:v>
                </c:pt>
                <c:pt idx="15">
                  <c:v>OPF</c:v>
                </c:pt>
                <c:pt idx="16">
                  <c:v>Protector Fors</c:v>
                </c:pt>
                <c:pt idx="17">
                  <c:v>SpareBank 1 Forsikring</c:v>
                </c:pt>
                <c:pt idx="18">
                  <c:v>Storebrand Liv</c:v>
                </c:pt>
                <c:pt idx="19">
                  <c:v>Telenor Fors</c:v>
                </c:pt>
                <c:pt idx="20">
                  <c:v>Tryg Fors</c:v>
                </c:pt>
                <c:pt idx="21">
                  <c:v>WaterCircles Fors.</c:v>
                </c:pt>
                <c:pt idx="22">
                  <c:v>Youplus Livsf</c:v>
                </c:pt>
              </c:strCache>
            </c:strRef>
          </c:cat>
          <c:val>
            <c:numRef>
              <c:f>Figurer!$N$8:$N$30</c:f>
              <c:numCache>
                <c:formatCode>#,##0</c:formatCode>
                <c:ptCount val="23"/>
                <c:pt idx="0">
                  <c:v>3677032.7709999997</c:v>
                </c:pt>
                <c:pt idx="1">
                  <c:v>85983</c:v>
                </c:pt>
                <c:pt idx="2">
                  <c:v>4533249.1602600003</c:v>
                </c:pt>
                <c:pt idx="3">
                  <c:v>713447</c:v>
                </c:pt>
                <c:pt idx="4">
                  <c:v>294.02600000000001</c:v>
                </c:pt>
                <c:pt idx="5">
                  <c:v>2360593.8763300003</c:v>
                </c:pt>
                <c:pt idx="6">
                  <c:v>1219230</c:v>
                </c:pt>
                <c:pt idx="7">
                  <c:v>818211.84543254902</c:v>
                </c:pt>
                <c:pt idx="8">
                  <c:v>64854285.533829994</c:v>
                </c:pt>
                <c:pt idx="9">
                  <c:v>424342</c:v>
                </c:pt>
                <c:pt idx="10">
                  <c:v>52660</c:v>
                </c:pt>
                <c:pt idx="11">
                  <c:v>177161</c:v>
                </c:pt>
                <c:pt idx="12">
                  <c:v>35801</c:v>
                </c:pt>
                <c:pt idx="13">
                  <c:v>1992049.536412423</c:v>
                </c:pt>
                <c:pt idx="14">
                  <c:v>36370</c:v>
                </c:pt>
                <c:pt idx="15">
                  <c:v>7886826</c:v>
                </c:pt>
                <c:pt idx="16">
                  <c:v>421754.99</c:v>
                </c:pt>
                <c:pt idx="17">
                  <c:v>984220.4021699999</c:v>
                </c:pt>
                <c:pt idx="18">
                  <c:v>8996950.7571099997</c:v>
                </c:pt>
                <c:pt idx="19">
                  <c:v>7737</c:v>
                </c:pt>
                <c:pt idx="20">
                  <c:v>904615</c:v>
                </c:pt>
                <c:pt idx="21">
                  <c:v>1629</c:v>
                </c:pt>
                <c:pt idx="22">
                  <c:v>101840</c:v>
                </c:pt>
              </c:numCache>
            </c:numRef>
          </c:val>
          <c:extLst>
            <c:ext xmlns:c16="http://schemas.microsoft.com/office/drawing/2014/chart" uri="{C3380CC4-5D6E-409C-BE32-E72D297353CC}">
              <c16:uniqueId val="{00000003-93AE-4CD9-98AD-A52686D1F9FB}"/>
            </c:ext>
          </c:extLst>
        </c:ser>
        <c:dLbls>
          <c:showLegendKey val="0"/>
          <c:showVal val="0"/>
          <c:showCatName val="0"/>
          <c:showSerName val="0"/>
          <c:showPercent val="0"/>
          <c:showBubbleSize val="0"/>
        </c:dLbls>
        <c:gapWidth val="150"/>
        <c:axId val="242174208"/>
        <c:axId val="242180096"/>
      </c:barChart>
      <c:catAx>
        <c:axId val="2421742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180096"/>
        <c:crosses val="autoZero"/>
        <c:auto val="1"/>
        <c:lblAlgn val="ctr"/>
        <c:lblOffset val="100"/>
        <c:tickLblSkip val="1"/>
        <c:tickMarkSkip val="1"/>
        <c:noMultiLvlLbl val="0"/>
      </c:catAx>
      <c:valAx>
        <c:axId val="242180096"/>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444532284870034E-3"/>
              <c:y val="0.3517112756115066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174208"/>
        <c:crosses val="autoZero"/>
        <c:crossBetween val="between"/>
      </c:valAx>
    </c:plotArea>
    <c:legend>
      <c:legendPos val="b"/>
      <c:layout>
        <c:manualLayout>
          <c:xMode val="edge"/>
          <c:yMode val="edge"/>
          <c:x val="0.35321900023541236"/>
          <c:y val="0.94486784960263159"/>
          <c:w val="9.5093936551103805E-2"/>
          <c:h val="3.879799456205698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6608656849620704"/>
          <c:y val="0.10754105736782903"/>
          <c:w val="0.77619271486646502"/>
          <c:h val="0.61573077622722905"/>
        </c:manualLayout>
      </c:layout>
      <c:barChart>
        <c:barDir val="col"/>
        <c:grouping val="clustered"/>
        <c:varyColors val="0"/>
        <c:ser>
          <c:idx val="0"/>
          <c:order val="0"/>
          <c:tx>
            <c:strRef>
              <c:f>Figurer!$M$34</c:f>
              <c:strCache>
                <c:ptCount val="1"/>
                <c:pt idx="0">
                  <c:v>2024</c:v>
                </c:pt>
              </c:strCache>
            </c:strRef>
          </c:tx>
          <c:invertIfNegative val="0"/>
          <c:cat>
            <c:strRef>
              <c:f>Figurer!$L$35:$L$40</c:f>
              <c:strCache>
                <c:ptCount val="6"/>
                <c:pt idx="0">
                  <c:v>DNB Liv</c:v>
                </c:pt>
                <c:pt idx="1">
                  <c:v>Gjensidige Pensj</c:v>
                </c:pt>
                <c:pt idx="2">
                  <c:v>KLP</c:v>
                </c:pt>
                <c:pt idx="3">
                  <c:v>Nordea Liv</c:v>
                </c:pt>
                <c:pt idx="4">
                  <c:v>SpareBank 1 Forsikring</c:v>
                </c:pt>
                <c:pt idx="5">
                  <c:v>Storebrand Liv</c:v>
                </c:pt>
              </c:strCache>
            </c:strRef>
          </c:cat>
          <c:val>
            <c:numRef>
              <c:f>Figurer!$M$35:$M$40</c:f>
              <c:numCache>
                <c:formatCode>#,##0</c:formatCode>
                <c:ptCount val="6"/>
                <c:pt idx="0">
                  <c:v>16859368.662</c:v>
                </c:pt>
                <c:pt idx="1">
                  <c:v>6679158</c:v>
                </c:pt>
                <c:pt idx="2">
                  <c:v>212249.59526999999</c:v>
                </c:pt>
                <c:pt idx="3">
                  <c:v>20423874.86053</c:v>
                </c:pt>
                <c:pt idx="4">
                  <c:v>7740231.3276799992</c:v>
                </c:pt>
                <c:pt idx="5">
                  <c:v>18250962.46195</c:v>
                </c:pt>
              </c:numCache>
            </c:numRef>
          </c:val>
          <c:extLst>
            <c:ext xmlns:c16="http://schemas.microsoft.com/office/drawing/2014/chart" uri="{C3380CC4-5D6E-409C-BE32-E72D297353CC}">
              <c16:uniqueId val="{00000000-3971-4F9A-B5A3-CF52C774B823}"/>
            </c:ext>
          </c:extLst>
        </c:ser>
        <c:ser>
          <c:idx val="1"/>
          <c:order val="1"/>
          <c:tx>
            <c:strRef>
              <c:f>Figurer!$N$34</c:f>
              <c:strCache>
                <c:ptCount val="1"/>
                <c:pt idx="0">
                  <c:v>2025</c:v>
                </c:pt>
              </c:strCache>
            </c:strRef>
          </c:tx>
          <c:invertIfNegative val="0"/>
          <c:cat>
            <c:strRef>
              <c:f>Figurer!$L$35:$L$40</c:f>
              <c:strCache>
                <c:ptCount val="6"/>
                <c:pt idx="0">
                  <c:v>DNB Liv</c:v>
                </c:pt>
                <c:pt idx="1">
                  <c:v>Gjensidige Pensj</c:v>
                </c:pt>
                <c:pt idx="2">
                  <c:v>KLP</c:v>
                </c:pt>
                <c:pt idx="3">
                  <c:v>Nordea Liv</c:v>
                </c:pt>
                <c:pt idx="4">
                  <c:v>SpareBank 1 Forsikring</c:v>
                </c:pt>
                <c:pt idx="5">
                  <c:v>Storebrand Liv</c:v>
                </c:pt>
              </c:strCache>
            </c:strRef>
          </c:cat>
          <c:val>
            <c:numRef>
              <c:f>Figurer!$N$35:$N$40</c:f>
              <c:numCache>
                <c:formatCode>#,##0</c:formatCode>
                <c:ptCount val="6"/>
                <c:pt idx="0">
                  <c:v>18227432.572000001</c:v>
                </c:pt>
                <c:pt idx="1">
                  <c:v>7288498</c:v>
                </c:pt>
                <c:pt idx="2">
                  <c:v>225395.45800000001</c:v>
                </c:pt>
                <c:pt idx="3">
                  <c:v>19600219.480189987</c:v>
                </c:pt>
                <c:pt idx="4">
                  <c:v>8434845.2067599986</c:v>
                </c:pt>
                <c:pt idx="5">
                  <c:v>19022843.448100001</c:v>
                </c:pt>
              </c:numCache>
            </c:numRef>
          </c:val>
          <c:extLst>
            <c:ext xmlns:c16="http://schemas.microsoft.com/office/drawing/2014/chart" uri="{C3380CC4-5D6E-409C-BE32-E72D297353CC}">
              <c16:uniqueId val="{00000001-3971-4F9A-B5A3-CF52C774B823}"/>
            </c:ext>
          </c:extLst>
        </c:ser>
        <c:dLbls>
          <c:showLegendKey val="0"/>
          <c:showVal val="0"/>
          <c:showCatName val="0"/>
          <c:showSerName val="0"/>
          <c:showPercent val="0"/>
          <c:showBubbleSize val="0"/>
        </c:dLbls>
        <c:gapWidth val="150"/>
        <c:axId val="242208128"/>
        <c:axId val="242427008"/>
      </c:barChart>
      <c:catAx>
        <c:axId val="2422081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427008"/>
        <c:crosses val="autoZero"/>
        <c:auto val="1"/>
        <c:lblAlgn val="ctr"/>
        <c:lblOffset val="100"/>
        <c:tickLblSkip val="1"/>
        <c:tickMarkSkip val="1"/>
        <c:noMultiLvlLbl val="0"/>
      </c:catAx>
      <c:valAx>
        <c:axId val="24242700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541508114698515E-3"/>
              <c:y val="0.33962311853875432"/>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208128"/>
        <c:crosses val="autoZero"/>
        <c:crossBetween val="between"/>
      </c:valAx>
    </c:plotArea>
    <c:legend>
      <c:legendPos val="b"/>
      <c:layout>
        <c:manualLayout>
          <c:xMode val="edge"/>
          <c:yMode val="edge"/>
          <c:x val="0.34749475592659351"/>
          <c:y val="0.93710900423161392"/>
          <c:w val="0.23943149676571668"/>
          <c:h val="5.0314424982592074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034622721340161"/>
          <c:y val="7.9682070044274814E-2"/>
          <c:w val="0.72950920069418312"/>
          <c:h val="0.62009389947752291"/>
        </c:manualLayout>
      </c:layout>
      <c:barChart>
        <c:barDir val="col"/>
        <c:grouping val="clustered"/>
        <c:varyColors val="0"/>
        <c:ser>
          <c:idx val="0"/>
          <c:order val="0"/>
          <c:tx>
            <c:strRef>
              <c:f>Figurer!$M$52</c:f>
              <c:strCache>
                <c:ptCount val="1"/>
                <c:pt idx="0">
                  <c:v>2024</c:v>
                </c:pt>
              </c:strCache>
            </c:strRef>
          </c:tx>
          <c:invertIfNegative val="0"/>
          <c:cat>
            <c:strRef>
              <c:f>Figurer!$L$53:$L$73</c:f>
              <c:strCache>
                <c:ptCount val="21"/>
                <c:pt idx="0">
                  <c:v>DNB Liv</c:v>
                </c:pt>
                <c:pt idx="1">
                  <c:v>Euro Accident</c:v>
                </c:pt>
                <c:pt idx="2">
                  <c:v>Fremtind Livsfors</c:v>
                </c:pt>
                <c:pt idx="3">
                  <c:v>Frende Livsfors</c:v>
                </c:pt>
                <c:pt idx="4">
                  <c:v>Gjensidige Fors</c:v>
                </c:pt>
                <c:pt idx="5">
                  <c:v>Gjensidige Pensj</c:v>
                </c:pt>
                <c:pt idx="6">
                  <c:v>If Skadefors</c:v>
                </c:pt>
                <c:pt idx="7">
                  <c:v>KLP</c:v>
                </c:pt>
                <c:pt idx="8">
                  <c:v>KLP Skadef</c:v>
                </c:pt>
                <c:pt idx="9">
                  <c:v>Knif Trygghet Fors.</c:v>
                </c:pt>
                <c:pt idx="10">
                  <c:v>Landkreditt Fors</c:v>
                </c:pt>
                <c:pt idx="11">
                  <c:v>Ly Forsikring</c:v>
                </c:pt>
                <c:pt idx="12">
                  <c:v>Nordea Liv</c:v>
                </c:pt>
                <c:pt idx="13">
                  <c:v>Oslo Forsikring</c:v>
                </c:pt>
                <c:pt idx="14">
                  <c:v>OPF</c:v>
                </c:pt>
                <c:pt idx="15">
                  <c:v>SpareBank 1 Forsikring</c:v>
                </c:pt>
                <c:pt idx="16">
                  <c:v>Storebrand Liv</c:v>
                </c:pt>
                <c:pt idx="17">
                  <c:v>Telenor Forsikring</c:v>
                </c:pt>
                <c:pt idx="18">
                  <c:v>Tryg Forsikring</c:v>
                </c:pt>
                <c:pt idx="19">
                  <c:v>WaterCicles Fors.</c:v>
                </c:pt>
                <c:pt idx="20">
                  <c:v>Youplus Livsf</c:v>
                </c:pt>
              </c:strCache>
            </c:strRef>
          </c:cat>
          <c:val>
            <c:numRef>
              <c:f>Figurer!$M$53:$M$73</c:f>
              <c:numCache>
                <c:formatCode>#,##0</c:formatCode>
                <c:ptCount val="21"/>
                <c:pt idx="0">
                  <c:v>180833727.40624002</c:v>
                </c:pt>
                <c:pt idx="1">
                  <c:v>0</c:v>
                </c:pt>
                <c:pt idx="2">
                  <c:v>6584967.8127199998</c:v>
                </c:pt>
                <c:pt idx="3">
                  <c:v>1788691</c:v>
                </c:pt>
                <c:pt idx="4">
                  <c:v>0</c:v>
                </c:pt>
                <c:pt idx="5">
                  <c:v>10849100</c:v>
                </c:pt>
                <c:pt idx="6">
                  <c:v>629850.56915</c:v>
                </c:pt>
                <c:pt idx="7">
                  <c:v>799889817.73760998</c:v>
                </c:pt>
                <c:pt idx="8">
                  <c:v>170090.69199999998</c:v>
                </c:pt>
                <c:pt idx="9">
                  <c:v>12104</c:v>
                </c:pt>
                <c:pt idx="10">
                  <c:v>0</c:v>
                </c:pt>
                <c:pt idx="11">
                  <c:v>0</c:v>
                </c:pt>
                <c:pt idx="12">
                  <c:v>54748349.999999203</c:v>
                </c:pt>
                <c:pt idx="13">
                  <c:v>0</c:v>
                </c:pt>
                <c:pt idx="14">
                  <c:v>130120437</c:v>
                </c:pt>
                <c:pt idx="15">
                  <c:v>22598085.538499996</c:v>
                </c:pt>
                <c:pt idx="16">
                  <c:v>211434057.99526995</c:v>
                </c:pt>
                <c:pt idx="17">
                  <c:v>0</c:v>
                </c:pt>
                <c:pt idx="18">
                  <c:v>0</c:v>
                </c:pt>
                <c:pt idx="19">
                  <c:v>0</c:v>
                </c:pt>
                <c:pt idx="20">
                  <c:v>53820</c:v>
                </c:pt>
              </c:numCache>
            </c:numRef>
          </c:val>
          <c:extLst>
            <c:ext xmlns:c16="http://schemas.microsoft.com/office/drawing/2014/chart" uri="{C3380CC4-5D6E-409C-BE32-E72D297353CC}">
              <c16:uniqueId val="{00000000-F5D7-4882-A9B6-45C2F0317A05}"/>
            </c:ext>
          </c:extLst>
        </c:ser>
        <c:ser>
          <c:idx val="1"/>
          <c:order val="1"/>
          <c:tx>
            <c:strRef>
              <c:f>Figurer!$N$52</c:f>
              <c:strCache>
                <c:ptCount val="1"/>
                <c:pt idx="0">
                  <c:v>2025</c:v>
                </c:pt>
              </c:strCache>
            </c:strRef>
          </c:tx>
          <c:invertIfNegative val="0"/>
          <c:cat>
            <c:strRef>
              <c:f>Figurer!$L$53:$L$73</c:f>
              <c:strCache>
                <c:ptCount val="21"/>
                <c:pt idx="0">
                  <c:v>DNB Liv</c:v>
                </c:pt>
                <c:pt idx="1">
                  <c:v>Euro Accident</c:v>
                </c:pt>
                <c:pt idx="2">
                  <c:v>Fremtind Livsfors</c:v>
                </c:pt>
                <c:pt idx="3">
                  <c:v>Frende Livsfors</c:v>
                </c:pt>
                <c:pt idx="4">
                  <c:v>Gjensidige Fors</c:v>
                </c:pt>
                <c:pt idx="5">
                  <c:v>Gjensidige Pensj</c:v>
                </c:pt>
                <c:pt idx="6">
                  <c:v>If Skadefors</c:v>
                </c:pt>
                <c:pt idx="7">
                  <c:v>KLP</c:v>
                </c:pt>
                <c:pt idx="8">
                  <c:v>KLP Skadef</c:v>
                </c:pt>
                <c:pt idx="9">
                  <c:v>Knif Trygghet Fors.</c:v>
                </c:pt>
                <c:pt idx="10">
                  <c:v>Landkreditt Fors</c:v>
                </c:pt>
                <c:pt idx="11">
                  <c:v>Ly Forsikring</c:v>
                </c:pt>
                <c:pt idx="12">
                  <c:v>Nordea Liv</c:v>
                </c:pt>
                <c:pt idx="13">
                  <c:v>Oslo Forsikring</c:v>
                </c:pt>
                <c:pt idx="14">
                  <c:v>OPF</c:v>
                </c:pt>
                <c:pt idx="15">
                  <c:v>SpareBank 1 Forsikring</c:v>
                </c:pt>
                <c:pt idx="16">
                  <c:v>Storebrand Liv</c:v>
                </c:pt>
                <c:pt idx="17">
                  <c:v>Telenor Forsikring</c:v>
                </c:pt>
                <c:pt idx="18">
                  <c:v>Tryg Forsikring</c:v>
                </c:pt>
                <c:pt idx="19">
                  <c:v>WaterCicles Fors.</c:v>
                </c:pt>
                <c:pt idx="20">
                  <c:v>Youplus Livsf</c:v>
                </c:pt>
              </c:strCache>
            </c:strRef>
          </c:cat>
          <c:val>
            <c:numRef>
              <c:f>Figurer!$N$53:$N$73</c:f>
              <c:numCache>
                <c:formatCode>#,##0</c:formatCode>
                <c:ptCount val="21"/>
                <c:pt idx="0">
                  <c:v>179445597.19069999</c:v>
                </c:pt>
                <c:pt idx="1">
                  <c:v>0</c:v>
                </c:pt>
                <c:pt idx="2">
                  <c:v>7209116.00973</c:v>
                </c:pt>
                <c:pt idx="3">
                  <c:v>2151638</c:v>
                </c:pt>
                <c:pt idx="4">
                  <c:v>0</c:v>
                </c:pt>
                <c:pt idx="5">
                  <c:v>11860831</c:v>
                </c:pt>
                <c:pt idx="6">
                  <c:v>1056749.0176899999</c:v>
                </c:pt>
                <c:pt idx="7">
                  <c:v>867538617.59638</c:v>
                </c:pt>
                <c:pt idx="8">
                  <c:v>261965</c:v>
                </c:pt>
                <c:pt idx="9">
                  <c:v>10968</c:v>
                </c:pt>
                <c:pt idx="10">
                  <c:v>0</c:v>
                </c:pt>
                <c:pt idx="11">
                  <c:v>0</c:v>
                </c:pt>
                <c:pt idx="12">
                  <c:v>56197529.99999965</c:v>
                </c:pt>
                <c:pt idx="13">
                  <c:v>0</c:v>
                </c:pt>
                <c:pt idx="14">
                  <c:v>140520533</c:v>
                </c:pt>
                <c:pt idx="15">
                  <c:v>26604089.189259999</c:v>
                </c:pt>
                <c:pt idx="16">
                  <c:v>221885288.55203003</c:v>
                </c:pt>
                <c:pt idx="17">
                  <c:v>0</c:v>
                </c:pt>
                <c:pt idx="18">
                  <c:v>0</c:v>
                </c:pt>
                <c:pt idx="19">
                  <c:v>0</c:v>
                </c:pt>
                <c:pt idx="20">
                  <c:v>97369</c:v>
                </c:pt>
              </c:numCache>
            </c:numRef>
          </c:val>
          <c:extLst>
            <c:ext xmlns:c16="http://schemas.microsoft.com/office/drawing/2014/chart" uri="{C3380CC4-5D6E-409C-BE32-E72D297353CC}">
              <c16:uniqueId val="{00000001-F5D7-4882-A9B6-45C2F0317A05}"/>
            </c:ext>
          </c:extLst>
        </c:ser>
        <c:dLbls>
          <c:showLegendKey val="0"/>
          <c:showVal val="0"/>
          <c:showCatName val="0"/>
          <c:showSerName val="0"/>
          <c:showPercent val="0"/>
          <c:showBubbleSize val="0"/>
        </c:dLbls>
        <c:gapWidth val="150"/>
        <c:axId val="242742784"/>
        <c:axId val="242744320"/>
      </c:barChart>
      <c:catAx>
        <c:axId val="2427427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744320"/>
        <c:crosses val="autoZero"/>
        <c:auto val="1"/>
        <c:lblAlgn val="ctr"/>
        <c:lblOffset val="100"/>
        <c:tickLblSkip val="1"/>
        <c:tickMarkSkip val="1"/>
        <c:noMultiLvlLbl val="0"/>
      </c:catAx>
      <c:valAx>
        <c:axId val="24274432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4590163934426229E-2"/>
              <c:y val="0.348659765843878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742784"/>
        <c:crosses val="autoZero"/>
        <c:crossBetween val="between"/>
      </c:valAx>
    </c:plotArea>
    <c:legend>
      <c:legendPos val="b"/>
      <c:layout>
        <c:manualLayout>
          <c:xMode val="edge"/>
          <c:yMode val="edge"/>
          <c:x val="0.36156705821608365"/>
          <c:y val="0.94061493998643431"/>
          <c:w val="0.21357027092924838"/>
          <c:h val="4.597693827597392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826753749914957"/>
          <c:y val="9.2115610054672017E-2"/>
          <c:w val="0.74306560247500353"/>
          <c:h val="0.6114621490399017"/>
        </c:manualLayout>
      </c:layout>
      <c:barChart>
        <c:barDir val="col"/>
        <c:grouping val="clustered"/>
        <c:varyColors val="0"/>
        <c:ser>
          <c:idx val="0"/>
          <c:order val="0"/>
          <c:tx>
            <c:strRef>
              <c:f>Figurer!$M$84</c:f>
              <c:strCache>
                <c:ptCount val="1"/>
                <c:pt idx="0">
                  <c:v>2024</c:v>
                </c:pt>
              </c:strCache>
            </c:strRef>
          </c:tx>
          <c:invertIfNegative val="0"/>
          <c:cat>
            <c:strRef>
              <c:f>Figurer!$L$85:$L$90</c:f>
              <c:strCache>
                <c:ptCount val="6"/>
                <c:pt idx="0">
                  <c:v>DNB Liv</c:v>
                </c:pt>
                <c:pt idx="1">
                  <c:v>Gjensidige Pensj</c:v>
                </c:pt>
                <c:pt idx="2">
                  <c:v>KLP</c:v>
                </c:pt>
                <c:pt idx="3">
                  <c:v>Nordea Liv</c:v>
                </c:pt>
                <c:pt idx="4">
                  <c:v>SpareBank 1 Forsikring</c:v>
                </c:pt>
                <c:pt idx="5">
                  <c:v>Storebrand Liv</c:v>
                </c:pt>
              </c:strCache>
            </c:strRef>
          </c:cat>
          <c:val>
            <c:numRef>
              <c:f>Figurer!$M$85:$M$90</c:f>
              <c:numCache>
                <c:formatCode>#,##0</c:formatCode>
                <c:ptCount val="6"/>
                <c:pt idx="0">
                  <c:v>202254881.60222104</c:v>
                </c:pt>
                <c:pt idx="1">
                  <c:v>76891950</c:v>
                </c:pt>
                <c:pt idx="2">
                  <c:v>2886767.1387900002</c:v>
                </c:pt>
                <c:pt idx="3">
                  <c:v>184044040</c:v>
                </c:pt>
                <c:pt idx="4">
                  <c:v>85361398.641639888</c:v>
                </c:pt>
                <c:pt idx="5">
                  <c:v>248216030.50176004</c:v>
                </c:pt>
              </c:numCache>
            </c:numRef>
          </c:val>
          <c:extLst>
            <c:ext xmlns:c16="http://schemas.microsoft.com/office/drawing/2014/chart" uri="{C3380CC4-5D6E-409C-BE32-E72D297353CC}">
              <c16:uniqueId val="{00000000-62B1-4395-80F9-424B1553CC96}"/>
            </c:ext>
          </c:extLst>
        </c:ser>
        <c:ser>
          <c:idx val="1"/>
          <c:order val="1"/>
          <c:tx>
            <c:strRef>
              <c:f>Figurer!$N$84</c:f>
              <c:strCache>
                <c:ptCount val="1"/>
                <c:pt idx="0">
                  <c:v>2025</c:v>
                </c:pt>
              </c:strCache>
            </c:strRef>
          </c:tx>
          <c:invertIfNegative val="0"/>
          <c:cat>
            <c:strRef>
              <c:f>Figurer!$L$85:$L$90</c:f>
              <c:strCache>
                <c:ptCount val="6"/>
                <c:pt idx="0">
                  <c:v>DNB Liv</c:v>
                </c:pt>
                <c:pt idx="1">
                  <c:v>Gjensidige Pensj</c:v>
                </c:pt>
                <c:pt idx="2">
                  <c:v>KLP</c:v>
                </c:pt>
                <c:pt idx="3">
                  <c:v>Nordea Liv</c:v>
                </c:pt>
                <c:pt idx="4">
                  <c:v>SpareBank 1 Forsikring</c:v>
                </c:pt>
                <c:pt idx="5">
                  <c:v>Storebrand Liv</c:v>
                </c:pt>
              </c:strCache>
            </c:strRef>
          </c:cat>
          <c:val>
            <c:numRef>
              <c:f>Figurer!$N$85:$N$90</c:f>
              <c:numCache>
                <c:formatCode>#,##0</c:formatCode>
                <c:ptCount val="6"/>
                <c:pt idx="0">
                  <c:v>246023350.20497</c:v>
                </c:pt>
                <c:pt idx="1">
                  <c:v>91581450</c:v>
                </c:pt>
                <c:pt idx="2">
                  <c:v>3013494.0432199999</c:v>
                </c:pt>
                <c:pt idx="3">
                  <c:v>215644490</c:v>
                </c:pt>
                <c:pt idx="4">
                  <c:v>97749643.522389993</c:v>
                </c:pt>
                <c:pt idx="5">
                  <c:v>282187700.89528</c:v>
                </c:pt>
              </c:numCache>
            </c:numRef>
          </c:val>
          <c:extLst>
            <c:ext xmlns:c16="http://schemas.microsoft.com/office/drawing/2014/chart" uri="{C3380CC4-5D6E-409C-BE32-E72D297353CC}">
              <c16:uniqueId val="{00000001-62B1-4395-80F9-424B1553CC96}"/>
            </c:ext>
          </c:extLst>
        </c:ser>
        <c:dLbls>
          <c:showLegendKey val="0"/>
          <c:showVal val="0"/>
          <c:showCatName val="0"/>
          <c:showSerName val="0"/>
          <c:showPercent val="0"/>
          <c:showBubbleSize val="0"/>
        </c:dLbls>
        <c:gapWidth val="150"/>
        <c:axId val="243158400"/>
        <c:axId val="243164288"/>
      </c:barChart>
      <c:catAx>
        <c:axId val="24315840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3164288"/>
        <c:crosses val="autoZero"/>
        <c:auto val="1"/>
        <c:lblAlgn val="ctr"/>
        <c:lblOffset val="100"/>
        <c:tickLblSkip val="1"/>
        <c:tickMarkSkip val="1"/>
        <c:noMultiLvlLbl val="0"/>
      </c:catAx>
      <c:valAx>
        <c:axId val="24316428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5920873124147342E-2"/>
              <c:y val="0.335443860031330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158400"/>
        <c:crosses val="autoZero"/>
        <c:crossBetween val="between"/>
      </c:valAx>
    </c:plotArea>
    <c:legend>
      <c:legendPos val="b"/>
      <c:layout>
        <c:manualLayout>
          <c:xMode val="edge"/>
          <c:yMode val="edge"/>
          <c:x val="0.34561192811335145"/>
          <c:y val="0.93671075700518092"/>
          <c:w val="0.23419750566649891"/>
          <c:h val="4.8523233014845533E-2"/>
        </c:manualLayout>
      </c:layout>
      <c:overlay val="0"/>
      <c:txPr>
        <a:bodyPr/>
        <a:lstStyle/>
        <a:p>
          <a:pPr>
            <a:defRPr sz="595"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614144699303892"/>
          <c:y val="8.40864305054419E-2"/>
          <c:w val="0.75271796188519913"/>
          <c:h val="0.62564087493112053"/>
        </c:manualLayout>
      </c:layout>
      <c:barChart>
        <c:barDir val="col"/>
        <c:grouping val="clustered"/>
        <c:varyColors val="0"/>
        <c:ser>
          <c:idx val="0"/>
          <c:order val="0"/>
          <c:tx>
            <c:strRef>
              <c:f>Figurer!$M$99</c:f>
              <c:strCache>
                <c:ptCount val="1"/>
                <c:pt idx="0">
                  <c:v>2024</c:v>
                </c:pt>
              </c:strCache>
            </c:strRef>
          </c:tx>
          <c:invertIfNegative val="0"/>
          <c:cat>
            <c:strRef>
              <c:f>Figurer!$L$100:$L$105</c:f>
              <c:strCache>
                <c:ptCount val="6"/>
                <c:pt idx="0">
                  <c:v>DNB Liv</c:v>
                </c:pt>
                <c:pt idx="1">
                  <c:v>Gjensidige Pensj</c:v>
                </c:pt>
                <c:pt idx="2">
                  <c:v>KLP</c:v>
                </c:pt>
                <c:pt idx="3">
                  <c:v>Nordea Liv</c:v>
                </c:pt>
                <c:pt idx="4">
                  <c:v>SpareBank 1 Forsikring</c:v>
                </c:pt>
                <c:pt idx="5">
                  <c:v>Storebrand Liv</c:v>
                </c:pt>
              </c:strCache>
            </c:strRef>
          </c:cat>
          <c:val>
            <c:numRef>
              <c:f>Figurer!$M$100:$M$105</c:f>
              <c:numCache>
                <c:formatCode>#,##0</c:formatCode>
                <c:ptCount val="6"/>
                <c:pt idx="0">
                  <c:v>761574</c:v>
                </c:pt>
                <c:pt idx="1">
                  <c:v>71465</c:v>
                </c:pt>
                <c:pt idx="2">
                  <c:v>-2420417.111</c:v>
                </c:pt>
                <c:pt idx="3">
                  <c:v>18021.551449999803</c:v>
                </c:pt>
                <c:pt idx="4">
                  <c:v>-5650.6208700000061</c:v>
                </c:pt>
                <c:pt idx="5">
                  <c:v>2283149.0040899999</c:v>
                </c:pt>
              </c:numCache>
            </c:numRef>
          </c:val>
          <c:extLst>
            <c:ext xmlns:c16="http://schemas.microsoft.com/office/drawing/2014/chart" uri="{C3380CC4-5D6E-409C-BE32-E72D297353CC}">
              <c16:uniqueId val="{00000000-2BF8-4278-857F-91A0E7196849}"/>
            </c:ext>
          </c:extLst>
        </c:ser>
        <c:ser>
          <c:idx val="1"/>
          <c:order val="1"/>
          <c:tx>
            <c:strRef>
              <c:f>Figurer!$N$99</c:f>
              <c:strCache>
                <c:ptCount val="1"/>
                <c:pt idx="0">
                  <c:v>2025</c:v>
                </c:pt>
              </c:strCache>
            </c:strRef>
          </c:tx>
          <c:invertIfNegative val="0"/>
          <c:cat>
            <c:strRef>
              <c:f>Figurer!$L$100:$L$105</c:f>
              <c:strCache>
                <c:ptCount val="6"/>
                <c:pt idx="0">
                  <c:v>DNB Liv</c:v>
                </c:pt>
                <c:pt idx="1">
                  <c:v>Gjensidige Pensj</c:v>
                </c:pt>
                <c:pt idx="2">
                  <c:v>KLP</c:v>
                </c:pt>
                <c:pt idx="3">
                  <c:v>Nordea Liv</c:v>
                </c:pt>
                <c:pt idx="4">
                  <c:v>SpareBank 1 Forsikring</c:v>
                </c:pt>
                <c:pt idx="5">
                  <c:v>Storebrand Liv</c:v>
                </c:pt>
              </c:strCache>
            </c:strRef>
          </c:cat>
          <c:val>
            <c:numRef>
              <c:f>Figurer!$N$100:$N$105</c:f>
              <c:numCache>
                <c:formatCode>#,##0</c:formatCode>
                <c:ptCount val="6"/>
                <c:pt idx="0">
                  <c:v>1043732</c:v>
                </c:pt>
                <c:pt idx="1">
                  <c:v>112388</c:v>
                </c:pt>
                <c:pt idx="2">
                  <c:v>-4126398.057</c:v>
                </c:pt>
                <c:pt idx="3">
                  <c:v>-4235.0054200007007</c:v>
                </c:pt>
                <c:pt idx="4">
                  <c:v>961605.20893999992</c:v>
                </c:pt>
                <c:pt idx="5">
                  <c:v>3506527.6740899999</c:v>
                </c:pt>
              </c:numCache>
            </c:numRef>
          </c:val>
          <c:extLst>
            <c:ext xmlns:c16="http://schemas.microsoft.com/office/drawing/2014/chart" uri="{C3380CC4-5D6E-409C-BE32-E72D297353CC}">
              <c16:uniqueId val="{00000000-0891-419B-84DB-F579F6588129}"/>
            </c:ext>
          </c:extLst>
        </c:ser>
        <c:dLbls>
          <c:showLegendKey val="0"/>
          <c:showVal val="0"/>
          <c:showCatName val="0"/>
          <c:showSerName val="0"/>
          <c:showPercent val="0"/>
          <c:showBubbleSize val="0"/>
        </c:dLbls>
        <c:gapWidth val="150"/>
        <c:axId val="243201536"/>
        <c:axId val="243203072"/>
      </c:barChart>
      <c:catAx>
        <c:axId val="243201536"/>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203072"/>
        <c:crosses val="autoZero"/>
        <c:auto val="1"/>
        <c:lblAlgn val="ctr"/>
        <c:lblOffset val="100"/>
        <c:tickLblSkip val="1"/>
        <c:tickMarkSkip val="1"/>
        <c:noMultiLvlLbl val="0"/>
      </c:catAx>
      <c:valAx>
        <c:axId val="243203072"/>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1739130434782612E-2"/>
              <c:y val="0.3575528341124432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201536"/>
        <c:crosses val="autoZero"/>
        <c:crossBetween val="between"/>
      </c:valAx>
    </c:plotArea>
    <c:legend>
      <c:legendPos val="b"/>
      <c:layout>
        <c:manualLayout>
          <c:xMode val="edge"/>
          <c:yMode val="edge"/>
          <c:x val="0.34737347369622462"/>
          <c:y val="0.94455128774817365"/>
          <c:w val="9.6515177450644751E-2"/>
          <c:h val="4.553361351874527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253853430922791"/>
          <c:y val="8.5614035087719767E-2"/>
          <c:w val="0.75564702786135474"/>
          <c:h val="0.63649189114519311"/>
        </c:manualLayout>
      </c:layout>
      <c:barChart>
        <c:barDir val="col"/>
        <c:grouping val="clustered"/>
        <c:varyColors val="0"/>
        <c:ser>
          <c:idx val="0"/>
          <c:order val="0"/>
          <c:tx>
            <c:strRef>
              <c:f>Figurer!$M$121</c:f>
              <c:strCache>
                <c:ptCount val="1"/>
                <c:pt idx="0">
                  <c:v>2024</c:v>
                </c:pt>
              </c:strCache>
            </c:strRef>
          </c:tx>
          <c:invertIfNegative val="0"/>
          <c:cat>
            <c:strRef>
              <c:f>Figurer!$L$122:$L$127</c:f>
              <c:strCache>
                <c:ptCount val="6"/>
                <c:pt idx="0">
                  <c:v>DNB Liv</c:v>
                </c:pt>
                <c:pt idx="1">
                  <c:v>Gjensidige Pensj</c:v>
                </c:pt>
                <c:pt idx="2">
                  <c:v>KLP</c:v>
                </c:pt>
                <c:pt idx="3">
                  <c:v>Nordea Liv</c:v>
                </c:pt>
                <c:pt idx="4">
                  <c:v>SpareBank 1 Forsikring</c:v>
                </c:pt>
                <c:pt idx="5">
                  <c:v>Storebrand Liv</c:v>
                </c:pt>
              </c:strCache>
            </c:strRef>
          </c:cat>
          <c:val>
            <c:numRef>
              <c:f>Figurer!$M$122:$M$127</c:f>
              <c:numCache>
                <c:formatCode>#,##0</c:formatCode>
                <c:ptCount val="6"/>
                <c:pt idx="0">
                  <c:v>-2758047</c:v>
                </c:pt>
                <c:pt idx="1">
                  <c:v>1422067</c:v>
                </c:pt>
                <c:pt idx="2">
                  <c:v>-1022.97</c:v>
                </c:pt>
                <c:pt idx="3">
                  <c:v>1235747.5686399993</c:v>
                </c:pt>
                <c:pt idx="4">
                  <c:v>-120529.58741999976</c:v>
                </c:pt>
                <c:pt idx="5">
                  <c:v>-5044639.8881800007</c:v>
                </c:pt>
              </c:numCache>
            </c:numRef>
          </c:val>
          <c:extLst>
            <c:ext xmlns:c16="http://schemas.microsoft.com/office/drawing/2014/chart" uri="{C3380CC4-5D6E-409C-BE32-E72D297353CC}">
              <c16:uniqueId val="{00000000-B400-4C26-965B-0553A4A37873}"/>
            </c:ext>
          </c:extLst>
        </c:ser>
        <c:ser>
          <c:idx val="1"/>
          <c:order val="1"/>
          <c:tx>
            <c:strRef>
              <c:f>Figurer!$N$121</c:f>
              <c:strCache>
                <c:ptCount val="1"/>
                <c:pt idx="0">
                  <c:v>2025</c:v>
                </c:pt>
              </c:strCache>
            </c:strRef>
          </c:tx>
          <c:invertIfNegative val="0"/>
          <c:cat>
            <c:strRef>
              <c:f>Figurer!$L$122:$L$127</c:f>
              <c:strCache>
                <c:ptCount val="6"/>
                <c:pt idx="0">
                  <c:v>DNB Liv</c:v>
                </c:pt>
                <c:pt idx="1">
                  <c:v>Gjensidige Pensj</c:v>
                </c:pt>
                <c:pt idx="2">
                  <c:v>KLP</c:v>
                </c:pt>
                <c:pt idx="3">
                  <c:v>Nordea Liv</c:v>
                </c:pt>
                <c:pt idx="4">
                  <c:v>SpareBank 1 Forsikring</c:v>
                </c:pt>
                <c:pt idx="5">
                  <c:v>Storebrand Liv</c:v>
                </c:pt>
              </c:strCache>
            </c:strRef>
          </c:cat>
          <c:val>
            <c:numRef>
              <c:f>Figurer!$N$122:$N$127</c:f>
              <c:numCache>
                <c:formatCode>#,##0</c:formatCode>
                <c:ptCount val="6"/>
                <c:pt idx="0">
                  <c:v>942398.09800000116</c:v>
                </c:pt>
                <c:pt idx="1">
                  <c:v>518363</c:v>
                </c:pt>
                <c:pt idx="2">
                  <c:v>-3933.2139999999999</c:v>
                </c:pt>
                <c:pt idx="3">
                  <c:v>2065667.5428100005</c:v>
                </c:pt>
                <c:pt idx="4">
                  <c:v>-311584.14071999956</c:v>
                </c:pt>
                <c:pt idx="5">
                  <c:v>-7489197.776949998</c:v>
                </c:pt>
              </c:numCache>
            </c:numRef>
          </c:val>
          <c:extLst>
            <c:ext xmlns:c16="http://schemas.microsoft.com/office/drawing/2014/chart" uri="{C3380CC4-5D6E-409C-BE32-E72D297353CC}">
              <c16:uniqueId val="{00000001-B400-4C26-965B-0553A4A37873}"/>
            </c:ext>
          </c:extLst>
        </c:ser>
        <c:dLbls>
          <c:showLegendKey val="0"/>
          <c:showVal val="0"/>
          <c:showCatName val="0"/>
          <c:showSerName val="0"/>
          <c:showPercent val="0"/>
          <c:showBubbleSize val="0"/>
        </c:dLbls>
        <c:gapWidth val="150"/>
        <c:axId val="243686400"/>
        <c:axId val="243700480"/>
      </c:barChart>
      <c:catAx>
        <c:axId val="243686400"/>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700480"/>
        <c:crosses val="autoZero"/>
        <c:auto val="1"/>
        <c:lblAlgn val="ctr"/>
        <c:lblOffset val="100"/>
        <c:tickLblSkip val="1"/>
        <c:tickMarkSkip val="1"/>
        <c:noMultiLvlLbl val="0"/>
      </c:catAx>
      <c:valAx>
        <c:axId val="24370048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3.3875338753387642E-2"/>
              <c:y val="0.330526785811528"/>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686400"/>
        <c:crosses val="autoZero"/>
        <c:crossBetween val="between"/>
      </c:valAx>
    </c:plotArea>
    <c:legend>
      <c:legendPos val="b"/>
      <c:layout>
        <c:manualLayout>
          <c:xMode val="edge"/>
          <c:yMode val="edge"/>
          <c:x val="0.35049740733627832"/>
          <c:y val="0.93473780507726956"/>
          <c:w val="0.23080411696505387"/>
          <c:h val="4.842116727110387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389792</xdr:colOff>
      <xdr:row>15</xdr:row>
      <xdr:rowOff>381000</xdr:rowOff>
    </xdr:from>
    <xdr:to>
      <xdr:col>4</xdr:col>
      <xdr:colOff>598714</xdr:colOff>
      <xdr:row>17</xdr:row>
      <xdr:rowOff>137745</xdr:rowOff>
    </xdr:to>
    <xdr:sp macro="" textlink="">
      <xdr:nvSpPr>
        <xdr:cNvPr id="2" name="Text Box 6">
          <a:extLst>
            <a:ext uri="{FF2B5EF4-FFF2-40B4-BE49-F238E27FC236}">
              <a16:creationId xmlns:a16="http://schemas.microsoft.com/office/drawing/2014/main" id="{499D6C09-8686-4BF0-B91B-3858981A64B8}"/>
            </a:ext>
          </a:extLst>
        </xdr:cNvPr>
        <xdr:cNvSpPr txBox="1"/>
      </xdr:nvSpPr>
      <xdr:spPr>
        <a:xfrm>
          <a:off x="389792" y="3343275"/>
          <a:ext cx="3256922" cy="613995"/>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4. KVARTAL 2025</a:t>
          </a:r>
          <a:r>
            <a:rPr lang="nb-NO" sz="1600" b="1" baseline="0">
              <a:effectLst/>
              <a:latin typeface="Arial"/>
              <a:ea typeface="ＭＳ 明朝"/>
              <a:cs typeface="Times New Roman"/>
            </a:rPr>
            <a:t> </a:t>
          </a:r>
          <a:r>
            <a:rPr lang="nb-NO" sz="1200">
              <a:effectLst/>
              <a:latin typeface="Arial"/>
              <a:ea typeface="ＭＳ 明朝"/>
              <a:cs typeface="Times New Roman"/>
            </a:rPr>
            <a:t>(25</a:t>
          </a:r>
          <a:r>
            <a:rPr lang="nb-NO" sz="1200">
              <a:solidFill>
                <a:schemeClr val="dk1"/>
              </a:solidFill>
              <a:effectLst/>
              <a:latin typeface="Arial"/>
              <a:ea typeface="ＭＳ 明朝"/>
              <a:cs typeface="Times New Roman"/>
            </a:rPr>
            <a:t>.03.2026</a:t>
          </a:r>
          <a:r>
            <a:rPr lang="nb-NO" sz="1200">
              <a:effectLst/>
              <a:latin typeface="Arial"/>
              <a:ea typeface="ＭＳ 明朝"/>
              <a:cs typeface="Times New Roman"/>
            </a:rPr>
            <a:t>)</a:t>
          </a:r>
          <a:endParaRPr lang="nb-NO" sz="1200">
            <a:effectLst/>
            <a:ea typeface="ＭＳ 明朝"/>
            <a:cs typeface="Times New Roman"/>
          </a:endParaRPr>
        </a:p>
      </xdr:txBody>
    </xdr:sp>
    <xdr:clientData/>
  </xdr:twoCellAnchor>
  <xdr:twoCellAnchor>
    <xdr:from>
      <xdr:col>0</xdr:col>
      <xdr:colOff>306161</xdr:colOff>
      <xdr:row>11</xdr:row>
      <xdr:rowOff>29845</xdr:rowOff>
    </xdr:from>
    <xdr:to>
      <xdr:col>8</xdr:col>
      <xdr:colOff>137584</xdr:colOff>
      <xdr:row>15</xdr:row>
      <xdr:rowOff>127000</xdr:rowOff>
    </xdr:to>
    <xdr:sp macro="" textlink="">
      <xdr:nvSpPr>
        <xdr:cNvPr id="3" name="Text Box 4">
          <a:extLst>
            <a:ext uri="{FF2B5EF4-FFF2-40B4-BE49-F238E27FC236}">
              <a16:creationId xmlns:a16="http://schemas.microsoft.com/office/drawing/2014/main" id="{4B1AAB3F-EC6D-47A5-BFC8-57614BB19A63}"/>
            </a:ext>
          </a:extLst>
        </xdr:cNvPr>
        <xdr:cNvSpPr txBox="1"/>
      </xdr:nvSpPr>
      <xdr:spPr>
        <a:xfrm>
          <a:off x="306161" y="2125345"/>
          <a:ext cx="6096756" cy="1007322"/>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2800" b="1">
              <a:solidFill>
                <a:srgbClr val="005670"/>
              </a:solidFill>
              <a:effectLst/>
              <a:latin typeface="Arial"/>
              <a:ea typeface="ＭＳ 明朝"/>
              <a:cs typeface="Times New Roman"/>
            </a:rPr>
            <a:t>Markedsandeler</a:t>
          </a:r>
        </a:p>
        <a:p>
          <a:pPr>
            <a:spcAft>
              <a:spcPts val="0"/>
            </a:spcAft>
          </a:pPr>
          <a:r>
            <a:rPr lang="nb-NO" sz="2200" b="0" baseline="0">
              <a:solidFill>
                <a:srgbClr val="005670"/>
              </a:solidFill>
              <a:effectLst/>
              <a:latin typeface="Arial"/>
              <a:ea typeface="ＭＳ 明朝"/>
              <a:cs typeface="Times New Roman"/>
            </a:rPr>
            <a:t> </a:t>
          </a:r>
          <a:r>
            <a:rPr lang="nb-NO" sz="2600" b="0" baseline="0">
              <a:solidFill>
                <a:srgbClr val="005670"/>
              </a:solidFill>
              <a:effectLst/>
              <a:latin typeface="Arial"/>
              <a:ea typeface="ＭＳ 明朝"/>
              <a:cs typeface="Times New Roman"/>
            </a:rPr>
            <a:t>- endelige tall og regnskapsstatistikk</a:t>
          </a:r>
          <a:r>
            <a:rPr lang="nb-NO" sz="2800" b="0">
              <a:solidFill>
                <a:srgbClr val="005670"/>
              </a:solidFill>
              <a:effectLst/>
              <a:latin typeface="Arial"/>
              <a:ea typeface="ＭＳ 明朝"/>
              <a:cs typeface="Times New Roman"/>
            </a:rPr>
            <a:t>	</a:t>
          </a:r>
          <a:endParaRPr lang="nb-NO" sz="1200" b="0">
            <a:solidFill>
              <a:srgbClr val="005670"/>
            </a:solidFill>
            <a:effectLst/>
            <a:ea typeface="ＭＳ 明朝"/>
            <a:cs typeface="Times New Roman"/>
          </a:endParaRPr>
        </a:p>
      </xdr:txBody>
    </xdr:sp>
    <xdr:clientData/>
  </xdr:twoCellAnchor>
  <xdr:twoCellAnchor editAs="oneCell">
    <xdr:from>
      <xdr:col>0</xdr:col>
      <xdr:colOff>419099</xdr:colOff>
      <xdr:row>1</xdr:row>
      <xdr:rowOff>79523</xdr:rowOff>
    </xdr:from>
    <xdr:to>
      <xdr:col>6</xdr:col>
      <xdr:colOff>187496</xdr:colOff>
      <xdr:row>9</xdr:row>
      <xdr:rowOff>10583</xdr:rowOff>
    </xdr:to>
    <xdr:pic>
      <xdr:nvPicPr>
        <xdr:cNvPr id="4" name="Bilde 7">
          <a:extLst>
            <a:ext uri="{FF2B5EF4-FFF2-40B4-BE49-F238E27FC236}">
              <a16:creationId xmlns:a16="http://schemas.microsoft.com/office/drawing/2014/main" id="{1A0320DA-F81B-48DC-A876-A2AA50D0DB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099" y="248856"/>
          <a:ext cx="4467397" cy="1402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6</xdr:row>
      <xdr:rowOff>0</xdr:rowOff>
    </xdr:from>
    <xdr:to>
      <xdr:col>9</xdr:col>
      <xdr:colOff>352425</xdr:colOff>
      <xdr:row>27</xdr:row>
      <xdr:rowOff>9525</xdr:rowOff>
    </xdr:to>
    <xdr:graphicFrame macro="">
      <xdr:nvGraphicFramePr>
        <xdr:cNvPr id="2" name="Chart 1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31</xdr:row>
      <xdr:rowOff>219075</xdr:rowOff>
    </xdr:from>
    <xdr:to>
      <xdr:col>9</xdr:col>
      <xdr:colOff>285750</xdr:colOff>
      <xdr:row>50</xdr:row>
      <xdr:rowOff>123825</xdr:rowOff>
    </xdr:to>
    <xdr:graphicFrame macro="">
      <xdr:nvGraphicFramePr>
        <xdr:cNvPr id="3" name="Chart 1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56</xdr:row>
      <xdr:rowOff>228600</xdr:rowOff>
    </xdr:from>
    <xdr:to>
      <xdr:col>9</xdr:col>
      <xdr:colOff>142875</xdr:colOff>
      <xdr:row>73</xdr:row>
      <xdr:rowOff>180975</xdr:rowOff>
    </xdr:to>
    <xdr:graphicFrame macro="">
      <xdr:nvGraphicFramePr>
        <xdr:cNvPr id="6" name="Chart 1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81</xdr:row>
      <xdr:rowOff>57150</xdr:rowOff>
    </xdr:from>
    <xdr:to>
      <xdr:col>9</xdr:col>
      <xdr:colOff>123825</xdr:colOff>
      <xdr:row>100</xdr:row>
      <xdr:rowOff>114300</xdr:rowOff>
    </xdr:to>
    <xdr:graphicFrame macro="">
      <xdr:nvGraphicFramePr>
        <xdr:cNvPr id="7" name="Chart 1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107</xdr:row>
      <xdr:rowOff>28575</xdr:rowOff>
    </xdr:from>
    <xdr:to>
      <xdr:col>9</xdr:col>
      <xdr:colOff>180975</xdr:colOff>
      <xdr:row>123</xdr:row>
      <xdr:rowOff>200025</xdr:rowOff>
    </xdr:to>
    <xdr:graphicFrame macro="">
      <xdr:nvGraphicFramePr>
        <xdr:cNvPr id="8" name="Chart 1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131</xdr:row>
      <xdr:rowOff>57150</xdr:rowOff>
    </xdr:from>
    <xdr:to>
      <xdr:col>9</xdr:col>
      <xdr:colOff>171450</xdr:colOff>
      <xdr:row>149</xdr:row>
      <xdr:rowOff>123825</xdr:rowOff>
    </xdr:to>
    <xdr:graphicFrame macro="">
      <xdr:nvGraphicFramePr>
        <xdr:cNvPr id="9" name="Chart 1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4</xdr:row>
      <xdr:rowOff>137583</xdr:rowOff>
    </xdr:from>
    <xdr:to>
      <xdr:col>0</xdr:col>
      <xdr:colOff>4064000</xdr:colOff>
      <xdr:row>40</xdr:row>
      <xdr:rowOff>84666</xdr:rowOff>
    </xdr:to>
    <xdr:sp macro="" textlink="">
      <xdr:nvSpPr>
        <xdr:cNvPr id="4" name="Text Box 1026">
          <a:extLst>
            <a:ext uri="{FF2B5EF4-FFF2-40B4-BE49-F238E27FC236}">
              <a16:creationId xmlns:a16="http://schemas.microsoft.com/office/drawing/2014/main" id="{00000000-0008-0000-2100-000004000000}"/>
            </a:ext>
          </a:extLst>
        </xdr:cNvPr>
        <xdr:cNvSpPr txBox="1">
          <a:spLocks noChangeArrowheads="1"/>
        </xdr:cNvSpPr>
      </xdr:nvSpPr>
      <xdr:spPr bwMode="auto">
        <a:xfrm>
          <a:off x="10583" y="772583"/>
          <a:ext cx="4053417" cy="10318750"/>
        </a:xfrm>
        <a:prstGeom prst="rect">
          <a:avLst/>
        </a:prstGeom>
        <a:solidFill>
          <a:srgbClr val="FFFFFF"/>
        </a:solidFill>
        <a:ln w="9525">
          <a:noFill/>
          <a:miter lim="800000"/>
          <a:headEnd/>
          <a:tailEnd/>
        </a:ln>
      </xdr:spPr>
      <xdr:txBody>
        <a:bodyPr vertOverflow="clip" wrap="square" lIns="36576" tIns="32004" rIns="0" bIns="0" anchor="t" upright="1"/>
        <a:lstStyle/>
        <a:p>
          <a:pPr algn="l" rtl="0">
            <a:lnSpc>
              <a:spcPts val="1600"/>
            </a:lnSpc>
            <a:defRPr sz="1000"/>
          </a:pPr>
          <a:r>
            <a:rPr lang="nb-NO" sz="1200" b="1" i="0" strike="noStrike">
              <a:solidFill>
                <a:srgbClr val="000000"/>
              </a:solidFill>
              <a:latin typeface="Times New Roman"/>
              <a:cs typeface="Times New Roman"/>
            </a:rPr>
            <a:t>Selskaper som inngår i statistikken</a:t>
          </a:r>
        </a:p>
        <a:p>
          <a:pPr algn="l" rtl="0">
            <a:lnSpc>
              <a:spcPts val="1600"/>
            </a:lnSpc>
            <a:defRPr sz="1000"/>
          </a:pPr>
          <a:r>
            <a:rPr lang="nb-NO" sz="1200" b="0" i="0" strike="noStrike">
              <a:solidFill>
                <a:srgbClr val="000000"/>
              </a:solidFill>
              <a:latin typeface="Times New Roman"/>
              <a:cs typeface="Times New Roman"/>
            </a:rPr>
            <a:t>Statistikken viser tall for medlemsselskaper i Finans Norge som </a:t>
          </a:r>
          <a:br>
            <a:rPr lang="nb-NO" sz="1200" b="0" i="0" strike="noStrike">
              <a:solidFill>
                <a:srgbClr val="000000"/>
              </a:solidFill>
              <a:latin typeface="Times New Roman"/>
              <a:cs typeface="Times New Roman"/>
            </a:rPr>
          </a:br>
          <a:r>
            <a:rPr lang="nb-NO" sz="1200" b="0" i="0" strike="noStrike">
              <a:solidFill>
                <a:srgbClr val="000000"/>
              </a:solidFill>
              <a:latin typeface="Times New Roman"/>
              <a:cs typeface="Times New Roman"/>
            </a:rPr>
            <a:t>selger livprodukter.</a:t>
          </a:r>
        </a:p>
        <a:p>
          <a:pPr algn="l" rtl="0">
            <a:lnSpc>
              <a:spcPts val="1600"/>
            </a:lnSpc>
            <a:defRPr sz="1000"/>
          </a:pPr>
          <a:endParaRPr lang="nb-NO" sz="1200" b="1"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Produkter uten investeringsvalg</a:t>
          </a:r>
          <a:r>
            <a:rPr lang="nb-NO" sz="1200" b="0" i="0" strike="noStrike">
              <a:solidFill>
                <a:srgbClr val="000000"/>
              </a:solidFill>
              <a:latin typeface="Times New Roman"/>
              <a:cs typeface="Times New Roman"/>
            </a:rPr>
            <a:t>:</a:t>
          </a:r>
        </a:p>
        <a:p>
          <a:pPr marL="0" marR="0" indent="0" algn="l" defTabSz="914400" rtl="0" eaLnBrk="1" fontAlgn="auto" latinLnBrk="0" hangingPunct="1">
            <a:lnSpc>
              <a:spcPts val="1600"/>
            </a:lnSpc>
            <a:spcBef>
              <a:spcPts val="0"/>
            </a:spcBef>
            <a:spcAft>
              <a:spcPts val="0"/>
            </a:spcAft>
            <a:buClrTx/>
            <a:buSzTx/>
            <a:buFontTx/>
            <a:buNone/>
            <a:tabLst/>
            <a:defRPr sz="1000"/>
          </a:pPr>
          <a:r>
            <a:rPr lang="nb-NO" sz="1200" b="0" i="0" strike="noStrike">
              <a:solidFill>
                <a:srgbClr val="000000"/>
              </a:solidFill>
              <a:latin typeface="Times New Roman"/>
              <a:cs typeface="Times New Roman"/>
            </a:rPr>
            <a:t>DNB Livsforsikring ASA</a:t>
          </a:r>
          <a:endParaRPr lang="nb-NO" sz="1200" b="0" i="0" strike="noStrike" baseline="0">
            <a:solidFill>
              <a:srgbClr val="000000"/>
            </a:solidFill>
            <a:latin typeface="Times New Roman"/>
            <a:cs typeface="Times New Roman"/>
          </a:endParaRPr>
        </a:p>
        <a:p>
          <a:pPr algn="l" rtl="0">
            <a:lnSpc>
              <a:spcPts val="1600"/>
            </a:lnSpc>
            <a:defRPr sz="1000"/>
          </a:pPr>
          <a:r>
            <a:rPr lang="nb-NO" sz="1200" b="0" i="0" strike="noStrike" baseline="0">
              <a:solidFill>
                <a:srgbClr val="000000"/>
              </a:solidFill>
              <a:latin typeface="Times New Roman"/>
              <a:cs typeface="Times New Roman"/>
            </a:rPr>
            <a:t>Euro Accident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Frende Livsforsikring</a:t>
          </a:r>
        </a:p>
        <a:p>
          <a:pPr algn="l" rtl="0">
            <a:lnSpc>
              <a:spcPts val="1600"/>
            </a:lnSpc>
            <a:defRPr sz="1000"/>
          </a:pPr>
          <a:r>
            <a:rPr lang="nb-NO" sz="1200" b="0" i="0" strike="noStrike">
              <a:solidFill>
                <a:srgbClr val="000000"/>
              </a:solidFill>
              <a:latin typeface="Times New Roman"/>
              <a:cs typeface="Times New Roman"/>
            </a:rPr>
            <a:t>Frende Skadeforsikring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Gjensidige Forsikring (skadeselskap)</a:t>
          </a:r>
        </a:p>
        <a:p>
          <a:pPr algn="l" rtl="0">
            <a:lnSpc>
              <a:spcPts val="1600"/>
            </a:lnSpc>
            <a:defRPr sz="1000"/>
          </a:pPr>
          <a:r>
            <a:rPr lang="nb-NO" sz="1200" b="0" i="0" strike="noStrike">
              <a:solidFill>
                <a:srgbClr val="000000"/>
              </a:solidFill>
              <a:latin typeface="Times New Roman"/>
              <a:cs typeface="Times New Roman"/>
            </a:rPr>
            <a:t>Gjensidige Pensjonsforsikring</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If Skadeforsikring NUF (skadeselskap)</a:t>
          </a:r>
        </a:p>
        <a:p>
          <a:pPr algn="l" rtl="0">
            <a:lnSpc>
              <a:spcPts val="16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baseline="0">
              <a:solidFill>
                <a:srgbClr val="000000"/>
              </a:solidFill>
              <a:latin typeface="Times New Roman"/>
              <a:cs typeface="Times New Roman"/>
            </a:rPr>
            <a:t>KLP Skadeforsikring AS</a:t>
          </a:r>
        </a:p>
        <a:p>
          <a:pPr algn="l" rtl="0">
            <a:lnSpc>
              <a:spcPts val="1600"/>
            </a:lnSpc>
            <a:defRPr sz="1000"/>
          </a:pPr>
          <a:r>
            <a:rPr lang="nb-NO" sz="1200" b="0" i="0" strike="noStrike" baseline="0">
              <a:solidFill>
                <a:srgbClr val="000000"/>
              </a:solidFill>
              <a:latin typeface="Times New Roman"/>
              <a:cs typeface="Times New Roman"/>
            </a:rPr>
            <a:t>Knif Trygghet Forsikring (skadeselskap)</a:t>
          </a:r>
        </a:p>
        <a:p>
          <a:pPr algn="l" rtl="0">
            <a:lnSpc>
              <a:spcPts val="1600"/>
            </a:lnSpc>
            <a:defRPr sz="1000"/>
          </a:pPr>
          <a:r>
            <a:rPr lang="nb-NO" sz="1200" b="0" i="0" strike="noStrike" baseline="0">
              <a:solidFill>
                <a:srgbClr val="000000"/>
              </a:solidFill>
              <a:latin typeface="Times New Roman"/>
              <a:cs typeface="Times New Roman"/>
            </a:rPr>
            <a:t>Landkreditt Forsikring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Nordea Liv Forsikring</a:t>
          </a:r>
        </a:p>
        <a:p>
          <a:pPr algn="l" rtl="0">
            <a:lnSpc>
              <a:spcPts val="1600"/>
            </a:lnSpc>
            <a:defRPr sz="1000"/>
          </a:pPr>
          <a:r>
            <a:rPr lang="nb-NO" sz="1200" b="0" i="0" strike="noStrike">
              <a:solidFill>
                <a:srgbClr val="000000"/>
              </a:solidFill>
              <a:latin typeface="Times New Roman"/>
              <a:cs typeface="Times New Roman"/>
            </a:rPr>
            <a:t>Ly Forsikring (skadeselskap)</a:t>
          </a:r>
        </a:p>
        <a:p>
          <a:pPr algn="l" rtl="0">
            <a:lnSpc>
              <a:spcPts val="1700"/>
            </a:lnSpc>
            <a:defRPr sz="1000"/>
          </a:pPr>
          <a:r>
            <a:rPr lang="nb-NO" sz="1200" b="0" i="0" strike="noStrike">
              <a:solidFill>
                <a:srgbClr val="000000"/>
              </a:solidFill>
              <a:latin typeface="Times New Roman"/>
              <a:cs typeface="Times New Roman"/>
            </a:rPr>
            <a:t>Oslo Pensjonsforsikring</a:t>
          </a:r>
        </a:p>
        <a:p>
          <a:pPr algn="l" rtl="0">
            <a:lnSpc>
              <a:spcPts val="1600"/>
            </a:lnSpc>
            <a:defRPr sz="1000"/>
          </a:pPr>
          <a:r>
            <a:rPr lang="nb-NO" sz="1200" b="0" i="0" strike="noStrike">
              <a:solidFill>
                <a:srgbClr val="000000"/>
              </a:solidFill>
              <a:latin typeface="Times New Roman"/>
              <a:cs typeface="Times New Roman"/>
            </a:rPr>
            <a:t>Protector Forsikring (skadeselskap)</a:t>
          </a:r>
        </a:p>
        <a:p>
          <a:pPr algn="l" rtl="0">
            <a:lnSpc>
              <a:spcPts val="1700"/>
            </a:lnSpc>
            <a:defRPr sz="1000"/>
          </a:pPr>
          <a:r>
            <a:rPr lang="nb-NO" sz="1200" b="0" i="0" strike="noStrike">
              <a:solidFill>
                <a:srgbClr val="000000"/>
              </a:solidFill>
              <a:latin typeface="Times New Roman"/>
              <a:cs typeface="Times New Roman"/>
            </a:rPr>
            <a:t>SpareBank 1 Forsikring</a:t>
          </a:r>
        </a:p>
        <a:p>
          <a:pPr algn="l" rtl="0">
            <a:lnSpc>
              <a:spcPts val="1600"/>
            </a:lnSpc>
            <a:defRPr sz="1000"/>
          </a:pPr>
          <a:r>
            <a:rPr lang="nb-NO" sz="1200" b="0" i="0" strike="noStrike">
              <a:solidFill>
                <a:srgbClr val="000000"/>
              </a:solidFill>
              <a:latin typeface="Times New Roman"/>
              <a:cs typeface="Times New Roman"/>
            </a:rPr>
            <a:t>Storebrand Livsforsikring</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Telenor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Tryg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WaterCircles Forsikring (Skadeforsikring)</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Youplus Livsforsikring nuf</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700"/>
            </a:lnSpc>
            <a:defRPr sz="1000"/>
          </a:pPr>
          <a:r>
            <a:rPr lang="nb-NO" sz="1200" b="0" i="0" u="sng" strike="noStrike">
              <a:solidFill>
                <a:srgbClr val="000000"/>
              </a:solidFill>
              <a:latin typeface="Times New Roman"/>
              <a:cs typeface="Times New Roman"/>
            </a:rPr>
            <a:t>Produkter med investeringsvalg</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700"/>
            </a:lnSpc>
            <a:defRPr sz="1000"/>
          </a:pPr>
          <a:r>
            <a:rPr lang="nb-NO" sz="1200" b="0" i="0" strike="noStrike">
              <a:solidFill>
                <a:srgbClr val="000000"/>
              </a:solidFill>
              <a:latin typeface="Times New Roman"/>
              <a:cs typeface="Times New Roman"/>
            </a:rPr>
            <a:t>KLP</a:t>
          </a:r>
        </a:p>
        <a:p>
          <a:pPr algn="l" rtl="0">
            <a:lnSpc>
              <a:spcPts val="1700"/>
            </a:lnSpc>
            <a:defRPr sz="1000"/>
          </a:pPr>
          <a:r>
            <a:rPr lang="nb-NO" sz="1200" b="0" i="0" strike="noStrike">
              <a:solidFill>
                <a:srgbClr val="000000"/>
              </a:solidFill>
              <a:latin typeface="Times New Roman"/>
              <a:cs typeface="Times New Roman"/>
            </a:rPr>
            <a:t>Nordea Liv Forsikring</a:t>
          </a:r>
          <a:endParaRPr kumimoji="0" lang="nb-NO" sz="1200" b="0" i="0" u="none" strike="noStrike" kern="0" cap="none" spc="0" normalizeH="0" baseline="0" noProof="0">
            <a:ln>
              <a:noFill/>
            </a:ln>
            <a:solidFill>
              <a:srgbClr val="000000"/>
            </a:solidFill>
            <a:effectLst/>
            <a:uLnTx/>
            <a:uFillTx/>
            <a:latin typeface="Times New Roman"/>
            <a:ea typeface="+mn-ea"/>
            <a:cs typeface="Times New Roman"/>
          </a:endParaRPr>
        </a:p>
        <a:p>
          <a:pPr algn="l" rtl="0">
            <a:lnSpc>
              <a:spcPts val="1600"/>
            </a:lnSpc>
            <a:defRPr sz="1000"/>
          </a:pPr>
          <a:r>
            <a:rPr lang="nb-NO" sz="1200" b="0" i="0" strike="noStrike">
              <a:solidFill>
                <a:srgbClr val="000000"/>
              </a:solidFill>
              <a:latin typeface="Times New Roman"/>
              <a:cs typeface="Times New Roman"/>
            </a:rPr>
            <a:t>SpareBank 1 Forsikring</a:t>
          </a:r>
        </a:p>
        <a:p>
          <a:pPr algn="l" rtl="0">
            <a:lnSpc>
              <a:spcPts val="1700"/>
            </a:lnSpc>
            <a:defRPr sz="1000"/>
          </a:pPr>
          <a:r>
            <a:rPr lang="nb-NO" sz="1200" b="0" i="0" strike="noStrike">
              <a:solidFill>
                <a:srgbClr val="000000"/>
              </a:solidFill>
              <a:latin typeface="Times New Roman"/>
              <a:cs typeface="Times New Roman"/>
            </a:rPr>
            <a:t>Storebrand Livsforsikring</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Utenlandske filialer</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Disse har ikke samme krav til regnskapsføring som norske livselskaper, og rapporterer derfor kun utvalgte</a:t>
          </a:r>
          <a:r>
            <a:rPr lang="nb-NO" sz="1200" b="0" i="0" strike="noStrike" baseline="0">
              <a:solidFill>
                <a:srgbClr val="000000"/>
              </a:solidFill>
              <a:latin typeface="Times New Roman"/>
              <a:cs typeface="Times New Roman"/>
            </a:rPr>
            <a:t> poster</a:t>
          </a:r>
          <a:r>
            <a:rPr lang="nb-NO" sz="1200" b="0" i="0" strike="noStrike">
              <a:solidFill>
                <a:srgbClr val="000000"/>
              </a:solidFill>
              <a:latin typeface="Times New Roman"/>
              <a:cs typeface="Times New Roman"/>
            </a:rPr>
            <a:t>.</a:t>
          </a:r>
        </a:p>
        <a:p>
          <a:pPr algn="l" rtl="0">
            <a:lnSpc>
              <a:spcPts val="16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I figurer og tabeller har enkelte selskap "forkortede" navn.</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xdr:txBody>
    </xdr:sp>
    <xdr:clientData/>
  </xdr:twoCellAnchor>
  <xdr:twoCellAnchor>
    <xdr:from>
      <xdr:col>3</xdr:col>
      <xdr:colOff>455084</xdr:colOff>
      <xdr:row>5</xdr:row>
      <xdr:rowOff>10583</xdr:rowOff>
    </xdr:from>
    <xdr:to>
      <xdr:col>11</xdr:col>
      <xdr:colOff>349250</xdr:colOff>
      <xdr:row>29</xdr:row>
      <xdr:rowOff>63500</xdr:rowOff>
    </xdr:to>
    <xdr:sp macro="" textlink="">
      <xdr:nvSpPr>
        <xdr:cNvPr id="5" name="TekstSylinder 4">
          <a:extLst>
            <a:ext uri="{FF2B5EF4-FFF2-40B4-BE49-F238E27FC236}">
              <a16:creationId xmlns:a16="http://schemas.microsoft.com/office/drawing/2014/main" id="{00000000-0008-0000-2100-000005000000}"/>
            </a:ext>
          </a:extLst>
        </xdr:cNvPr>
        <xdr:cNvSpPr txBox="1"/>
      </xdr:nvSpPr>
      <xdr:spPr>
        <a:xfrm>
          <a:off x="12170834" y="804333"/>
          <a:ext cx="6413499" cy="828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nb-NO">
            <a:effectLst/>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Kommentarer til dataene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u="sng"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u="sng" baseline="0">
              <a:solidFill>
                <a:schemeClr val="dk1"/>
              </a:solidFill>
              <a:effectLst/>
              <a:latin typeface="Times New Roman" panose="02020603050405020304" pitchFamily="18" charset="0"/>
              <a:ea typeface="+mn-ea"/>
              <a:cs typeface="Times New Roman" panose="02020603050405020304" pitchFamily="18" charset="0"/>
            </a:rPr>
            <a:t>Generelle kommentarer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Når det nedenfor står "Endring i 20xx-tall", menes endringer i forhold til tilsvarende periode året før.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Brutto forfalt premie kan regnskapstallene (Tabell 4) være høyere enn markedstallene (Tabell 2a) fordi de kan inneholde tall for skadeforsikring og utenlandsk virksomhet.</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Overførte reserver til/fra andre i markedstallene inngår ikke overførte reserver som gjelder Gruppeliv. Disse vil imidlertid inngå i Tabell 4.</a:t>
          </a:r>
          <a:endParaRPr lang="nb-NO" sz="1100">
            <a:latin typeface="Times New Roman" panose="02020603050405020304" pitchFamily="18" charset="0"/>
            <a:cs typeface="Times New Roman" panose="02020603050405020304" pitchFamily="18" charset="0"/>
          </a:endParaRPr>
        </a:p>
        <a:p>
          <a:endParaRPr lang="nb-NO" sz="1100" u="sng">
            <a:latin typeface="Times New Roman" panose="02020603050405020304" pitchFamily="18" charset="0"/>
            <a:cs typeface="Times New Roman" panose="02020603050405020304" pitchFamily="18" charset="0"/>
          </a:endParaRPr>
        </a:p>
        <a:p>
          <a:r>
            <a:rPr lang="nb-NO" sz="1100" u="sng">
              <a:solidFill>
                <a:schemeClr val="dk1"/>
              </a:solidFill>
              <a:effectLst/>
              <a:latin typeface="+mn-lt"/>
              <a:ea typeface="+mn-ea"/>
              <a:cs typeface="+mn-cs"/>
            </a:rPr>
            <a:t>Knif Trygghet Forsikring</a:t>
          </a:r>
          <a:endParaRPr lang="nb-NO">
            <a:effectLst/>
          </a:endParaRPr>
        </a:p>
        <a:p>
          <a:r>
            <a:rPr lang="nb-NO" sz="1100">
              <a:solidFill>
                <a:schemeClr val="dk1"/>
              </a:solidFill>
              <a:effectLst/>
              <a:latin typeface="+mn-lt"/>
              <a:ea typeface="+mn-ea"/>
              <a:cs typeface="+mn-cs"/>
            </a:rPr>
            <a:t>Selskapet inngår i statistikken</a:t>
          </a:r>
          <a:r>
            <a:rPr lang="nb-NO" sz="1100" baseline="0">
              <a:solidFill>
                <a:schemeClr val="dk1"/>
              </a:solidFill>
              <a:effectLst/>
              <a:latin typeface="+mn-lt"/>
              <a:ea typeface="+mn-ea"/>
              <a:cs typeface="+mn-cs"/>
            </a:rPr>
            <a:t> fra 3.kvartal 2025.</a:t>
          </a:r>
          <a:endParaRPr lang="nb-NO">
            <a:effectLst/>
          </a:endParaRPr>
        </a:p>
        <a:p>
          <a:pPr rtl="0" eaLnBrk="1" fontAlgn="auto" latinLnBrk="0" hangingPunct="1"/>
          <a:endParaRPr lang="nb-NO" sz="1100" u="sng">
            <a:solidFill>
              <a:schemeClr val="dk1"/>
            </a:solidFill>
            <a:effectLst/>
            <a:latin typeface="+mn-lt"/>
            <a:ea typeface="+mn-ea"/>
            <a:cs typeface="+mn-cs"/>
          </a:endParaRPr>
        </a:p>
        <a:p>
          <a:pPr rtl="0" eaLnBrk="1" fontAlgn="auto" latinLnBrk="0" hangingPunct="1"/>
          <a:r>
            <a:rPr lang="nb-NO" sz="1100" u="sng">
              <a:solidFill>
                <a:schemeClr val="dk1"/>
              </a:solidFill>
              <a:effectLst/>
              <a:latin typeface="+mn-lt"/>
              <a:ea typeface="+mn-ea"/>
              <a:cs typeface="+mn-cs"/>
            </a:rPr>
            <a:t>Oslo Pensjonsforsikring:</a:t>
          </a:r>
          <a:endParaRPr lang="nb-NO">
            <a:effectLst/>
          </a:endParaRPr>
        </a:p>
        <a:p>
          <a:pPr rtl="0" eaLnBrk="1" fontAlgn="auto" latinLnBrk="0" hangingPunct="1"/>
          <a:r>
            <a:rPr lang="nb-NO" sz="1100" baseline="0">
              <a:solidFill>
                <a:schemeClr val="dk1"/>
              </a:solidFill>
              <a:effectLst/>
              <a:latin typeface="+mn-lt"/>
              <a:ea typeface="+mn-ea"/>
              <a:cs typeface="+mn-cs"/>
            </a:rPr>
            <a:t>Det tas forbehold om at tallene er foreløpige og vil kunne bli endret.</a:t>
          </a:r>
          <a:br>
            <a:rPr lang="nb-NO" sz="1100" baseline="0">
              <a:solidFill>
                <a:schemeClr val="dk1"/>
              </a:solidFill>
              <a:effectLst/>
              <a:latin typeface="+mn-lt"/>
              <a:ea typeface="+mn-ea"/>
              <a:cs typeface="+mn-cs"/>
            </a:rPr>
          </a:br>
          <a:endParaRPr lang="nb-NO">
            <a:effectLst/>
          </a:endParaRPr>
        </a:p>
        <a:p>
          <a:pPr marL="0" indent="0"/>
          <a:endParaRPr lang="nb-NO" sz="1100" u="none">
            <a:solidFill>
              <a:schemeClr val="dk1"/>
            </a:solidFill>
            <a:latin typeface="Times New Roman" panose="02020603050405020304" pitchFamily="18" charset="0"/>
            <a:ea typeface="+mn-ea"/>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Innsamlede data</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innsamlede data er identiske med det som forekommer i statistikken.</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underliggende tallene for statistikken er med en desimal, men statistikktallene publiseres uten desimaler. </a:t>
          </a: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Det betyr at sumtall i formler kan avvike fra de synlige summene.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1"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Prosentendringer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Prosentendringer med tallverdi ≥ 1000 gjengis som enten 999 eller - 999. Sammenligner vi tall med samme fortegn, vil vi få prosentøkning når vi går fra lavere tallverdi til høyere tallverdi. Sammenligner vi tall med ulike fortegn, vil vi få prosentøkning når vi går fra negative tall til positive tall. Prosentendringer fra negative tall til 0 (null) = + 100, mens prosentendringer fra positive tall til 0 (null) = - 100. Prosentendringer fra 0 til positive eller negative tall angis ikke (---). Det samme gjelder små tallstørrelser som vises som 0.</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ile01\finansnorge\SFA\Statistikk%20og%20analyse\Fellessaker\Ny%20presentasjon%20MA\Overset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at"/>
      <sheetName val="Oppslagstabeller"/>
      <sheetName val="Oversetter"/>
    </sheetNames>
    <sheetDataSet>
      <sheetData sheetId="0"/>
      <sheetData sheetId="1">
        <row r="1">
          <cell r="A1" t="str">
            <v>selskap_id</v>
          </cell>
          <cell r="B1" t="str">
            <v>sortering</v>
          </cell>
          <cell r="C1" t="str">
            <v>2a</v>
          </cell>
          <cell r="D1" t="str">
            <v>2b</v>
          </cell>
          <cell r="E1" t="str">
            <v>3a</v>
          </cell>
          <cell r="F1" t="str">
            <v>3b</v>
          </cell>
          <cell r="G1" t="str">
            <v>selskap_navn</v>
          </cell>
        </row>
        <row r="2">
          <cell r="A2" t="str">
            <v>19</v>
          </cell>
          <cell r="B2" t="str">
            <v>01</v>
          </cell>
          <cell r="C2">
            <v>3</v>
          </cell>
          <cell r="E2">
            <v>3</v>
          </cell>
          <cell r="G2" t="str">
            <v>ACE European Group Ltd</v>
          </cell>
        </row>
        <row r="3">
          <cell r="A3" t="str">
            <v>34</v>
          </cell>
          <cell r="B3" t="str">
            <v>02</v>
          </cell>
          <cell r="C3">
            <v>7</v>
          </cell>
          <cell r="D3">
            <v>3</v>
          </cell>
          <cell r="E3">
            <v>7</v>
          </cell>
          <cell r="F3">
            <v>3</v>
          </cell>
          <cell r="G3" t="str">
            <v>Danica Pensjonsforsikring</v>
          </cell>
        </row>
        <row r="4">
          <cell r="A4" t="str">
            <v>35</v>
          </cell>
          <cell r="B4" t="str">
            <v>03</v>
          </cell>
          <cell r="C4">
            <v>11</v>
          </cell>
          <cell r="D4">
            <v>7</v>
          </cell>
          <cell r="E4">
            <v>11</v>
          </cell>
          <cell r="F4">
            <v>7</v>
          </cell>
          <cell r="G4" t="str">
            <v>DNB Livsforsikring ASA</v>
          </cell>
          <cell r="N4">
            <v>16</v>
          </cell>
        </row>
        <row r="5">
          <cell r="A5" t="str">
            <v>15</v>
          </cell>
          <cell r="B5" t="str">
            <v>04</v>
          </cell>
          <cell r="C5">
            <v>15</v>
          </cell>
          <cell r="E5">
            <v>15</v>
          </cell>
          <cell r="G5" t="str">
            <v>Eika Gruppen AS</v>
          </cell>
          <cell r="N5" t="str">
            <v>4.-kvartal-2015-markedsandeler---endelige-tall-og-regnskapsstatistikk.xlsx</v>
          </cell>
        </row>
        <row r="6">
          <cell r="A6" t="str">
            <v>36</v>
          </cell>
          <cell r="B6" t="str">
            <v>05</v>
          </cell>
          <cell r="C6">
            <v>19</v>
          </cell>
          <cell r="D6">
            <v>11</v>
          </cell>
          <cell r="E6">
            <v>19</v>
          </cell>
          <cell r="F6">
            <v>11</v>
          </cell>
          <cell r="G6" t="str">
            <v>Frende Livsforsikring AS</v>
          </cell>
        </row>
        <row r="7">
          <cell r="A7" t="str">
            <v>20</v>
          </cell>
          <cell r="B7" t="str">
            <v>06</v>
          </cell>
          <cell r="C7">
            <v>23</v>
          </cell>
          <cell r="E7">
            <v>23</v>
          </cell>
          <cell r="G7" t="str">
            <v>Frende Skadeforsikring AS</v>
          </cell>
        </row>
        <row r="8">
          <cell r="A8" t="str">
            <v>4</v>
          </cell>
          <cell r="B8" t="str">
            <v>07</v>
          </cell>
          <cell r="C8">
            <v>27</v>
          </cell>
          <cell r="E8">
            <v>27</v>
          </cell>
          <cell r="G8" t="str">
            <v>Gjensidige Forsikring ASA</v>
          </cell>
        </row>
        <row r="9">
          <cell r="A9" t="str">
            <v>37</v>
          </cell>
          <cell r="B9" t="str">
            <v>08</v>
          </cell>
          <cell r="C9">
            <v>31</v>
          </cell>
          <cell r="D9">
            <v>15</v>
          </cell>
          <cell r="E9">
            <v>31</v>
          </cell>
          <cell r="F9">
            <v>15</v>
          </cell>
          <cell r="G9" t="str">
            <v>Gjensidige Pensjon og Sparing</v>
          </cell>
        </row>
        <row r="10">
          <cell r="A10" t="str">
            <v>38</v>
          </cell>
          <cell r="B10" t="str">
            <v>09</v>
          </cell>
          <cell r="C10">
            <v>35</v>
          </cell>
          <cell r="E10">
            <v>35</v>
          </cell>
          <cell r="G10" t="str">
            <v>Handelsbanken Liv</v>
          </cell>
        </row>
        <row r="11">
          <cell r="A11" t="str">
            <v>6</v>
          </cell>
          <cell r="B11" t="str">
            <v>10</v>
          </cell>
          <cell r="C11">
            <v>39</v>
          </cell>
          <cell r="E11">
            <v>39</v>
          </cell>
          <cell r="G11" t="str">
            <v>If Skadeforsikring nuf</v>
          </cell>
        </row>
        <row r="12">
          <cell r="A12" t="str">
            <v>39</v>
          </cell>
          <cell r="B12" t="str">
            <v>11</v>
          </cell>
          <cell r="C12">
            <v>47</v>
          </cell>
          <cell r="D12">
            <v>23</v>
          </cell>
          <cell r="E12">
            <v>47</v>
          </cell>
          <cell r="F12">
            <v>23</v>
          </cell>
          <cell r="G12" t="str">
            <v>KLP Bedriftspensjon AS</v>
          </cell>
        </row>
        <row r="13">
          <cell r="A13" t="str">
            <v>5</v>
          </cell>
          <cell r="B13" t="str">
            <v>12</v>
          </cell>
          <cell r="C13">
            <v>43</v>
          </cell>
          <cell r="D13">
            <v>19</v>
          </cell>
          <cell r="E13">
            <v>43</v>
          </cell>
          <cell r="F13">
            <v>19</v>
          </cell>
          <cell r="G13" t="str">
            <v>KLP</v>
          </cell>
        </row>
        <row r="14">
          <cell r="A14" t="str">
            <v>22</v>
          </cell>
          <cell r="B14" t="str">
            <v>13</v>
          </cell>
          <cell r="C14">
            <v>55</v>
          </cell>
          <cell r="E14">
            <v>55</v>
          </cell>
          <cell r="G14" t="str">
            <v>Landbruksforsikring AS</v>
          </cell>
        </row>
        <row r="15">
          <cell r="A15" t="str">
            <v>17</v>
          </cell>
          <cell r="B15" t="str">
            <v>14</v>
          </cell>
          <cell r="C15">
            <v>59</v>
          </cell>
          <cell r="E15">
            <v>59</v>
          </cell>
          <cell r="G15" t="str">
            <v>NEMI Forsikring AS</v>
          </cell>
        </row>
        <row r="16">
          <cell r="A16" t="str">
            <v>40</v>
          </cell>
          <cell r="B16" t="str">
            <v>15</v>
          </cell>
          <cell r="C16">
            <v>63</v>
          </cell>
          <cell r="D16">
            <v>27</v>
          </cell>
          <cell r="E16">
            <v>63</v>
          </cell>
          <cell r="F16">
            <v>27</v>
          </cell>
          <cell r="G16" t="str">
            <v>Livsforsikringsselskapet Nordea Liv Norge AS</v>
          </cell>
        </row>
        <row r="17">
          <cell r="A17" t="str">
            <v>41</v>
          </cell>
          <cell r="B17" t="str">
            <v>16</v>
          </cell>
          <cell r="C17">
            <v>67</v>
          </cell>
          <cell r="E17">
            <v>67</v>
          </cell>
          <cell r="G17" t="str">
            <v>Oslo Pensjonsforsikring</v>
          </cell>
        </row>
        <row r="18">
          <cell r="A18" t="str">
            <v>43</v>
          </cell>
          <cell r="B18" t="str">
            <v>17</v>
          </cell>
          <cell r="C18">
            <v>71</v>
          </cell>
          <cell r="D18">
            <v>35</v>
          </cell>
          <cell r="E18">
            <v>71</v>
          </cell>
          <cell r="F18">
            <v>35</v>
          </cell>
          <cell r="G18" t="str">
            <v>Silver Pensjonsforsikring  AS</v>
          </cell>
        </row>
        <row r="19">
          <cell r="A19" t="str">
            <v>49</v>
          </cell>
          <cell r="B19" t="str">
            <v>18</v>
          </cell>
          <cell r="C19">
            <v>75</v>
          </cell>
          <cell r="D19">
            <v>39</v>
          </cell>
          <cell r="E19">
            <v>75</v>
          </cell>
          <cell r="F19">
            <v>39</v>
          </cell>
          <cell r="G19" t="str">
            <v>Sparebank 1 Fondsforsikring</v>
          </cell>
        </row>
        <row r="20">
          <cell r="A20" t="str">
            <v>50</v>
          </cell>
          <cell r="B20" t="str">
            <v>19</v>
          </cell>
          <cell r="C20">
            <v>79</v>
          </cell>
          <cell r="D20">
            <v>43</v>
          </cell>
          <cell r="E20">
            <v>79</v>
          </cell>
          <cell r="F20">
            <v>43</v>
          </cell>
          <cell r="G20" t="str">
            <v>Storebrand Fondsforsikring</v>
          </cell>
        </row>
        <row r="21">
          <cell r="A21" t="str">
            <v>16</v>
          </cell>
          <cell r="B21" t="str">
            <v>20</v>
          </cell>
          <cell r="C21">
            <v>83</v>
          </cell>
          <cell r="E21">
            <v>83</v>
          </cell>
          <cell r="G21" t="str">
            <v>Telenor Forsikring AS</v>
          </cell>
        </row>
        <row r="22">
          <cell r="A22" t="str">
            <v>47</v>
          </cell>
          <cell r="B22" t="str">
            <v>21</v>
          </cell>
          <cell r="G22" t="str">
            <v>TrygVesta Forsikring</v>
          </cell>
        </row>
        <row r="23">
          <cell r="A23" t="str">
            <v>8</v>
          </cell>
          <cell r="B23" t="str">
            <v>22</v>
          </cell>
          <cell r="C23">
            <v>87</v>
          </cell>
          <cell r="E23">
            <v>87</v>
          </cell>
          <cell r="G23" t="str">
            <v>Tryg Forsikring</v>
          </cell>
        </row>
        <row r="24">
          <cell r="A24" t="str">
            <v>10</v>
          </cell>
          <cell r="B24" t="str">
            <v>23</v>
          </cell>
          <cell r="G24" t="str">
            <v>SpareBank 1 Forsikring AS</v>
          </cell>
        </row>
        <row r="25">
          <cell r="A25" t="str">
            <v>32</v>
          </cell>
          <cell r="B25" t="str">
            <v>24</v>
          </cell>
          <cell r="G25" t="str">
            <v>Storebrand ASA</v>
          </cell>
        </row>
        <row r="26">
          <cell r="A26" t="str">
            <v>33</v>
          </cell>
          <cell r="B26" t="str">
            <v>25</v>
          </cell>
          <cell r="G26" t="str">
            <v>Altraplan Luxembourg</v>
          </cell>
        </row>
        <row r="27">
          <cell r="A27" t="str">
            <v>42</v>
          </cell>
          <cell r="B27" t="str">
            <v>26</v>
          </cell>
          <cell r="D27">
            <v>31</v>
          </cell>
          <cell r="F27">
            <v>31</v>
          </cell>
          <cell r="G27" t="str">
            <v>SHB Liv</v>
          </cell>
        </row>
        <row r="28">
          <cell r="A28" t="str">
            <v>44</v>
          </cell>
          <cell r="B28" t="str">
            <v>27</v>
          </cell>
          <cell r="C28">
            <v>51</v>
          </cell>
          <cell r="E28">
            <v>51</v>
          </cell>
          <cell r="G28" t="str">
            <v>KLP Skadeforsikring</v>
          </cell>
        </row>
        <row r="29">
          <cell r="A29" t="str">
            <v>45</v>
          </cell>
          <cell r="B29" t="str">
            <v>28</v>
          </cell>
          <cell r="G29" t="str">
            <v>Commercial Union International Life</v>
          </cell>
        </row>
        <row r="30">
          <cell r="A30" t="str">
            <v>46</v>
          </cell>
          <cell r="B30" t="str">
            <v>29</v>
          </cell>
          <cell r="G30" t="str">
            <v>Gjensidige NOR Spareforsikring</v>
          </cell>
        </row>
        <row r="31">
          <cell r="A31" t="str">
            <v>48</v>
          </cell>
          <cell r="B31" t="str">
            <v>30</v>
          </cell>
          <cell r="G31" t="str">
            <v>Vesta</v>
          </cell>
        </row>
        <row r="32">
          <cell r="A32" t="str">
            <v>51</v>
          </cell>
          <cell r="B32" t="str">
            <v>31</v>
          </cell>
          <cell r="G32" t="str">
            <v>Danica Link</v>
          </cell>
        </row>
        <row r="33">
          <cell r="A33" t="str">
            <v>52</v>
          </cell>
          <cell r="B33" t="str">
            <v>32</v>
          </cell>
          <cell r="G33" t="str">
            <v>Danica Fondsforsikring</v>
          </cell>
        </row>
        <row r="34">
          <cell r="A34" t="str">
            <v>53</v>
          </cell>
          <cell r="B34" t="str">
            <v>33</v>
          </cell>
          <cell r="G34" t="str">
            <v>Gjensidige NOR Fondsforsikring</v>
          </cell>
        </row>
        <row r="35">
          <cell r="A35" t="str">
            <v>54</v>
          </cell>
          <cell r="B35" t="str">
            <v>34</v>
          </cell>
          <cell r="G35" t="str">
            <v>Vital Link</v>
          </cell>
        </row>
        <row r="36">
          <cell r="A36" t="str">
            <v>55</v>
          </cell>
          <cell r="B36" t="str">
            <v>35</v>
          </cell>
          <cell r="G36" t="str">
            <v>Nordea Link</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BF6A5-CA05-4275-B867-34D92981BF97}">
  <sheetPr codeName="Ark1"/>
  <dimension ref="A1:M38"/>
  <sheetViews>
    <sheetView showGridLines="0" zoomScale="90" zoomScaleNormal="90" workbookViewId="0">
      <selection activeCell="C30" sqref="C30"/>
    </sheetView>
  </sheetViews>
  <sheetFormatPr baseColWidth="10" defaultColWidth="11.44140625" defaultRowHeight="13.2" x14ac:dyDescent="0.25"/>
  <sheetData>
    <row r="1" spans="1:13" x14ac:dyDescent="0.25">
      <c r="A1" s="499"/>
      <c r="B1" s="499"/>
      <c r="C1" s="499"/>
      <c r="D1" s="499"/>
      <c r="E1" s="499"/>
      <c r="F1" s="499"/>
      <c r="G1" s="499"/>
      <c r="H1" s="499"/>
      <c r="I1" s="499"/>
      <c r="J1" s="499"/>
      <c r="K1" s="499"/>
      <c r="L1" s="499"/>
      <c r="M1" s="499"/>
    </row>
    <row r="2" spans="1:13" x14ac:dyDescent="0.25">
      <c r="A2" s="499"/>
      <c r="B2" s="499"/>
      <c r="C2" s="499"/>
      <c r="D2" s="499"/>
      <c r="E2" s="499"/>
      <c r="F2" s="499"/>
      <c r="G2" s="499"/>
      <c r="H2" s="499"/>
      <c r="I2" s="499"/>
      <c r="J2" s="499"/>
      <c r="K2" s="499"/>
      <c r="L2" s="499"/>
      <c r="M2" s="499"/>
    </row>
    <row r="3" spans="1:13" x14ac:dyDescent="0.25">
      <c r="A3" s="499"/>
      <c r="B3" s="499"/>
      <c r="C3" s="499"/>
      <c r="D3" s="499"/>
      <c r="E3" s="499"/>
      <c r="F3" s="499"/>
      <c r="G3" s="499"/>
      <c r="H3" s="499"/>
      <c r="I3" s="499"/>
      <c r="J3" s="499"/>
      <c r="K3" s="499"/>
      <c r="L3" s="499"/>
      <c r="M3" s="499"/>
    </row>
    <row r="4" spans="1:13" x14ac:dyDescent="0.25">
      <c r="A4" s="499"/>
      <c r="B4" s="499"/>
      <c r="C4" s="499"/>
      <c r="D4" s="499"/>
      <c r="E4" s="499"/>
      <c r="F4" s="499"/>
      <c r="G4" s="499"/>
      <c r="H4" s="499"/>
      <c r="I4" s="499"/>
      <c r="J4" s="499"/>
      <c r="K4" s="499"/>
      <c r="L4" s="499"/>
      <c r="M4" s="499"/>
    </row>
    <row r="5" spans="1:13" x14ac:dyDescent="0.25">
      <c r="A5" s="499"/>
      <c r="B5" s="500"/>
      <c r="C5" s="500"/>
      <c r="D5" s="500"/>
      <c r="E5" s="500"/>
      <c r="F5" s="500"/>
      <c r="G5" s="500"/>
      <c r="H5" s="500"/>
      <c r="I5" s="499"/>
      <c r="J5" s="499"/>
      <c r="K5" s="499"/>
      <c r="L5" s="499"/>
      <c r="M5" s="499"/>
    </row>
    <row r="6" spans="1:13" ht="22.8" x14ac:dyDescent="0.4">
      <c r="A6" s="499"/>
      <c r="B6" s="501"/>
      <c r="C6" s="500"/>
      <c r="D6" s="500"/>
      <c r="E6" s="500"/>
      <c r="F6" s="500"/>
      <c r="G6" s="500"/>
      <c r="H6" s="500"/>
      <c r="I6" s="502"/>
      <c r="J6" s="499"/>
      <c r="K6" s="499"/>
      <c r="L6" s="499"/>
      <c r="M6" s="499"/>
    </row>
    <row r="7" spans="1:13" x14ac:dyDescent="0.25">
      <c r="A7" s="499"/>
      <c r="B7" s="500"/>
      <c r="C7" s="500"/>
      <c r="D7" s="500"/>
      <c r="E7" s="500"/>
      <c r="F7" s="500"/>
      <c r="G7" s="500"/>
      <c r="H7" s="500"/>
      <c r="I7" s="500"/>
      <c r="J7" s="499"/>
      <c r="K7" s="499"/>
      <c r="L7" s="499"/>
      <c r="M7" s="499"/>
    </row>
    <row r="8" spans="1:13" x14ac:dyDescent="0.25">
      <c r="A8" s="499"/>
      <c r="B8" s="500"/>
      <c r="C8" s="500"/>
      <c r="D8" s="500"/>
      <c r="E8" s="499"/>
      <c r="F8" s="500"/>
      <c r="G8" s="500"/>
      <c r="H8" s="500"/>
      <c r="I8" s="499"/>
      <c r="J8" s="499"/>
      <c r="K8" s="499"/>
      <c r="L8" s="499"/>
      <c r="M8" s="499"/>
    </row>
    <row r="9" spans="1:13" x14ac:dyDescent="0.25">
      <c r="A9" s="499"/>
      <c r="B9" s="500"/>
      <c r="C9" s="500"/>
      <c r="D9" s="500"/>
      <c r="E9" s="500"/>
      <c r="F9" s="500"/>
      <c r="G9" s="500"/>
      <c r="H9" s="500"/>
      <c r="I9" s="499"/>
      <c r="J9" s="499"/>
      <c r="K9" s="499"/>
      <c r="L9" s="499"/>
      <c r="M9" s="499"/>
    </row>
    <row r="10" spans="1:13" ht="22.8" x14ac:dyDescent="0.4">
      <c r="A10" s="499"/>
      <c r="B10" s="500"/>
      <c r="C10" s="500"/>
      <c r="D10" s="500"/>
      <c r="E10" s="499"/>
      <c r="F10" s="499"/>
      <c r="G10" s="499"/>
      <c r="H10" s="499"/>
      <c r="I10" s="502"/>
      <c r="J10" s="499"/>
      <c r="K10" s="499"/>
      <c r="L10" s="499"/>
      <c r="M10" s="499"/>
    </row>
    <row r="11" spans="1:13" x14ac:dyDescent="0.25">
      <c r="A11" s="499"/>
      <c r="B11" s="500"/>
      <c r="C11" s="500"/>
      <c r="D11" s="500"/>
      <c r="E11" s="499"/>
      <c r="F11" s="499"/>
      <c r="G11" s="499"/>
      <c r="H11" s="499"/>
      <c r="I11" s="499"/>
      <c r="J11" s="499"/>
      <c r="K11" s="499"/>
      <c r="L11" s="499"/>
      <c r="M11" s="499"/>
    </row>
    <row r="12" spans="1:13" ht="22.8" x14ac:dyDescent="0.4">
      <c r="A12" s="499"/>
      <c r="B12" s="500"/>
      <c r="C12" s="500"/>
      <c r="D12" s="500"/>
      <c r="E12" s="500"/>
      <c r="F12" s="500"/>
      <c r="G12" s="500"/>
      <c r="H12" s="500"/>
      <c r="I12" s="502"/>
      <c r="J12" s="499"/>
      <c r="K12" s="499"/>
      <c r="L12" s="499"/>
      <c r="M12" s="499"/>
    </row>
    <row r="13" spans="1:13" ht="22.8" x14ac:dyDescent="0.4">
      <c r="A13" s="499"/>
      <c r="B13" s="500"/>
      <c r="C13" s="503"/>
      <c r="D13" s="503"/>
      <c r="E13" s="503"/>
      <c r="F13" s="503"/>
      <c r="G13" s="503"/>
      <c r="H13" s="503"/>
      <c r="I13" s="502"/>
      <c r="J13" s="499"/>
      <c r="K13" s="499"/>
      <c r="L13" s="499"/>
      <c r="M13" s="499"/>
    </row>
    <row r="14" spans="1:13" x14ac:dyDescent="0.25">
      <c r="A14" s="499"/>
      <c r="B14" s="500"/>
      <c r="C14" s="500"/>
      <c r="D14" s="500"/>
      <c r="E14" s="499"/>
      <c r="F14" s="500"/>
      <c r="G14" s="500"/>
      <c r="H14" s="500"/>
      <c r="I14" s="499"/>
      <c r="J14" s="499"/>
      <c r="K14" s="499"/>
      <c r="L14" s="499"/>
      <c r="M14" s="499"/>
    </row>
    <row r="15" spans="1:13" x14ac:dyDescent="0.25">
      <c r="A15" s="499"/>
      <c r="B15" s="500"/>
      <c r="C15" s="500"/>
      <c r="D15" s="500"/>
      <c r="E15" s="499"/>
      <c r="F15" s="500"/>
      <c r="G15" s="500"/>
      <c r="H15" s="500"/>
      <c r="I15" s="500"/>
      <c r="J15" s="499"/>
      <c r="K15" s="499"/>
      <c r="L15" s="499"/>
      <c r="M15" s="499"/>
    </row>
    <row r="16" spans="1:13" ht="34.799999999999997" x14ac:dyDescent="0.55000000000000004">
      <c r="A16" s="499"/>
      <c r="B16" s="500"/>
      <c r="C16" s="500"/>
      <c r="D16" s="500"/>
      <c r="E16" s="504"/>
      <c r="F16" s="500"/>
      <c r="G16" s="500"/>
      <c r="H16" s="500"/>
      <c r="I16" s="500"/>
      <c r="J16" s="499"/>
      <c r="K16" s="499"/>
      <c r="L16" s="499"/>
      <c r="M16" s="499"/>
    </row>
    <row r="17" spans="1:13" ht="32.4" x14ac:dyDescent="0.55000000000000004">
      <c r="A17" s="499"/>
      <c r="B17" s="500"/>
      <c r="C17" s="500"/>
      <c r="D17" s="500"/>
      <c r="E17" s="505"/>
      <c r="F17" s="500"/>
      <c r="G17" s="500"/>
      <c r="H17" s="500"/>
      <c r="I17" s="500"/>
      <c r="J17" s="499"/>
      <c r="K17" s="499"/>
      <c r="L17" s="499"/>
      <c r="M17" s="499"/>
    </row>
    <row r="18" spans="1:13" ht="32.4" x14ac:dyDescent="0.55000000000000004">
      <c r="A18" s="499"/>
      <c r="B18" s="499"/>
      <c r="C18" s="499"/>
      <c r="D18" s="505"/>
      <c r="E18" s="499"/>
      <c r="F18" s="499"/>
      <c r="G18" s="499"/>
      <c r="H18" s="499"/>
      <c r="I18" s="499"/>
      <c r="J18" s="499"/>
      <c r="K18" s="499"/>
      <c r="L18" s="499"/>
      <c r="M18" s="499"/>
    </row>
    <row r="19" spans="1:13" ht="18" x14ac:dyDescent="0.35">
      <c r="A19" s="499"/>
      <c r="B19" s="499"/>
      <c r="C19" s="499"/>
      <c r="D19" s="499"/>
      <c r="E19" s="506"/>
      <c r="F19" s="499"/>
      <c r="G19" s="499"/>
      <c r="H19" s="499"/>
      <c r="I19" s="507"/>
      <c r="J19" s="499"/>
      <c r="K19" s="499"/>
      <c r="L19" s="499"/>
      <c r="M19" s="499"/>
    </row>
    <row r="20" spans="1:13" x14ac:dyDescent="0.25">
      <c r="A20" s="499"/>
      <c r="B20" s="499"/>
      <c r="C20" s="499"/>
      <c r="D20" s="499"/>
      <c r="E20" s="499"/>
      <c r="F20" s="499"/>
      <c r="G20" s="499"/>
      <c r="H20" s="499"/>
      <c r="I20" s="499"/>
      <c r="J20" s="499"/>
      <c r="K20" s="499"/>
      <c r="L20" s="499"/>
      <c r="M20" s="499"/>
    </row>
    <row r="21" spans="1:13" x14ac:dyDescent="0.25">
      <c r="A21" s="499"/>
      <c r="B21" s="499"/>
      <c r="C21" s="499"/>
      <c r="D21" s="499"/>
      <c r="E21" s="508"/>
      <c r="F21" s="499"/>
      <c r="G21" s="499"/>
      <c r="H21" s="499"/>
      <c r="I21" s="499"/>
      <c r="J21" s="499"/>
      <c r="K21" s="499"/>
      <c r="L21" s="499"/>
      <c r="M21" s="499"/>
    </row>
    <row r="22" spans="1:13" ht="25.8" x14ac:dyDescent="0.5">
      <c r="A22" s="499"/>
      <c r="B22" s="499"/>
      <c r="C22" s="499"/>
      <c r="D22" s="499"/>
      <c r="E22" s="509"/>
      <c r="F22" s="499"/>
      <c r="G22" s="499"/>
      <c r="H22" s="499"/>
      <c r="I22" s="499"/>
      <c r="J22" s="499"/>
      <c r="K22" s="499"/>
      <c r="L22" s="499"/>
      <c r="M22" s="499"/>
    </row>
    <row r="23" spans="1:13" x14ac:dyDescent="0.25">
      <c r="A23" s="499"/>
      <c r="B23" s="499"/>
      <c r="C23" s="499"/>
      <c r="D23" s="499"/>
      <c r="E23" s="499"/>
      <c r="F23" s="499"/>
      <c r="G23" s="499"/>
      <c r="H23" s="499"/>
      <c r="I23" s="499"/>
      <c r="J23" s="499"/>
      <c r="K23" s="499"/>
      <c r="L23" s="499"/>
      <c r="M23" s="499"/>
    </row>
    <row r="24" spans="1:13" x14ac:dyDescent="0.25">
      <c r="A24" s="499"/>
      <c r="B24" s="499"/>
      <c r="C24" s="499"/>
      <c r="D24" s="499"/>
      <c r="E24" s="499"/>
      <c r="F24" s="499"/>
      <c r="G24" s="499"/>
      <c r="H24" s="499"/>
      <c r="I24" s="499"/>
      <c r="J24" s="499"/>
      <c r="K24" s="499"/>
      <c r="L24" s="499"/>
      <c r="M24" s="499"/>
    </row>
    <row r="25" spans="1:13" ht="18" x14ac:dyDescent="0.35">
      <c r="A25" s="499"/>
      <c r="B25" s="499"/>
      <c r="C25" s="499"/>
      <c r="D25" s="499"/>
      <c r="E25" s="510"/>
      <c r="F25" s="499"/>
      <c r="G25" s="499"/>
      <c r="H25" s="499"/>
      <c r="I25" s="499"/>
      <c r="J25" s="499"/>
      <c r="K25" s="499"/>
      <c r="L25" s="499"/>
      <c r="M25" s="499"/>
    </row>
    <row r="26" spans="1:13" ht="18" x14ac:dyDescent="0.35">
      <c r="A26" s="499"/>
      <c r="B26" s="499"/>
      <c r="C26" s="499"/>
      <c r="D26" s="499"/>
      <c r="E26" s="511"/>
      <c r="F26" s="499"/>
      <c r="G26" s="499"/>
      <c r="H26" s="499"/>
      <c r="I26" s="499"/>
      <c r="J26" s="499"/>
      <c r="K26" s="499"/>
      <c r="L26" s="499"/>
      <c r="M26" s="499"/>
    </row>
    <row r="27" spans="1:13" x14ac:dyDescent="0.25">
      <c r="A27" s="499"/>
      <c r="B27" s="499"/>
      <c r="C27" s="499"/>
      <c r="D27" s="499"/>
      <c r="E27" s="499"/>
      <c r="F27" s="499"/>
      <c r="G27" s="499"/>
      <c r="H27" s="499"/>
      <c r="I27" s="499"/>
      <c r="J27" s="499"/>
      <c r="K27" s="499"/>
      <c r="L27" s="499"/>
      <c r="M27" s="499"/>
    </row>
    <row r="28" spans="1:13" x14ac:dyDescent="0.25">
      <c r="A28" s="499"/>
      <c r="B28" s="499"/>
      <c r="C28" s="499"/>
      <c r="D28" s="503"/>
      <c r="E28" s="503"/>
      <c r="F28" s="503"/>
      <c r="G28" s="503"/>
      <c r="H28" s="503"/>
      <c r="I28" s="499"/>
      <c r="J28" s="499"/>
      <c r="K28" s="499"/>
      <c r="L28" s="499"/>
      <c r="M28" s="499"/>
    </row>
    <row r="29" spans="1:13" x14ac:dyDescent="0.25">
      <c r="A29" s="499"/>
      <c r="B29" s="499"/>
      <c r="C29" s="499"/>
      <c r="D29" s="499"/>
      <c r="E29" s="499"/>
      <c r="F29" s="499"/>
      <c r="G29" s="499"/>
      <c r="H29" s="499"/>
      <c r="I29" s="499"/>
      <c r="J29" s="499"/>
      <c r="K29" s="499"/>
      <c r="L29" s="499"/>
      <c r="M29" s="499"/>
    </row>
    <row r="30" spans="1:13" x14ac:dyDescent="0.25">
      <c r="A30" s="499"/>
      <c r="B30" s="499"/>
      <c r="C30" s="499"/>
      <c r="D30" s="499"/>
      <c r="E30" s="499"/>
      <c r="F30" s="499"/>
      <c r="G30" s="499"/>
      <c r="H30" s="499"/>
      <c r="I30" s="499"/>
      <c r="J30" s="499"/>
      <c r="K30" s="499"/>
      <c r="L30" s="499"/>
      <c r="M30" s="499"/>
    </row>
    <row r="31" spans="1:13" x14ac:dyDescent="0.25">
      <c r="A31" s="499"/>
      <c r="B31" s="499"/>
      <c r="C31" s="499"/>
      <c r="D31" s="499"/>
      <c r="E31" s="499"/>
      <c r="F31" s="499"/>
      <c r="G31" s="499"/>
      <c r="H31" s="499"/>
      <c r="I31" s="499"/>
      <c r="J31" s="499"/>
      <c r="K31" s="499"/>
      <c r="L31" s="499"/>
      <c r="M31" s="499"/>
    </row>
    <row r="32" spans="1:13" x14ac:dyDescent="0.25">
      <c r="A32" s="499"/>
      <c r="B32" s="499"/>
      <c r="C32" s="499"/>
      <c r="D32" s="499"/>
      <c r="E32" s="499"/>
      <c r="F32" s="499"/>
      <c r="G32" s="499"/>
      <c r="H32" s="499"/>
      <c r="I32" s="499"/>
      <c r="J32" s="499"/>
      <c r="K32" s="499"/>
      <c r="L32" s="499"/>
      <c r="M32" s="499"/>
    </row>
    <row r="33" spans="1:13" ht="35.4" x14ac:dyDescent="0.25">
      <c r="A33" s="512"/>
      <c r="B33" s="499"/>
      <c r="C33" s="499"/>
      <c r="D33" s="499"/>
      <c r="E33" s="499"/>
      <c r="F33" s="499"/>
      <c r="G33" s="499"/>
      <c r="H33" s="499"/>
      <c r="I33" s="499"/>
      <c r="J33" s="499"/>
      <c r="K33" s="499"/>
      <c r="L33" s="499"/>
      <c r="M33" s="499"/>
    </row>
    <row r="34" spans="1:13" x14ac:dyDescent="0.25">
      <c r="A34" s="499"/>
      <c r="B34" s="499"/>
      <c r="C34" s="499"/>
      <c r="D34" s="499"/>
      <c r="E34" s="499"/>
      <c r="F34" s="499"/>
      <c r="G34" s="499"/>
      <c r="H34" s="499"/>
      <c r="I34" s="499"/>
      <c r="J34" s="499"/>
      <c r="K34" s="499"/>
      <c r="L34" s="499"/>
      <c r="M34" s="499"/>
    </row>
    <row r="35" spans="1:13" x14ac:dyDescent="0.25">
      <c r="A35" s="499"/>
      <c r="B35" s="499"/>
      <c r="C35" s="499"/>
      <c r="D35" s="499"/>
      <c r="E35" s="499"/>
      <c r="F35" s="499"/>
      <c r="G35" s="499"/>
      <c r="H35" s="499"/>
      <c r="I35" s="499"/>
      <c r="J35" s="499"/>
      <c r="K35" s="499"/>
      <c r="L35" s="499"/>
      <c r="M35" s="499"/>
    </row>
    <row r="36" spans="1:13" ht="32.4" x14ac:dyDescent="0.25">
      <c r="A36" s="499"/>
      <c r="B36" s="513"/>
      <c r="C36" s="499"/>
      <c r="D36" s="499"/>
      <c r="E36" s="499"/>
      <c r="F36" s="499"/>
      <c r="G36" s="499"/>
      <c r="H36" s="499"/>
      <c r="I36" s="499"/>
      <c r="J36" s="499"/>
      <c r="K36" s="499"/>
      <c r="L36" s="499"/>
      <c r="M36" s="499"/>
    </row>
    <row r="37" spans="1:13" x14ac:dyDescent="0.25">
      <c r="A37" s="499"/>
      <c r="B37" s="499"/>
      <c r="C37" s="499"/>
      <c r="D37" s="499"/>
      <c r="E37" s="499"/>
      <c r="F37" s="499"/>
      <c r="G37" s="499"/>
      <c r="H37" s="499"/>
      <c r="I37" s="499"/>
      <c r="J37" s="499"/>
      <c r="K37" s="499"/>
      <c r="L37" s="499"/>
      <c r="M37" s="499"/>
    </row>
    <row r="38" spans="1:13" x14ac:dyDescent="0.25">
      <c r="A38" s="499"/>
      <c r="B38" s="499"/>
      <c r="C38" s="499"/>
      <c r="D38" s="499"/>
      <c r="E38" s="499"/>
      <c r="F38" s="499"/>
      <c r="G38" s="499"/>
      <c r="H38" s="499"/>
      <c r="I38" s="499"/>
      <c r="J38" s="499"/>
      <c r="K38" s="499"/>
      <c r="L38" s="499"/>
      <c r="M38" s="499"/>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2"/>
  <dimension ref="A1:O144"/>
  <sheetViews>
    <sheetView showGridLines="0" zoomScaleNormal="100" workbookViewId="0">
      <pane xSplit="1" topLeftCell="B1" activePane="topRight" state="frozen"/>
      <selection activeCell="A82" sqref="A82"/>
      <selection pane="topRight"/>
    </sheetView>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3.5546875" style="22" bestFit="1" customWidth="1"/>
    <col min="16" max="16384" width="11.44140625" style="1"/>
  </cols>
  <sheetData>
    <row r="1" spans="1:15" x14ac:dyDescent="0.25">
      <c r="A1" s="128" t="s">
        <v>220</v>
      </c>
      <c r="B1" s="735"/>
      <c r="C1" s="681" t="s">
        <v>95</v>
      </c>
      <c r="O1" s="733" t="e">
        <f>kvartal</f>
        <v>#REF!</v>
      </c>
    </row>
    <row r="2" spans="1:15" ht="15.6" x14ac:dyDescent="0.3">
      <c r="A2" s="110" t="s">
        <v>165</v>
      </c>
      <c r="B2" s="245"/>
      <c r="C2" s="245"/>
      <c r="D2" s="245"/>
      <c r="E2" s="656"/>
      <c r="F2" s="245"/>
      <c r="G2" s="245"/>
      <c r="H2" s="245"/>
      <c r="I2" s="245"/>
      <c r="J2" s="245"/>
      <c r="K2" s="245"/>
      <c r="L2" s="245"/>
      <c r="M2" s="245"/>
    </row>
    <row r="3" spans="1:15" ht="15.6" x14ac:dyDescent="0.3">
      <c r="A3" s="122"/>
      <c r="B3" s="245"/>
      <c r="C3" s="245"/>
      <c r="D3" s="245"/>
      <c r="E3" s="656"/>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250"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93">
        <v>1897150.9184099999</v>
      </c>
      <c r="C7" s="294">
        <v>1999229.06797</v>
      </c>
      <c r="D7" s="302">
        <f t="shared" ref="D7:D10" si="0">IF(AND(_xlfn.NUMBERVALUE(B7)=0,_xlfn.NUMBERVALUE(C7)=0),,IF(B7=0, "    ---- ", IF(ABS(ROUND(100/B7*C7-100,1))&lt;999,IF(ROUND(100/B7*C7-100,1)=0,"    ---- ",ROUND(100/B7*C7-100,1)),IF(ROUND(100/B7*C7-100,1)&gt;999,999,-999))))</f>
        <v>5.4</v>
      </c>
      <c r="E7" s="303">
        <f>IFERROR(100/'Skjema total MA'!C7*C7,0)</f>
        <v>34.347849506492345</v>
      </c>
      <c r="F7" s="293"/>
      <c r="G7" s="294"/>
      <c r="H7" s="302"/>
      <c r="I7" s="303"/>
      <c r="J7" s="304">
        <f t="shared" ref="J7:K10" si="1">SUM(B7,F7)</f>
        <v>1897150.9184099999</v>
      </c>
      <c r="K7" s="299">
        <f t="shared" si="1"/>
        <v>1999229.06797</v>
      </c>
      <c r="L7" s="302">
        <f t="shared" ref="L7:L10" si="2">IF(AND(_xlfn.NUMBERVALUE(J7)=0,_xlfn.NUMBERVALUE(K7)=0),,IF(J7=0, "    ---- ", IF(ABS(ROUND(100/J7*K7-100,1))&lt;999,IF(ROUND(100/J7*K7-100,1)=0,"    ---- ",ROUND(100/J7*K7-100,1)),IF(ROUND(100/J7*K7-100,1)&gt;999,999,-999))))</f>
        <v>5.4</v>
      </c>
      <c r="M7" s="303">
        <f>IFERROR(100/'Skjema total MA'!I7*K7,0)</f>
        <v>11.212283612459803</v>
      </c>
    </row>
    <row r="8" spans="1:15" ht="15.6" x14ac:dyDescent="0.25">
      <c r="A8" s="18" t="s">
        <v>169</v>
      </c>
      <c r="B8" s="296">
        <v>1513354.7567100001</v>
      </c>
      <c r="C8" s="297">
        <v>1602368.28522</v>
      </c>
      <c r="D8" s="305">
        <f t="shared" si="0"/>
        <v>5.9</v>
      </c>
      <c r="E8" s="303">
        <f>IFERROR(100/'Skjema total MA'!C8*C8,0)</f>
        <v>40.733761672786045</v>
      </c>
      <c r="F8" s="306"/>
      <c r="G8" s="307"/>
      <c r="H8" s="305"/>
      <c r="I8" s="303"/>
      <c r="J8" s="308">
        <f t="shared" si="1"/>
        <v>1513354.7567100001</v>
      </c>
      <c r="K8" s="297">
        <f t="shared" si="1"/>
        <v>1602368.28522</v>
      </c>
      <c r="L8" s="305">
        <f t="shared" si="2"/>
        <v>5.9</v>
      </c>
      <c r="M8" s="303">
        <f>IFERROR(100/'Skjema total MA'!I8*K8,0)</f>
        <v>40.733761672786045</v>
      </c>
    </row>
    <row r="9" spans="1:15" ht="15.6" x14ac:dyDescent="0.25">
      <c r="A9" s="18" t="s">
        <v>170</v>
      </c>
      <c r="B9" s="296">
        <v>382302.39632</v>
      </c>
      <c r="C9" s="297">
        <v>396860.78275000001</v>
      </c>
      <c r="D9" s="305">
        <f t="shared" si="0"/>
        <v>3.8</v>
      </c>
      <c r="E9" s="303">
        <f>IFERROR(100/'Skjema total MA'!C9*C9,0)</f>
        <v>36.698704853476144</v>
      </c>
      <c r="F9" s="306"/>
      <c r="G9" s="307"/>
      <c r="H9" s="305"/>
      <c r="I9" s="303"/>
      <c r="J9" s="308">
        <f t="shared" si="1"/>
        <v>382302.39632</v>
      </c>
      <c r="K9" s="297">
        <f t="shared" si="1"/>
        <v>396860.78275000001</v>
      </c>
      <c r="L9" s="305">
        <f t="shared" si="2"/>
        <v>3.8</v>
      </c>
      <c r="M9" s="303">
        <f>IFERROR(100/'Skjema total MA'!I9*K9,0)</f>
        <v>36.698704853476144</v>
      </c>
    </row>
    <row r="10" spans="1:15" ht="15.6" x14ac:dyDescent="0.25">
      <c r="A10" s="10" t="s">
        <v>171</v>
      </c>
      <c r="B10" s="298">
        <v>1418733.75137</v>
      </c>
      <c r="C10" s="299">
        <v>1515572.1363299999</v>
      </c>
      <c r="D10" s="305">
        <f t="shared" si="0"/>
        <v>6.8</v>
      </c>
      <c r="E10" s="303">
        <f>IFERROR(100/'Skjema total MA'!C10*C10,0)</f>
        <v>9.7547389132758315</v>
      </c>
      <c r="F10" s="298"/>
      <c r="G10" s="299"/>
      <c r="H10" s="305"/>
      <c r="I10" s="303"/>
      <c r="J10" s="304">
        <f t="shared" si="1"/>
        <v>1418733.75137</v>
      </c>
      <c r="K10" s="299">
        <f t="shared" si="1"/>
        <v>1515572.1363299999</v>
      </c>
      <c r="L10" s="305">
        <f t="shared" si="2"/>
        <v>6.8</v>
      </c>
      <c r="M10" s="303">
        <f>IFERROR(100/'Skjema total MA'!I10*K10,0)</f>
        <v>1.2176283710378388</v>
      </c>
    </row>
    <row r="11" spans="1:15" s="35" customFormat="1" ht="15.6" x14ac:dyDescent="0.25">
      <c r="A11" s="10" t="s">
        <v>172</v>
      </c>
      <c r="B11" s="298"/>
      <c r="C11" s="299"/>
      <c r="D11" s="305"/>
      <c r="E11" s="303"/>
      <c r="F11" s="298"/>
      <c r="G11" s="299"/>
      <c r="H11" s="305"/>
      <c r="I11" s="303"/>
      <c r="J11" s="304"/>
      <c r="K11" s="299"/>
      <c r="L11" s="305"/>
      <c r="M11" s="303"/>
      <c r="N11" s="107"/>
      <c r="O11" s="22"/>
    </row>
    <row r="12" spans="1:15" s="35" customFormat="1" ht="15.6" x14ac:dyDescent="0.25">
      <c r="A12" s="33" t="s">
        <v>173</v>
      </c>
      <c r="B12" s="300"/>
      <c r="C12" s="301"/>
      <c r="D12" s="309"/>
      <c r="E12" s="309"/>
      <c r="F12" s="300"/>
      <c r="G12" s="301"/>
      <c r="H12" s="309"/>
      <c r="I12" s="309"/>
      <c r="J12" s="310"/>
      <c r="K12" s="301"/>
      <c r="L12" s="309"/>
      <c r="M12" s="309"/>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248"/>
      <c r="C18" s="248"/>
      <c r="D18" s="248"/>
      <c r="E18" s="245"/>
      <c r="F18" s="248"/>
      <c r="G18" s="248"/>
      <c r="H18" s="248"/>
      <c r="I18" s="245"/>
      <c r="J18" s="248"/>
      <c r="K18" s="248"/>
      <c r="L18" s="24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250"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399">
        <v>917943.60308999999</v>
      </c>
      <c r="C22" s="399">
        <v>988774.11811000004</v>
      </c>
      <c r="D22" s="302">
        <f t="shared" ref="D22:D30" si="3">IF(AND(_xlfn.NUMBERVALUE(B22)=0,_xlfn.NUMBERVALUE(C22)=0),,IF(B22=0, "    ---- ", IF(ABS(ROUND(100/B22*C22-100,1))&lt;999,IF(ROUND(100/B22*C22-100,1)=0,"    ---- ",ROUND(100/B22*C22-100,1)),IF(ROUND(100/B22*C22-100,1)&gt;999,999,-999))))</f>
        <v>7.7</v>
      </c>
      <c r="E22" s="303">
        <f>IFERROR(100/'Skjema total MA'!C22*C22,0)</f>
        <v>36.800965513991642</v>
      </c>
      <c r="F22" s="311"/>
      <c r="G22" s="311"/>
      <c r="H22" s="302"/>
      <c r="I22" s="303"/>
      <c r="J22" s="293">
        <f t="shared" ref="J22:K29" si="4">SUM(B22,F22)</f>
        <v>917943.60308999999</v>
      </c>
      <c r="K22" s="293">
        <f t="shared" si="4"/>
        <v>988774.11811000004</v>
      </c>
      <c r="L22" s="302">
        <f t="shared" ref="L22:L30" si="5">IF(AND(_xlfn.NUMBERVALUE(J22)=0,_xlfn.NUMBERVALUE(K22)=0),,IF(J22=0, "    ---- ", IF(ABS(ROUND(100/J22*K22-100,1))&lt;999,IF(ROUND(100/J22*K22-100,1)=0,"    ---- ",ROUND(100/J22*K22-100,1)),IF(ROUND(100/J22*K22-100,1)&gt;999,999,-999))))</f>
        <v>7.7</v>
      </c>
      <c r="M22" s="303">
        <f>IFERROR(100/'Skjema total MA'!I22*K22,0)</f>
        <v>25.594084529669683</v>
      </c>
    </row>
    <row r="23" spans="1:13" ht="15.6" x14ac:dyDescent="0.25">
      <c r="A23" s="389" t="s">
        <v>177</v>
      </c>
      <c r="B23" s="295"/>
      <c r="C23" s="295"/>
      <c r="D23" s="305"/>
      <c r="E23" s="303"/>
      <c r="F23" s="295"/>
      <c r="G23" s="295"/>
      <c r="H23" s="305"/>
      <c r="I23" s="303"/>
      <c r="J23" s="295"/>
      <c r="K23" s="295"/>
      <c r="L23" s="305"/>
      <c r="M23" s="303"/>
    </row>
    <row r="24" spans="1:13" ht="15.6" x14ac:dyDescent="0.25">
      <c r="A24" s="389" t="s">
        <v>178</v>
      </c>
      <c r="B24" s="295"/>
      <c r="C24" s="295"/>
      <c r="D24" s="305"/>
      <c r="E24" s="303"/>
      <c r="F24" s="295"/>
      <c r="G24" s="295"/>
      <c r="H24" s="305"/>
      <c r="I24" s="303"/>
      <c r="J24" s="295"/>
      <c r="K24" s="295"/>
      <c r="L24" s="305"/>
      <c r="M24" s="303"/>
    </row>
    <row r="25" spans="1:13" ht="15.6" x14ac:dyDescent="0.25">
      <c r="A25" s="389" t="s">
        <v>179</v>
      </c>
      <c r="B25" s="295"/>
      <c r="C25" s="295"/>
      <c r="D25" s="305"/>
      <c r="E25" s="303"/>
      <c r="F25" s="295"/>
      <c r="G25" s="295"/>
      <c r="H25" s="305"/>
      <c r="I25" s="303"/>
      <c r="J25" s="295"/>
      <c r="K25" s="295"/>
      <c r="L25" s="305"/>
      <c r="M25" s="303"/>
    </row>
    <row r="26" spans="1:13" ht="15.6" x14ac:dyDescent="0.25">
      <c r="A26" s="389" t="s">
        <v>180</v>
      </c>
      <c r="B26" s="295"/>
      <c r="C26" s="295"/>
      <c r="D26" s="305"/>
      <c r="E26" s="303"/>
      <c r="F26" s="295"/>
      <c r="G26" s="295"/>
      <c r="H26" s="305"/>
      <c r="I26" s="303"/>
      <c r="J26" s="295"/>
      <c r="K26" s="295"/>
      <c r="L26" s="305"/>
      <c r="M26" s="303"/>
    </row>
    <row r="27" spans="1:13" x14ac:dyDescent="0.25">
      <c r="A27" s="389" t="s">
        <v>181</v>
      </c>
      <c r="B27" s="295"/>
      <c r="C27" s="295"/>
      <c r="D27" s="305"/>
      <c r="E27" s="303"/>
      <c r="F27" s="295"/>
      <c r="G27" s="295"/>
      <c r="H27" s="305"/>
      <c r="I27" s="303"/>
      <c r="J27" s="295"/>
      <c r="K27" s="295"/>
      <c r="L27" s="305"/>
      <c r="M27" s="303"/>
    </row>
    <row r="28" spans="1:13" ht="15.6" x14ac:dyDescent="0.25">
      <c r="A28" s="39" t="s">
        <v>182</v>
      </c>
      <c r="B28" s="295">
        <v>917943.60308999999</v>
      </c>
      <c r="C28" s="295">
        <v>988774.11811000004</v>
      </c>
      <c r="D28" s="305">
        <f t="shared" si="3"/>
        <v>7.7</v>
      </c>
      <c r="E28" s="303">
        <f>IFERROR(100/'Skjema total MA'!C28*C28,0)</f>
        <v>29.197138016185274</v>
      </c>
      <c r="F28" s="308"/>
      <c r="G28" s="297"/>
      <c r="H28" s="305"/>
      <c r="I28" s="303"/>
      <c r="J28" s="296">
        <f t="shared" si="4"/>
        <v>917943.60308999999</v>
      </c>
      <c r="K28" s="296">
        <f t="shared" si="4"/>
        <v>988774.11811000004</v>
      </c>
      <c r="L28" s="305">
        <f t="shared" si="5"/>
        <v>7.7</v>
      </c>
      <c r="M28" s="303">
        <f>IFERROR(100/'Skjema total MA'!I28*K28,0)</f>
        <v>29.197138016185274</v>
      </c>
    </row>
    <row r="29" spans="1:13" ht="15.6" x14ac:dyDescent="0.25">
      <c r="A29" s="10" t="s">
        <v>171</v>
      </c>
      <c r="B29" s="298">
        <v>5166234.0613500001</v>
      </c>
      <c r="C29" s="298">
        <v>5693543.8733999999</v>
      </c>
      <c r="D29" s="305">
        <f t="shared" si="3"/>
        <v>10.199999999999999</v>
      </c>
      <c r="E29" s="303">
        <f>IFERROR(100/'Skjema total MA'!C29*C29,0)</f>
        <v>12.907752399566965</v>
      </c>
      <c r="F29" s="304"/>
      <c r="G29" s="304"/>
      <c r="H29" s="305"/>
      <c r="I29" s="303"/>
      <c r="J29" s="298">
        <f t="shared" si="4"/>
        <v>5166234.0613500001</v>
      </c>
      <c r="K29" s="298">
        <f t="shared" si="4"/>
        <v>5693543.8733999999</v>
      </c>
      <c r="L29" s="305">
        <f t="shared" si="5"/>
        <v>10.199999999999999</v>
      </c>
      <c r="M29" s="303">
        <f>IFERROR(100/'Skjema total MA'!I29*K29,0)</f>
        <v>7.4877473076719481</v>
      </c>
    </row>
    <row r="30" spans="1:13" ht="15.6" x14ac:dyDescent="0.25">
      <c r="A30" s="389" t="s">
        <v>177</v>
      </c>
      <c r="B30" s="295">
        <v>5166234.0613500001</v>
      </c>
      <c r="C30" s="295">
        <v>5693543.8733999999</v>
      </c>
      <c r="D30" s="305">
        <f t="shared" si="3"/>
        <v>10.199999999999999</v>
      </c>
      <c r="E30" s="303">
        <f>IFERROR(100/'Skjema total MA'!C30*C30,0)</f>
        <v>29.703656329329387</v>
      </c>
      <c r="F30" s="295"/>
      <c r="G30" s="295"/>
      <c r="H30" s="305"/>
      <c r="I30" s="303"/>
      <c r="J30" s="295">
        <f t="shared" ref="J30" si="6">SUM(B30,F30)</f>
        <v>5166234.0613500001</v>
      </c>
      <c r="K30" s="295">
        <f t="shared" ref="K30" si="7">SUM(C30,G30)</f>
        <v>5693543.8733999999</v>
      </c>
      <c r="L30" s="305">
        <f t="shared" si="5"/>
        <v>10.199999999999999</v>
      </c>
      <c r="M30" s="303">
        <f>IFERROR(100/'Skjema total MA'!I30*K30,0)</f>
        <v>24.857627060319253</v>
      </c>
    </row>
    <row r="31" spans="1:13" ht="15.6" x14ac:dyDescent="0.25">
      <c r="A31" s="389" t="s">
        <v>178</v>
      </c>
      <c r="B31" s="295"/>
      <c r="C31" s="295"/>
      <c r="D31" s="305"/>
      <c r="E31" s="303"/>
      <c r="F31" s="295"/>
      <c r="G31" s="295"/>
      <c r="H31" s="305"/>
      <c r="I31" s="303"/>
      <c r="J31" s="295"/>
      <c r="K31" s="295"/>
      <c r="L31" s="305"/>
      <c r="M31" s="303"/>
    </row>
    <row r="32" spans="1:13" ht="15.6" x14ac:dyDescent="0.25">
      <c r="A32" s="389" t="s">
        <v>179</v>
      </c>
      <c r="B32" s="295"/>
      <c r="C32" s="295"/>
      <c r="D32" s="305"/>
      <c r="E32" s="303"/>
      <c r="F32" s="295"/>
      <c r="G32" s="295"/>
      <c r="H32" s="305"/>
      <c r="I32" s="303"/>
      <c r="J32" s="295"/>
      <c r="K32" s="295"/>
      <c r="L32" s="305"/>
      <c r="M32" s="303"/>
    </row>
    <row r="33" spans="1:15" ht="15.6" x14ac:dyDescent="0.25">
      <c r="A33" s="389" t="s">
        <v>180</v>
      </c>
      <c r="B33" s="295"/>
      <c r="C33" s="295"/>
      <c r="D33" s="305"/>
      <c r="E33" s="303"/>
      <c r="F33" s="295"/>
      <c r="G33" s="295"/>
      <c r="H33" s="305"/>
      <c r="I33" s="303"/>
      <c r="J33" s="295"/>
      <c r="K33" s="295"/>
      <c r="L33" s="305"/>
      <c r="M33" s="303"/>
    </row>
    <row r="34" spans="1:15" ht="15.6" x14ac:dyDescent="0.25">
      <c r="A34" s="10" t="s">
        <v>172</v>
      </c>
      <c r="B34" s="298"/>
      <c r="C34" s="299"/>
      <c r="D34" s="305"/>
      <c r="E34" s="303"/>
      <c r="F34" s="304"/>
      <c r="G34" s="299"/>
      <c r="H34" s="305"/>
      <c r="I34" s="303"/>
      <c r="J34" s="298"/>
      <c r="K34" s="298"/>
      <c r="L34" s="305"/>
      <c r="M34" s="303"/>
    </row>
    <row r="35" spans="1:15" ht="15.6" x14ac:dyDescent="0.25">
      <c r="A35" s="10" t="s">
        <v>173</v>
      </c>
      <c r="B35" s="298"/>
      <c r="C35" s="299"/>
      <c r="D35" s="305"/>
      <c r="E35" s="303"/>
      <c r="F35" s="304"/>
      <c r="G35" s="299"/>
      <c r="H35" s="305"/>
      <c r="I35" s="303"/>
      <c r="J35" s="298"/>
      <c r="K35" s="298"/>
      <c r="L35" s="305"/>
      <c r="M35" s="303"/>
    </row>
    <row r="36" spans="1:15" ht="15.6" x14ac:dyDescent="0.25">
      <c r="A36" s="9" t="s">
        <v>184</v>
      </c>
      <c r="B36" s="298"/>
      <c r="C36" s="299"/>
      <c r="D36" s="305"/>
      <c r="E36" s="303"/>
      <c r="F36" s="312"/>
      <c r="G36" s="313"/>
      <c r="H36" s="305"/>
      <c r="I36" s="303"/>
      <c r="J36" s="298"/>
      <c r="K36" s="298"/>
      <c r="L36" s="305"/>
      <c r="M36" s="303"/>
    </row>
    <row r="37" spans="1:15" ht="15.6" x14ac:dyDescent="0.25">
      <c r="A37" s="9" t="s">
        <v>185</v>
      </c>
      <c r="B37" s="298"/>
      <c r="C37" s="299"/>
      <c r="D37" s="305"/>
      <c r="E37" s="303"/>
      <c r="F37" s="312"/>
      <c r="G37" s="314"/>
      <c r="H37" s="305"/>
      <c r="I37" s="303"/>
      <c r="J37" s="298"/>
      <c r="K37" s="298"/>
      <c r="L37" s="305"/>
      <c r="M37" s="303"/>
    </row>
    <row r="38" spans="1:15" ht="15.6" x14ac:dyDescent="0.25">
      <c r="A38" s="9" t="s">
        <v>186</v>
      </c>
      <c r="B38" s="298"/>
      <c r="C38" s="299"/>
      <c r="D38" s="305"/>
      <c r="E38" s="123"/>
      <c r="F38" s="312"/>
      <c r="G38" s="313"/>
      <c r="H38" s="305"/>
      <c r="I38" s="303"/>
      <c r="J38" s="298"/>
      <c r="K38" s="298"/>
      <c r="L38" s="305"/>
      <c r="M38" s="303"/>
    </row>
    <row r="39" spans="1:15" ht="15.6" x14ac:dyDescent="0.25">
      <c r="A39" s="15" t="s">
        <v>187</v>
      </c>
      <c r="B39" s="300"/>
      <c r="C39" s="301"/>
      <c r="D39" s="309"/>
      <c r="E39" s="124"/>
      <c r="F39" s="315"/>
      <c r="G39" s="316"/>
      <c r="H39" s="309"/>
      <c r="I39" s="303"/>
      <c r="J39" s="298"/>
      <c r="K39" s="298"/>
      <c r="L39" s="309"/>
      <c r="M39" s="309"/>
    </row>
    <row r="40" spans="1:15" ht="15.6" x14ac:dyDescent="0.3">
      <c r="A40" s="35"/>
      <c r="B40" s="205"/>
      <c r="C40" s="205"/>
      <c r="D40" s="292"/>
      <c r="E40" s="292"/>
      <c r="F40" s="292"/>
      <c r="G40" s="292"/>
      <c r="H40" s="292"/>
      <c r="I40" s="292"/>
      <c r="J40" s="292"/>
      <c r="K40" s="292"/>
      <c r="L40" s="292"/>
      <c r="M40" s="245"/>
    </row>
    <row r="41" spans="1:15" x14ac:dyDescent="0.25">
      <c r="A41" s="115"/>
    </row>
    <row r="42" spans="1:15" ht="15.6" x14ac:dyDescent="0.3">
      <c r="A42" s="110" t="s">
        <v>188</v>
      </c>
      <c r="B42" s="245"/>
      <c r="C42" s="245"/>
      <c r="D42" s="245"/>
      <c r="E42" s="245"/>
      <c r="F42" s="245"/>
      <c r="G42" s="245"/>
      <c r="H42" s="245"/>
      <c r="I42" s="245"/>
      <c r="J42" s="245"/>
      <c r="K42" s="245"/>
      <c r="L42" s="245"/>
      <c r="M42" s="245"/>
    </row>
    <row r="43" spans="1:15" ht="15.6" x14ac:dyDescent="0.3">
      <c r="A43" s="122"/>
      <c r="B43" s="248"/>
      <c r="C43" s="248"/>
      <c r="D43" s="248"/>
      <c r="E43" s="248"/>
      <c r="F43" s="245"/>
      <c r="G43" s="245"/>
      <c r="H43" s="245"/>
      <c r="I43" s="245"/>
      <c r="J43" s="245"/>
      <c r="K43" s="245"/>
      <c r="L43" s="245"/>
      <c r="M43" s="245"/>
    </row>
    <row r="44" spans="1:15" ht="15.6" x14ac:dyDescent="0.3">
      <c r="A44" s="196"/>
      <c r="B44" s="775" t="s">
        <v>46</v>
      </c>
      <c r="C44" s="776"/>
      <c r="D44" s="776"/>
      <c r="E44" s="191"/>
      <c r="F44" s="245"/>
      <c r="G44" s="245"/>
      <c r="H44" s="245"/>
      <c r="I44" s="245"/>
      <c r="J44" s="245"/>
      <c r="K44" s="245"/>
      <c r="L44" s="245"/>
      <c r="M44" s="245"/>
    </row>
    <row r="45" spans="1:15" x14ac:dyDescent="0.25">
      <c r="A45" s="105"/>
      <c r="B45" s="129" t="s">
        <v>491</v>
      </c>
      <c r="C45" s="129" t="s">
        <v>492</v>
      </c>
      <c r="D45" s="121" t="s">
        <v>166</v>
      </c>
      <c r="E45" s="121" t="s">
        <v>86</v>
      </c>
      <c r="F45" s="131"/>
      <c r="G45" s="131"/>
      <c r="H45" s="130"/>
      <c r="I45" s="130"/>
      <c r="J45" s="131"/>
      <c r="K45" s="131"/>
      <c r="L45" s="130"/>
      <c r="M45" s="130"/>
    </row>
    <row r="46" spans="1:15" x14ac:dyDescent="0.25">
      <c r="A46" s="737"/>
      <c r="B46" s="192"/>
      <c r="C46" s="192"/>
      <c r="D46" s="193" t="s">
        <v>167</v>
      </c>
      <c r="E46" s="116" t="s">
        <v>89</v>
      </c>
      <c r="F46" s="130"/>
      <c r="G46" s="130"/>
      <c r="H46" s="130"/>
      <c r="I46" s="130"/>
      <c r="J46" s="130"/>
      <c r="K46" s="130"/>
      <c r="L46" s="130"/>
      <c r="M46" s="130"/>
    </row>
    <row r="47" spans="1:15" s="35" customFormat="1" ht="15.6" x14ac:dyDescent="0.25">
      <c r="A47" s="11" t="s">
        <v>168</v>
      </c>
      <c r="B47" s="298">
        <v>1410527.2077200001</v>
      </c>
      <c r="C47" s="299">
        <v>1545245.9741800001</v>
      </c>
      <c r="D47" s="346">
        <f>IF(AND(_xlfn.NUMBERVALUE(B47)=0,_xlfn.NUMBERVALUE(C47)=0),,IF(B47=0, "    ---- ", IF(ABS(ROUND(100/B47*C47-100,1))&lt;999,IF(ROUND(100/B47*C47-100,1)=0,"    ---- ",ROUND(100/B47*C47-100,1)),IF(ROUND(100/B47*C47-100,1)&gt;999,999,-999))))</f>
        <v>9.6</v>
      </c>
      <c r="E47" s="347">
        <f>IFERROR(100/'Skjema total MA'!C47*C47,0)</f>
        <v>21.582613055309601</v>
      </c>
      <c r="F47" s="118"/>
      <c r="G47" s="130"/>
      <c r="H47" s="118"/>
      <c r="I47" s="118"/>
      <c r="J47" s="345"/>
      <c r="K47" s="345"/>
      <c r="L47" s="118"/>
      <c r="M47" s="118"/>
      <c r="N47" s="107"/>
      <c r="O47" s="107"/>
    </row>
    <row r="48" spans="1:15" ht="15.6" x14ac:dyDescent="0.25">
      <c r="A48" s="18" t="s">
        <v>189</v>
      </c>
      <c r="B48" s="296">
        <v>171984.15332000001</v>
      </c>
      <c r="C48" s="297">
        <v>165754.22456999999</v>
      </c>
      <c r="D48" s="305">
        <f t="shared" ref="D48:D57" si="8">IF(AND(_xlfn.NUMBERVALUE(B48)=0,_xlfn.NUMBERVALUE(C48)=0),,IF(B48=0, "    ---- ", IF(ABS(ROUND(100/B48*C48-100,1))&lt;999,IF(ROUND(100/B48*C48-100,1)=0,"    ---- ",ROUND(100/B48*C48-100,1)),IF(ROUND(100/B48*C48-100,1)&gt;999,999,-999))))</f>
        <v>-3.6</v>
      </c>
      <c r="E48" s="337">
        <f>IFERROR(100/'Skjema total MA'!C48*C48,0)</f>
        <v>4.0581775889734475</v>
      </c>
      <c r="F48" s="109"/>
      <c r="G48" s="27"/>
      <c r="H48" s="109"/>
      <c r="I48" s="109"/>
      <c r="J48" s="27"/>
      <c r="K48" s="27"/>
      <c r="L48" s="118"/>
      <c r="M48" s="118"/>
    </row>
    <row r="49" spans="1:13" ht="15.6" x14ac:dyDescent="0.25">
      <c r="A49" s="18" t="s">
        <v>190</v>
      </c>
      <c r="B49" s="296">
        <v>1238543.0544</v>
      </c>
      <c r="C49" s="297">
        <v>1379491.7496100001</v>
      </c>
      <c r="D49" s="305">
        <f t="shared" si="8"/>
        <v>11.4</v>
      </c>
      <c r="E49" s="337">
        <f>IFERROR(100/'Skjema total MA'!C49*C49,0)</f>
        <v>44.858165286165693</v>
      </c>
      <c r="F49" s="109"/>
      <c r="G49" s="27"/>
      <c r="H49" s="109"/>
      <c r="I49" s="109"/>
      <c r="J49" s="31"/>
      <c r="K49" s="31"/>
      <c r="L49" s="118"/>
      <c r="M49" s="118"/>
    </row>
    <row r="50" spans="1:13" x14ac:dyDescent="0.25">
      <c r="A50" s="243" t="s">
        <v>191</v>
      </c>
      <c r="B50" s="295"/>
      <c r="C50" s="317"/>
      <c r="D50" s="305"/>
      <c r="E50" s="338"/>
      <c r="F50" s="109"/>
      <c r="G50" s="27"/>
      <c r="H50" s="109"/>
      <c r="I50" s="109"/>
      <c r="J50" s="27"/>
      <c r="K50" s="27"/>
      <c r="L50" s="118"/>
      <c r="M50" s="118"/>
    </row>
    <row r="51" spans="1:13" x14ac:dyDescent="0.25">
      <c r="A51" s="243" t="s">
        <v>192</v>
      </c>
      <c r="B51" s="295">
        <v>1230518.9682100001</v>
      </c>
      <c r="C51" s="317">
        <v>1294486.7496100001</v>
      </c>
      <c r="D51" s="305">
        <f t="shared" si="8"/>
        <v>5.2</v>
      </c>
      <c r="E51" s="337">
        <f>IFERROR(100/'Skjema total MA'!C51*C51,0)</f>
        <v>43.775183144591864</v>
      </c>
      <c r="F51" s="109"/>
      <c r="G51" s="27"/>
      <c r="H51" s="109"/>
      <c r="I51" s="109"/>
      <c r="J51" s="27"/>
      <c r="K51" s="27"/>
      <c r="L51" s="118"/>
      <c r="M51" s="118"/>
    </row>
    <row r="52" spans="1:13" x14ac:dyDescent="0.25">
      <c r="A52" s="243" t="s">
        <v>193</v>
      </c>
      <c r="B52" s="295">
        <v>8024.08619</v>
      </c>
      <c r="C52" s="317">
        <v>85005</v>
      </c>
      <c r="D52" s="305">
        <f t="shared" si="8"/>
        <v>959.4</v>
      </c>
      <c r="E52" s="337">
        <f>IFERROR(100/'Skjema total MA'!C52*C52,0)</f>
        <v>71.911964199385238</v>
      </c>
      <c r="F52" s="109"/>
      <c r="G52" s="27"/>
      <c r="H52" s="109"/>
      <c r="I52" s="109"/>
      <c r="J52" s="27"/>
      <c r="K52" s="27"/>
      <c r="L52" s="118"/>
      <c r="M52" s="118"/>
    </row>
    <row r="53" spans="1:13" ht="15.6" x14ac:dyDescent="0.25">
      <c r="A53" s="10" t="s">
        <v>194</v>
      </c>
      <c r="B53" s="298">
        <v>1271</v>
      </c>
      <c r="C53" s="299">
        <v>1864</v>
      </c>
      <c r="D53" s="305">
        <f t="shared" si="8"/>
        <v>46.7</v>
      </c>
      <c r="E53" s="337">
        <f>IFERROR(100/'Skjema total MA'!C53*C53,0)</f>
        <v>0.57272183104867103</v>
      </c>
      <c r="F53" s="109"/>
      <c r="G53" s="27"/>
      <c r="H53" s="109"/>
      <c r="I53" s="109"/>
      <c r="J53" s="27"/>
      <c r="K53" s="27"/>
      <c r="L53" s="118"/>
      <c r="M53" s="118"/>
    </row>
    <row r="54" spans="1:13" ht="15.6" x14ac:dyDescent="0.25">
      <c r="A54" s="18" t="s">
        <v>189</v>
      </c>
      <c r="B54" s="296">
        <v>1271</v>
      </c>
      <c r="C54" s="297">
        <v>1864</v>
      </c>
      <c r="D54" s="305">
        <f t="shared" si="8"/>
        <v>46.7</v>
      </c>
      <c r="E54" s="337">
        <f>IFERROR(100/'Skjema total MA'!C54*C54,0)</f>
        <v>0.58527025825019996</v>
      </c>
      <c r="F54" s="109"/>
      <c r="G54" s="27"/>
      <c r="H54" s="109"/>
      <c r="I54" s="109"/>
      <c r="J54" s="27"/>
      <c r="K54" s="27"/>
      <c r="L54" s="118"/>
      <c r="M54" s="118"/>
    </row>
    <row r="55" spans="1:13" ht="15.6" x14ac:dyDescent="0.25">
      <c r="A55" s="18" t="s">
        <v>190</v>
      </c>
      <c r="B55" s="296"/>
      <c r="C55" s="297"/>
      <c r="D55" s="305"/>
      <c r="E55" s="337"/>
      <c r="F55" s="109"/>
      <c r="G55" s="27"/>
      <c r="H55" s="109"/>
      <c r="I55" s="109"/>
      <c r="J55" s="27"/>
      <c r="K55" s="27"/>
      <c r="L55" s="118"/>
      <c r="M55" s="118"/>
    </row>
    <row r="56" spans="1:13" ht="15.6" x14ac:dyDescent="0.25">
      <c r="A56" s="10" t="s">
        <v>195</v>
      </c>
      <c r="B56" s="298">
        <v>3181</v>
      </c>
      <c r="C56" s="299">
        <v>2827</v>
      </c>
      <c r="D56" s="305">
        <f t="shared" si="8"/>
        <v>-11.1</v>
      </c>
      <c r="E56" s="337">
        <f>IFERROR(100/'Skjema total MA'!C56*C56,0)</f>
        <v>1.032154255734651</v>
      </c>
      <c r="F56" s="109"/>
      <c r="G56" s="27"/>
      <c r="H56" s="109"/>
      <c r="I56" s="109"/>
      <c r="J56" s="27"/>
      <c r="K56" s="27"/>
      <c r="L56" s="118"/>
      <c r="M56" s="118"/>
    </row>
    <row r="57" spans="1:13" ht="15.6" x14ac:dyDescent="0.25">
      <c r="A57" s="18" t="s">
        <v>189</v>
      </c>
      <c r="B57" s="296">
        <v>3181</v>
      </c>
      <c r="C57" s="297">
        <v>2827</v>
      </c>
      <c r="D57" s="305">
        <f t="shared" si="8"/>
        <v>-11.1</v>
      </c>
      <c r="E57" s="337">
        <f>IFERROR(100/'Skjema total MA'!C57*C57,0)</f>
        <v>1.3086316934514843</v>
      </c>
      <c r="F57" s="109"/>
      <c r="G57" s="27"/>
      <c r="H57" s="109"/>
      <c r="I57" s="109"/>
      <c r="J57" s="27"/>
      <c r="K57" s="27"/>
      <c r="L57" s="118"/>
      <c r="M57" s="118"/>
    </row>
    <row r="58" spans="1:13" ht="15.6" x14ac:dyDescent="0.25">
      <c r="A58" s="7" t="s">
        <v>190</v>
      </c>
      <c r="B58" s="318"/>
      <c r="C58" s="319"/>
      <c r="D58" s="309"/>
      <c r="E58" s="33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248"/>
      <c r="C62" s="248"/>
      <c r="D62" s="248"/>
      <c r="E62" s="245"/>
      <c r="F62" s="248"/>
      <c r="G62" s="248"/>
      <c r="H62" s="248"/>
      <c r="I62" s="245"/>
      <c r="J62" s="248"/>
      <c r="K62" s="248"/>
      <c r="L62" s="24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320"/>
      <c r="C66" s="320"/>
      <c r="D66" s="302"/>
      <c r="E66" s="303"/>
      <c r="F66" s="320"/>
      <c r="G66" s="320"/>
      <c r="H66" s="302"/>
      <c r="I66" s="303"/>
      <c r="J66" s="299"/>
      <c r="K66" s="293"/>
      <c r="L66" s="305"/>
      <c r="M66" s="303"/>
    </row>
    <row r="67" spans="1:13" x14ac:dyDescent="0.25">
      <c r="A67" s="18" t="s">
        <v>197</v>
      </c>
      <c r="B67" s="296"/>
      <c r="C67" s="321"/>
      <c r="D67" s="305"/>
      <c r="E67" s="303"/>
      <c r="F67" s="308"/>
      <c r="G67" s="321"/>
      <c r="H67" s="305"/>
      <c r="I67" s="303"/>
      <c r="J67" s="297"/>
      <c r="K67" s="296"/>
      <c r="L67" s="305"/>
      <c r="M67" s="303"/>
    </row>
    <row r="68" spans="1:13" x14ac:dyDescent="0.25">
      <c r="A68" s="18" t="s">
        <v>198</v>
      </c>
      <c r="B68" s="322"/>
      <c r="C68" s="323"/>
      <c r="D68" s="305"/>
      <c r="E68" s="303"/>
      <c r="F68" s="322"/>
      <c r="G68" s="323"/>
      <c r="H68" s="305"/>
      <c r="I68" s="303"/>
      <c r="J68" s="297"/>
      <c r="K68" s="296"/>
      <c r="L68" s="305"/>
      <c r="M68" s="303"/>
    </row>
    <row r="69" spans="1:13" ht="15.6" x14ac:dyDescent="0.25">
      <c r="A69" s="243" t="s">
        <v>199</v>
      </c>
      <c r="B69" s="296"/>
      <c r="C69" s="296"/>
      <c r="D69" s="305"/>
      <c r="E69" s="330"/>
      <c r="F69" s="296"/>
      <c r="G69" s="296"/>
      <c r="H69" s="305"/>
      <c r="I69" s="303"/>
      <c r="J69" s="295"/>
      <c r="K69" s="295"/>
      <c r="L69" s="305"/>
      <c r="M69" s="303"/>
    </row>
    <row r="70" spans="1:13" x14ac:dyDescent="0.25">
      <c r="A70" s="243" t="s">
        <v>200</v>
      </c>
      <c r="B70" s="324"/>
      <c r="C70" s="325"/>
      <c r="D70" s="305"/>
      <c r="E70" s="330"/>
      <c r="F70" s="296"/>
      <c r="G70" s="296"/>
      <c r="H70" s="305"/>
      <c r="I70" s="303"/>
      <c r="J70" s="295"/>
      <c r="K70" s="295"/>
      <c r="L70" s="305"/>
      <c r="M70" s="303"/>
    </row>
    <row r="71" spans="1:13" x14ac:dyDescent="0.25">
      <c r="A71" s="243" t="s">
        <v>201</v>
      </c>
      <c r="B71" s="326"/>
      <c r="C71" s="327"/>
      <c r="D71" s="305"/>
      <c r="E71" s="330"/>
      <c r="F71" s="296"/>
      <c r="G71" s="296"/>
      <c r="H71" s="305"/>
      <c r="I71" s="303"/>
      <c r="J71" s="295"/>
      <c r="K71" s="295"/>
      <c r="L71" s="305"/>
      <c r="M71" s="303"/>
    </row>
    <row r="72" spans="1:13" ht="15.6" x14ac:dyDescent="0.25">
      <c r="A72" s="243" t="s">
        <v>202</v>
      </c>
      <c r="B72" s="296"/>
      <c r="C72" s="296"/>
      <c r="D72" s="305"/>
      <c r="E72" s="330"/>
      <c r="F72" s="296"/>
      <c r="G72" s="296"/>
      <c r="H72" s="305"/>
      <c r="I72" s="303"/>
      <c r="J72" s="297"/>
      <c r="K72" s="296"/>
      <c r="L72" s="305"/>
      <c r="M72" s="303"/>
    </row>
    <row r="73" spans="1:13" x14ac:dyDescent="0.25">
      <c r="A73" s="243" t="s">
        <v>200</v>
      </c>
      <c r="B73" s="326"/>
      <c r="C73" s="327"/>
      <c r="D73" s="305"/>
      <c r="E73" s="330"/>
      <c r="F73" s="296"/>
      <c r="G73" s="296"/>
      <c r="H73" s="305"/>
      <c r="I73" s="303"/>
      <c r="J73" s="295"/>
      <c r="K73" s="295"/>
      <c r="L73" s="305"/>
      <c r="M73" s="303"/>
    </row>
    <row r="74" spans="1:13" x14ac:dyDescent="0.25">
      <c r="A74" s="243" t="s">
        <v>201</v>
      </c>
      <c r="B74" s="326"/>
      <c r="C74" s="327"/>
      <c r="D74" s="305"/>
      <c r="E74" s="330"/>
      <c r="F74" s="296"/>
      <c r="G74" s="296"/>
      <c r="H74" s="305"/>
      <c r="I74" s="303"/>
      <c r="J74" s="297"/>
      <c r="K74" s="296"/>
      <c r="L74" s="305"/>
      <c r="M74" s="303"/>
    </row>
    <row r="75" spans="1:13" x14ac:dyDescent="0.25">
      <c r="A75" s="18" t="s">
        <v>203</v>
      </c>
      <c r="B75" s="308"/>
      <c r="C75" s="321"/>
      <c r="D75" s="305"/>
      <c r="E75" s="303"/>
      <c r="F75" s="308"/>
      <c r="G75" s="321"/>
      <c r="H75" s="305"/>
      <c r="I75" s="303"/>
      <c r="J75" s="297"/>
      <c r="K75" s="296"/>
      <c r="L75" s="305"/>
      <c r="M75" s="303"/>
    </row>
    <row r="76" spans="1:13" ht="20.399999999999999" x14ac:dyDescent="0.35">
      <c r="A76" s="18" t="s">
        <v>493</v>
      </c>
      <c r="B76" s="308"/>
      <c r="C76" s="321"/>
      <c r="D76" s="305"/>
      <c r="E76" s="303"/>
      <c r="F76" s="308"/>
      <c r="G76" s="321"/>
      <c r="H76" s="305"/>
      <c r="I76" s="303"/>
      <c r="J76" s="297"/>
      <c r="K76" s="296"/>
      <c r="L76" s="305"/>
      <c r="M76" s="303"/>
    </row>
    <row r="77" spans="1:13" ht="15.6" x14ac:dyDescent="0.25">
      <c r="A77" s="18" t="s">
        <v>205</v>
      </c>
      <c r="B77" s="308"/>
      <c r="C77" s="308"/>
      <c r="D77" s="305"/>
      <c r="E77" s="303"/>
      <c r="F77" s="308"/>
      <c r="G77" s="321"/>
      <c r="H77" s="305"/>
      <c r="I77" s="303"/>
      <c r="J77" s="297"/>
      <c r="K77" s="296"/>
      <c r="L77" s="305"/>
      <c r="M77" s="303"/>
    </row>
    <row r="78" spans="1:13" x14ac:dyDescent="0.25">
      <c r="A78" s="18" t="s">
        <v>197</v>
      </c>
      <c r="B78" s="308"/>
      <c r="C78" s="321"/>
      <c r="D78" s="305"/>
      <c r="E78" s="303"/>
      <c r="F78" s="308"/>
      <c r="G78" s="321"/>
      <c r="H78" s="305"/>
      <c r="I78" s="303"/>
      <c r="J78" s="297"/>
      <c r="K78" s="296"/>
      <c r="L78" s="305"/>
      <c r="M78" s="303"/>
    </row>
    <row r="79" spans="1:13" x14ac:dyDescent="0.25">
      <c r="A79" s="18" t="s">
        <v>206</v>
      </c>
      <c r="B79" s="322"/>
      <c r="C79" s="323"/>
      <c r="D79" s="305"/>
      <c r="E79" s="303"/>
      <c r="F79" s="322"/>
      <c r="G79" s="323"/>
      <c r="H79" s="305"/>
      <c r="I79" s="303"/>
      <c r="J79" s="297"/>
      <c r="K79" s="296"/>
      <c r="L79" s="305"/>
      <c r="M79" s="303"/>
    </row>
    <row r="80" spans="1:13" ht="15.6" x14ac:dyDescent="0.25">
      <c r="A80" s="243" t="s">
        <v>199</v>
      </c>
      <c r="B80" s="296"/>
      <c r="C80" s="296"/>
      <c r="D80" s="305"/>
      <c r="E80" s="330"/>
      <c r="F80" s="296"/>
      <c r="G80" s="296"/>
      <c r="H80" s="305"/>
      <c r="I80" s="303"/>
      <c r="J80" s="295"/>
      <c r="K80" s="295"/>
      <c r="L80" s="305"/>
      <c r="M80" s="303"/>
    </row>
    <row r="81" spans="1:13" x14ac:dyDescent="0.25">
      <c r="A81" s="243" t="s">
        <v>200</v>
      </c>
      <c r="B81" s="326"/>
      <c r="C81" s="327"/>
      <c r="D81" s="305"/>
      <c r="E81" s="330"/>
      <c r="F81" s="296"/>
      <c r="G81" s="296"/>
      <c r="H81" s="305"/>
      <c r="I81" s="303"/>
      <c r="J81" s="295"/>
      <c r="K81" s="295"/>
      <c r="L81" s="305"/>
      <c r="M81" s="303"/>
    </row>
    <row r="82" spans="1:13" x14ac:dyDescent="0.25">
      <c r="A82" s="243" t="s">
        <v>201</v>
      </c>
      <c r="B82" s="326"/>
      <c r="C82" s="327"/>
      <c r="D82" s="305"/>
      <c r="E82" s="330"/>
      <c r="F82" s="296"/>
      <c r="G82" s="296"/>
      <c r="H82" s="305"/>
      <c r="I82" s="303"/>
      <c r="J82" s="295"/>
      <c r="K82" s="295"/>
      <c r="L82" s="305"/>
      <c r="M82" s="303"/>
    </row>
    <row r="83" spans="1:13" ht="15.6" x14ac:dyDescent="0.25">
      <c r="A83" s="243" t="s">
        <v>202</v>
      </c>
      <c r="B83" s="296"/>
      <c r="C83" s="296"/>
      <c r="D83" s="305"/>
      <c r="E83" s="330"/>
      <c r="F83" s="296"/>
      <c r="G83" s="296"/>
      <c r="H83" s="305"/>
      <c r="I83" s="303"/>
      <c r="J83" s="297"/>
      <c r="K83" s="296"/>
      <c r="L83" s="305"/>
      <c r="M83" s="303"/>
    </row>
    <row r="84" spans="1:13" x14ac:dyDescent="0.25">
      <c r="A84" s="243" t="s">
        <v>200</v>
      </c>
      <c r="B84" s="326"/>
      <c r="C84" s="327"/>
      <c r="D84" s="305"/>
      <c r="E84" s="330"/>
      <c r="F84" s="296"/>
      <c r="G84" s="296"/>
      <c r="H84" s="305"/>
      <c r="I84" s="303"/>
      <c r="J84" s="295"/>
      <c r="K84" s="295"/>
      <c r="L84" s="305"/>
      <c r="M84" s="303"/>
    </row>
    <row r="85" spans="1:13" x14ac:dyDescent="0.25">
      <c r="A85" s="243" t="s">
        <v>201</v>
      </c>
      <c r="B85" s="326"/>
      <c r="C85" s="327"/>
      <c r="D85" s="305"/>
      <c r="E85" s="330"/>
      <c r="F85" s="296"/>
      <c r="G85" s="296"/>
      <c r="H85" s="305"/>
      <c r="I85" s="303"/>
      <c r="J85" s="297"/>
      <c r="K85" s="296"/>
      <c r="L85" s="305"/>
      <c r="M85" s="303"/>
    </row>
    <row r="86" spans="1:13" ht="15.6" x14ac:dyDescent="0.25">
      <c r="A86" s="18" t="s">
        <v>207</v>
      </c>
      <c r="B86" s="308"/>
      <c r="C86" s="321"/>
      <c r="D86" s="305"/>
      <c r="E86" s="303"/>
      <c r="F86" s="308"/>
      <c r="G86" s="321"/>
      <c r="H86" s="305"/>
      <c r="I86" s="303"/>
      <c r="J86" s="297"/>
      <c r="K86" s="296"/>
      <c r="L86" s="305"/>
      <c r="M86" s="303"/>
    </row>
    <row r="87" spans="1:13" ht="15.6" x14ac:dyDescent="0.25">
      <c r="A87" s="10" t="s">
        <v>171</v>
      </c>
      <c r="B87" s="320"/>
      <c r="C87" s="320"/>
      <c r="D87" s="305"/>
      <c r="E87" s="303"/>
      <c r="F87" s="320"/>
      <c r="G87" s="320"/>
      <c r="H87" s="305"/>
      <c r="I87" s="303"/>
      <c r="J87" s="299"/>
      <c r="K87" s="298"/>
      <c r="L87" s="305"/>
      <c r="M87" s="303"/>
    </row>
    <row r="88" spans="1:13" x14ac:dyDescent="0.25">
      <c r="A88" s="18" t="s">
        <v>197</v>
      </c>
      <c r="B88" s="308"/>
      <c r="C88" s="321"/>
      <c r="D88" s="305"/>
      <c r="E88" s="303"/>
      <c r="F88" s="308"/>
      <c r="G88" s="321"/>
      <c r="H88" s="305"/>
      <c r="I88" s="303"/>
      <c r="J88" s="297"/>
      <c r="K88" s="296"/>
      <c r="L88" s="305"/>
      <c r="M88" s="303"/>
    </row>
    <row r="89" spans="1:13" x14ac:dyDescent="0.25">
      <c r="A89" s="18" t="s">
        <v>198</v>
      </c>
      <c r="B89" s="308"/>
      <c r="C89" s="321"/>
      <c r="D89" s="305"/>
      <c r="E89" s="303"/>
      <c r="F89" s="308"/>
      <c r="G89" s="321"/>
      <c r="H89" s="305"/>
      <c r="I89" s="303"/>
      <c r="J89" s="297"/>
      <c r="K89" s="296"/>
      <c r="L89" s="305"/>
      <c r="M89" s="303"/>
    </row>
    <row r="90" spans="1:13" ht="15.6" x14ac:dyDescent="0.25">
      <c r="A90" s="243" t="s">
        <v>199</v>
      </c>
      <c r="B90" s="296"/>
      <c r="C90" s="296"/>
      <c r="D90" s="305"/>
      <c r="E90" s="330"/>
      <c r="F90" s="296"/>
      <c r="G90" s="296"/>
      <c r="H90" s="305"/>
      <c r="I90" s="303"/>
      <c r="J90" s="297"/>
      <c r="K90" s="296"/>
      <c r="L90" s="305"/>
      <c r="M90" s="303"/>
    </row>
    <row r="91" spans="1:13" x14ac:dyDescent="0.25">
      <c r="A91" s="243" t="s">
        <v>200</v>
      </c>
      <c r="B91" s="326"/>
      <c r="C91" s="327"/>
      <c r="D91" s="305"/>
      <c r="E91" s="330"/>
      <c r="F91" s="296"/>
      <c r="G91" s="296"/>
      <c r="H91" s="305"/>
      <c r="I91" s="303"/>
      <c r="J91" s="297"/>
      <c r="K91" s="296"/>
      <c r="L91" s="305"/>
      <c r="M91" s="303"/>
    </row>
    <row r="92" spans="1:13" x14ac:dyDescent="0.25">
      <c r="A92" s="243" t="s">
        <v>201</v>
      </c>
      <c r="B92" s="326"/>
      <c r="C92" s="327"/>
      <c r="D92" s="305"/>
      <c r="E92" s="330"/>
      <c r="F92" s="296"/>
      <c r="G92" s="296"/>
      <c r="H92" s="305"/>
      <c r="I92" s="303"/>
      <c r="J92" s="295"/>
      <c r="K92" s="295"/>
      <c r="L92" s="305"/>
      <c r="M92" s="303"/>
    </row>
    <row r="93" spans="1:13" ht="15.6" x14ac:dyDescent="0.25">
      <c r="A93" s="243" t="s">
        <v>202</v>
      </c>
      <c r="B93" s="296"/>
      <c r="C93" s="296"/>
      <c r="D93" s="305"/>
      <c r="E93" s="303"/>
      <c r="F93" s="296"/>
      <c r="G93" s="296"/>
      <c r="H93" s="305"/>
      <c r="I93" s="303"/>
      <c r="J93" s="297"/>
      <c r="K93" s="296"/>
      <c r="L93" s="305"/>
      <c r="M93" s="303"/>
    </row>
    <row r="94" spans="1:13" x14ac:dyDescent="0.25">
      <c r="A94" s="243" t="s">
        <v>200</v>
      </c>
      <c r="B94" s="326"/>
      <c r="C94" s="327"/>
      <c r="D94" s="305"/>
      <c r="E94" s="330"/>
      <c r="F94" s="296"/>
      <c r="G94" s="296"/>
      <c r="H94" s="305"/>
      <c r="I94" s="303"/>
      <c r="J94" s="295"/>
      <c r="K94" s="295"/>
      <c r="L94" s="305"/>
      <c r="M94" s="303"/>
    </row>
    <row r="95" spans="1:13" x14ac:dyDescent="0.25">
      <c r="A95" s="243" t="s">
        <v>201</v>
      </c>
      <c r="B95" s="326"/>
      <c r="C95" s="327"/>
      <c r="D95" s="305"/>
      <c r="E95" s="330"/>
      <c r="F95" s="296"/>
      <c r="G95" s="296"/>
      <c r="H95" s="305"/>
      <c r="I95" s="303"/>
      <c r="J95" s="297"/>
      <c r="K95" s="296"/>
      <c r="L95" s="305"/>
      <c r="M95" s="303"/>
    </row>
    <row r="96" spans="1:13" x14ac:dyDescent="0.25">
      <c r="A96" s="18" t="s">
        <v>221</v>
      </c>
      <c r="B96" s="308"/>
      <c r="C96" s="321"/>
      <c r="D96" s="305"/>
      <c r="E96" s="303"/>
      <c r="F96" s="308"/>
      <c r="G96" s="321"/>
      <c r="H96" s="305"/>
      <c r="I96" s="303"/>
      <c r="J96" s="297"/>
      <c r="K96" s="296"/>
      <c r="L96" s="305"/>
      <c r="M96" s="303"/>
    </row>
    <row r="97" spans="1:13" x14ac:dyDescent="0.25">
      <c r="A97" s="18" t="s">
        <v>222</v>
      </c>
      <c r="B97" s="308"/>
      <c r="C97" s="321"/>
      <c r="D97" s="305"/>
      <c r="E97" s="303"/>
      <c r="F97" s="308"/>
      <c r="G97" s="321"/>
      <c r="H97" s="305"/>
      <c r="I97" s="303"/>
      <c r="J97" s="297"/>
      <c r="K97" s="296"/>
      <c r="L97" s="305"/>
      <c r="M97" s="303"/>
    </row>
    <row r="98" spans="1:13" ht="15.6" x14ac:dyDescent="0.25">
      <c r="A98" s="18" t="s">
        <v>205</v>
      </c>
      <c r="B98" s="308"/>
      <c r="C98" s="308"/>
      <c r="D98" s="305"/>
      <c r="E98" s="303"/>
      <c r="F98" s="322"/>
      <c r="G98" s="322"/>
      <c r="H98" s="305"/>
      <c r="I98" s="303"/>
      <c r="J98" s="297"/>
      <c r="K98" s="296"/>
      <c r="L98" s="305"/>
      <c r="M98" s="303"/>
    </row>
    <row r="99" spans="1:13" x14ac:dyDescent="0.25">
      <c r="A99" s="18" t="s">
        <v>197</v>
      </c>
      <c r="B99" s="322"/>
      <c r="C99" s="323"/>
      <c r="D99" s="305"/>
      <c r="E99" s="303"/>
      <c r="F99" s="308"/>
      <c r="G99" s="321"/>
      <c r="H99" s="305"/>
      <c r="I99" s="303"/>
      <c r="J99" s="297"/>
      <c r="K99" s="296"/>
      <c r="L99" s="305"/>
      <c r="M99" s="303"/>
    </row>
    <row r="100" spans="1:13" x14ac:dyDescent="0.25">
      <c r="A100" s="18" t="s">
        <v>206</v>
      </c>
      <c r="B100" s="322"/>
      <c r="C100" s="323"/>
      <c r="D100" s="305"/>
      <c r="E100" s="303"/>
      <c r="F100" s="308"/>
      <c r="G100" s="308"/>
      <c r="H100" s="305"/>
      <c r="I100" s="303"/>
      <c r="J100" s="297"/>
      <c r="K100" s="296"/>
      <c r="L100" s="305"/>
      <c r="M100" s="303"/>
    </row>
    <row r="101" spans="1:13" ht="15.6" x14ac:dyDescent="0.25">
      <c r="A101" s="243" t="s">
        <v>199</v>
      </c>
      <c r="B101" s="296"/>
      <c r="C101" s="296"/>
      <c r="D101" s="305"/>
      <c r="E101" s="330"/>
      <c r="F101" s="296"/>
      <c r="G101" s="296"/>
      <c r="H101" s="305"/>
      <c r="I101" s="303"/>
      <c r="J101" s="295"/>
      <c r="K101" s="295"/>
      <c r="L101" s="305"/>
      <c r="M101" s="303"/>
    </row>
    <row r="102" spans="1:13" x14ac:dyDescent="0.25">
      <c r="A102" s="243" t="s">
        <v>200</v>
      </c>
      <c r="B102" s="326"/>
      <c r="C102" s="327"/>
      <c r="D102" s="305"/>
      <c r="E102" s="330"/>
      <c r="F102" s="296"/>
      <c r="G102" s="296"/>
      <c r="H102" s="305"/>
      <c r="I102" s="303"/>
      <c r="J102" s="295"/>
      <c r="K102" s="295"/>
      <c r="L102" s="305"/>
      <c r="M102" s="303"/>
    </row>
    <row r="103" spans="1:13" x14ac:dyDescent="0.25">
      <c r="A103" s="243" t="s">
        <v>201</v>
      </c>
      <c r="B103" s="326"/>
      <c r="C103" s="327"/>
      <c r="D103" s="305"/>
      <c r="E103" s="330"/>
      <c r="F103" s="296"/>
      <c r="G103" s="296"/>
      <c r="H103" s="305"/>
      <c r="I103" s="303"/>
      <c r="J103" s="295"/>
      <c r="K103" s="295"/>
      <c r="L103" s="305"/>
      <c r="M103" s="303"/>
    </row>
    <row r="104" spans="1:13" ht="15.6" x14ac:dyDescent="0.25">
      <c r="A104" s="243" t="s">
        <v>202</v>
      </c>
      <c r="B104" s="296"/>
      <c r="C104" s="296"/>
      <c r="D104" s="305"/>
      <c r="E104" s="303"/>
      <c r="F104" s="296"/>
      <c r="G104" s="296"/>
      <c r="H104" s="305"/>
      <c r="I104" s="303"/>
      <c r="J104" s="297"/>
      <c r="K104" s="296"/>
      <c r="L104" s="305"/>
      <c r="M104" s="303"/>
    </row>
    <row r="105" spans="1:13" x14ac:dyDescent="0.25">
      <c r="A105" s="243" t="s">
        <v>200</v>
      </c>
      <c r="B105" s="326"/>
      <c r="C105" s="327"/>
      <c r="D105" s="305"/>
      <c r="E105" s="303"/>
      <c r="F105" s="296"/>
      <c r="G105" s="296"/>
      <c r="H105" s="305"/>
      <c r="I105" s="303"/>
      <c r="J105" s="295"/>
      <c r="K105" s="295"/>
      <c r="L105" s="305"/>
      <c r="M105" s="303"/>
    </row>
    <row r="106" spans="1:13" x14ac:dyDescent="0.25">
      <c r="A106" s="243" t="s">
        <v>201</v>
      </c>
      <c r="B106" s="326"/>
      <c r="C106" s="327"/>
      <c r="D106" s="305"/>
      <c r="E106" s="303"/>
      <c r="F106" s="296"/>
      <c r="G106" s="296"/>
      <c r="H106" s="305"/>
      <c r="I106" s="303"/>
      <c r="J106" s="297"/>
      <c r="K106" s="296"/>
      <c r="L106" s="305"/>
      <c r="M106" s="303"/>
    </row>
    <row r="107" spans="1:13" ht="15.6" x14ac:dyDescent="0.25">
      <c r="A107" s="18" t="s">
        <v>207</v>
      </c>
      <c r="B107" s="308"/>
      <c r="C107" s="321"/>
      <c r="D107" s="305"/>
      <c r="E107" s="303"/>
      <c r="F107" s="308"/>
      <c r="G107" s="321"/>
      <c r="H107" s="305"/>
      <c r="I107" s="303"/>
      <c r="J107" s="297"/>
      <c r="K107" s="296"/>
      <c r="L107" s="305"/>
      <c r="M107" s="303"/>
    </row>
    <row r="108" spans="1:13" ht="15.6" x14ac:dyDescent="0.25">
      <c r="A108" s="18" t="s">
        <v>208</v>
      </c>
      <c r="B108" s="308"/>
      <c r="C108" s="308"/>
      <c r="D108" s="305"/>
      <c r="E108" s="303"/>
      <c r="F108" s="308"/>
      <c r="G108" s="308"/>
      <c r="H108" s="305"/>
      <c r="I108" s="303"/>
      <c r="J108" s="297"/>
      <c r="K108" s="296"/>
      <c r="L108" s="305"/>
      <c r="M108" s="303"/>
    </row>
    <row r="109" spans="1:13" ht="15.6" x14ac:dyDescent="0.25">
      <c r="A109" s="18" t="s">
        <v>209</v>
      </c>
      <c r="B109" s="308"/>
      <c r="C109" s="308"/>
      <c r="D109" s="305"/>
      <c r="E109" s="303"/>
      <c r="F109" s="308"/>
      <c r="G109" s="308"/>
      <c r="H109" s="305"/>
      <c r="I109" s="303"/>
      <c r="J109" s="297"/>
      <c r="K109" s="296"/>
      <c r="L109" s="305"/>
      <c r="M109" s="303"/>
    </row>
    <row r="110" spans="1:13" ht="15.6" x14ac:dyDescent="0.25">
      <c r="A110" s="18" t="s">
        <v>210</v>
      </c>
      <c r="B110" s="308"/>
      <c r="C110" s="308"/>
      <c r="D110" s="305"/>
      <c r="E110" s="303"/>
      <c r="F110" s="308"/>
      <c r="G110" s="308"/>
      <c r="H110" s="305"/>
      <c r="I110" s="303"/>
      <c r="J110" s="297"/>
      <c r="K110" s="296"/>
      <c r="L110" s="305"/>
      <c r="M110" s="303"/>
    </row>
    <row r="111" spans="1:13" ht="15.6" x14ac:dyDescent="0.25">
      <c r="A111" s="10" t="s">
        <v>172</v>
      </c>
      <c r="B111" s="304"/>
      <c r="C111" s="328"/>
      <c r="D111" s="305"/>
      <c r="E111" s="303"/>
      <c r="F111" s="304"/>
      <c r="G111" s="328"/>
      <c r="H111" s="305"/>
      <c r="I111" s="303"/>
      <c r="J111" s="299"/>
      <c r="K111" s="298"/>
      <c r="L111" s="305"/>
      <c r="M111" s="303"/>
    </row>
    <row r="112" spans="1:13" x14ac:dyDescent="0.25">
      <c r="A112" s="18" t="s">
        <v>197</v>
      </c>
      <c r="B112" s="308"/>
      <c r="C112" s="321"/>
      <c r="D112" s="305"/>
      <c r="E112" s="303"/>
      <c r="F112" s="308"/>
      <c r="G112" s="321"/>
      <c r="H112" s="305"/>
      <c r="I112" s="303"/>
      <c r="J112" s="297"/>
      <c r="K112" s="296"/>
      <c r="L112" s="305"/>
      <c r="M112" s="303"/>
    </row>
    <row r="113" spans="1:13" x14ac:dyDescent="0.25">
      <c r="A113" s="18" t="s">
        <v>198</v>
      </c>
      <c r="B113" s="308"/>
      <c r="C113" s="321"/>
      <c r="D113" s="305"/>
      <c r="E113" s="303"/>
      <c r="F113" s="308"/>
      <c r="G113" s="321"/>
      <c r="H113" s="305"/>
      <c r="I113" s="303"/>
      <c r="J113" s="297"/>
      <c r="K113" s="296"/>
      <c r="L113" s="305"/>
      <c r="M113" s="303"/>
    </row>
    <row r="114" spans="1:13" x14ac:dyDescent="0.25">
      <c r="A114" s="18" t="s">
        <v>211</v>
      </c>
      <c r="B114" s="308"/>
      <c r="C114" s="321"/>
      <c r="D114" s="305"/>
      <c r="E114" s="303"/>
      <c r="F114" s="308"/>
      <c r="G114" s="321"/>
      <c r="H114" s="305"/>
      <c r="I114" s="303"/>
      <c r="J114" s="297"/>
      <c r="K114" s="296"/>
      <c r="L114" s="305"/>
      <c r="M114" s="303"/>
    </row>
    <row r="115" spans="1:13" x14ac:dyDescent="0.25">
      <c r="A115" s="243" t="s">
        <v>212</v>
      </c>
      <c r="B115" s="296"/>
      <c r="C115" s="296"/>
      <c r="D115" s="305"/>
      <c r="E115" s="330"/>
      <c r="F115" s="296"/>
      <c r="G115" s="296"/>
      <c r="H115" s="305"/>
      <c r="I115" s="303"/>
      <c r="J115" s="295"/>
      <c r="K115" s="295"/>
      <c r="L115" s="305"/>
      <c r="M115" s="303"/>
    </row>
    <row r="116" spans="1:13" ht="15.6" x14ac:dyDescent="0.25">
      <c r="A116" s="18" t="s">
        <v>213</v>
      </c>
      <c r="B116" s="308"/>
      <c r="C116" s="308"/>
      <c r="D116" s="305"/>
      <c r="E116" s="303"/>
      <c r="F116" s="308"/>
      <c r="G116" s="308"/>
      <c r="H116" s="305"/>
      <c r="I116" s="303"/>
      <c r="J116" s="297"/>
      <c r="K116" s="296"/>
      <c r="L116" s="305"/>
      <c r="M116" s="303"/>
    </row>
    <row r="117" spans="1:13" ht="15.6" x14ac:dyDescent="0.25">
      <c r="A117" s="18" t="s">
        <v>209</v>
      </c>
      <c r="B117" s="308"/>
      <c r="C117" s="308"/>
      <c r="D117" s="305"/>
      <c r="E117" s="303"/>
      <c r="F117" s="308"/>
      <c r="G117" s="308"/>
      <c r="H117" s="305"/>
      <c r="I117" s="303"/>
      <c r="J117" s="297"/>
      <c r="K117" s="296"/>
      <c r="L117" s="305"/>
      <c r="M117" s="303"/>
    </row>
    <row r="118" spans="1:13" ht="15.6" x14ac:dyDescent="0.25">
      <c r="A118" s="18" t="s">
        <v>210</v>
      </c>
      <c r="B118" s="308"/>
      <c r="C118" s="308"/>
      <c r="D118" s="305"/>
      <c r="E118" s="303"/>
      <c r="F118" s="308"/>
      <c r="G118" s="308"/>
      <c r="H118" s="305"/>
      <c r="I118" s="303"/>
      <c r="J118" s="297"/>
      <c r="K118" s="296"/>
      <c r="L118" s="305"/>
      <c r="M118" s="303"/>
    </row>
    <row r="119" spans="1:13" ht="15.6" x14ac:dyDescent="0.25">
      <c r="A119" s="10" t="s">
        <v>173</v>
      </c>
      <c r="B119" s="304"/>
      <c r="C119" s="328"/>
      <c r="D119" s="305"/>
      <c r="E119" s="303"/>
      <c r="F119" s="304"/>
      <c r="G119" s="328"/>
      <c r="H119" s="305"/>
      <c r="I119" s="303"/>
      <c r="J119" s="299"/>
      <c r="K119" s="298"/>
      <c r="L119" s="305"/>
      <c r="M119" s="303"/>
    </row>
    <row r="120" spans="1:13" x14ac:dyDescent="0.25">
      <c r="A120" s="18" t="s">
        <v>197</v>
      </c>
      <c r="B120" s="308"/>
      <c r="C120" s="321"/>
      <c r="D120" s="305"/>
      <c r="E120" s="303"/>
      <c r="F120" s="308"/>
      <c r="G120" s="321"/>
      <c r="H120" s="305"/>
      <c r="I120" s="303"/>
      <c r="J120" s="297"/>
      <c r="K120" s="296"/>
      <c r="L120" s="305"/>
      <c r="M120" s="303"/>
    </row>
    <row r="121" spans="1:13" x14ac:dyDescent="0.25">
      <c r="A121" s="18" t="s">
        <v>198</v>
      </c>
      <c r="B121" s="308"/>
      <c r="C121" s="321"/>
      <c r="D121" s="305"/>
      <c r="E121" s="303"/>
      <c r="F121" s="308"/>
      <c r="G121" s="321"/>
      <c r="H121" s="305"/>
      <c r="I121" s="303"/>
      <c r="J121" s="297"/>
      <c r="K121" s="296"/>
      <c r="L121" s="305"/>
      <c r="M121" s="303"/>
    </row>
    <row r="122" spans="1:13" x14ac:dyDescent="0.25">
      <c r="A122" s="18" t="s">
        <v>211</v>
      </c>
      <c r="B122" s="308"/>
      <c r="C122" s="321"/>
      <c r="D122" s="305"/>
      <c r="E122" s="303"/>
      <c r="F122" s="308"/>
      <c r="G122" s="321"/>
      <c r="H122" s="305"/>
      <c r="I122" s="303"/>
      <c r="J122" s="297"/>
      <c r="K122" s="296"/>
      <c r="L122" s="305"/>
      <c r="M122" s="303"/>
    </row>
    <row r="123" spans="1:13" x14ac:dyDescent="0.25">
      <c r="A123" s="243" t="s">
        <v>214</v>
      </c>
      <c r="B123" s="296"/>
      <c r="C123" s="296"/>
      <c r="D123" s="305"/>
      <c r="E123" s="330"/>
      <c r="F123" s="296"/>
      <c r="G123" s="296"/>
      <c r="H123" s="305"/>
      <c r="I123" s="303"/>
      <c r="J123" s="295"/>
      <c r="K123" s="295"/>
      <c r="L123" s="305"/>
      <c r="M123" s="303"/>
    </row>
    <row r="124" spans="1:13" ht="15.6" x14ac:dyDescent="0.25">
      <c r="A124" s="18" t="s">
        <v>223</v>
      </c>
      <c r="B124" s="308"/>
      <c r="C124" s="308"/>
      <c r="D124" s="305"/>
      <c r="E124" s="303"/>
      <c r="F124" s="308"/>
      <c r="G124" s="308"/>
      <c r="H124" s="305"/>
      <c r="I124" s="303"/>
      <c r="J124" s="297"/>
      <c r="K124" s="296"/>
      <c r="L124" s="305"/>
      <c r="M124" s="303"/>
    </row>
    <row r="125" spans="1:13" ht="15.6" x14ac:dyDescent="0.25">
      <c r="A125" s="18" t="s">
        <v>209</v>
      </c>
      <c r="B125" s="308"/>
      <c r="C125" s="308"/>
      <c r="D125" s="305"/>
      <c r="E125" s="303"/>
      <c r="F125" s="308"/>
      <c r="G125" s="308"/>
      <c r="H125" s="305"/>
      <c r="I125" s="303"/>
      <c r="J125" s="297"/>
      <c r="K125" s="296"/>
      <c r="L125" s="305"/>
      <c r="M125" s="303"/>
    </row>
    <row r="126" spans="1:13" ht="15.6" x14ac:dyDescent="0.25">
      <c r="A126" s="7" t="s">
        <v>210</v>
      </c>
      <c r="B126" s="318"/>
      <c r="C126" s="318"/>
      <c r="D126" s="309"/>
      <c r="E126" s="329"/>
      <c r="F126" s="318"/>
      <c r="G126" s="318"/>
      <c r="H126" s="309"/>
      <c r="I126" s="309"/>
      <c r="J126" s="319"/>
      <c r="K126" s="318"/>
      <c r="L126" s="309"/>
      <c r="M126" s="309"/>
    </row>
    <row r="127" spans="1:13" x14ac:dyDescent="0.25">
      <c r="A127" s="115"/>
    </row>
    <row r="129" spans="1:15" ht="15.6" x14ac:dyDescent="0.3">
      <c r="A129" s="110" t="s">
        <v>215</v>
      </c>
    </row>
    <row r="130" spans="1:15" ht="15.6" x14ac:dyDescent="0.3">
      <c r="B130" s="248"/>
      <c r="C130" s="248"/>
      <c r="D130" s="248"/>
      <c r="E130" s="245"/>
      <c r="F130" s="248"/>
      <c r="G130" s="248"/>
      <c r="H130" s="248"/>
      <c r="I130" s="245"/>
      <c r="J130" s="248"/>
      <c r="K130" s="248"/>
      <c r="L130" s="24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250"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298"/>
      <c r="C134" s="299"/>
      <c r="D134" s="302"/>
      <c r="E134" s="303"/>
      <c r="F134" s="293"/>
      <c r="G134" s="294"/>
      <c r="H134" s="331"/>
      <c r="I134" s="303"/>
      <c r="J134" s="311"/>
      <c r="K134" s="311"/>
      <c r="L134" s="302"/>
      <c r="M134" s="303"/>
    </row>
    <row r="135" spans="1:15" ht="15.6" x14ac:dyDescent="0.25">
      <c r="A135" s="10" t="s">
        <v>224</v>
      </c>
      <c r="B135" s="298"/>
      <c r="C135" s="299"/>
      <c r="D135" s="305"/>
      <c r="E135" s="303"/>
      <c r="F135" s="298"/>
      <c r="G135" s="299"/>
      <c r="H135" s="332"/>
      <c r="I135" s="303"/>
      <c r="J135" s="304"/>
      <c r="K135" s="304"/>
      <c r="L135" s="305"/>
      <c r="M135" s="303"/>
    </row>
    <row r="136" spans="1:15" ht="15.6" x14ac:dyDescent="0.25">
      <c r="A136" s="10" t="s">
        <v>218</v>
      </c>
      <c r="B136" s="298"/>
      <c r="C136" s="299"/>
      <c r="D136" s="305"/>
      <c r="E136" s="303"/>
      <c r="F136" s="298"/>
      <c r="G136" s="299"/>
      <c r="H136" s="332"/>
      <c r="I136" s="303"/>
      <c r="J136" s="304"/>
      <c r="K136" s="304"/>
      <c r="L136" s="305"/>
      <c r="M136" s="303"/>
    </row>
    <row r="137" spans="1:15" ht="15.6" x14ac:dyDescent="0.25">
      <c r="A137" s="33" t="s">
        <v>219</v>
      </c>
      <c r="B137" s="300"/>
      <c r="C137" s="301"/>
      <c r="D137" s="309"/>
      <c r="E137" s="329"/>
      <c r="F137" s="300"/>
      <c r="G137" s="301"/>
      <c r="H137" s="333"/>
      <c r="I137" s="329"/>
      <c r="J137" s="310"/>
      <c r="K137" s="310"/>
      <c r="L137" s="309"/>
      <c r="M137" s="309"/>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13">
    <mergeCell ref="J131:L131"/>
    <mergeCell ref="F131:H131"/>
    <mergeCell ref="B131:D131"/>
    <mergeCell ref="J63:L63"/>
    <mergeCell ref="F63:H63"/>
    <mergeCell ref="B63:D63"/>
    <mergeCell ref="B44:D44"/>
    <mergeCell ref="J19:L19"/>
    <mergeCell ref="F19:H19"/>
    <mergeCell ref="B19:D19"/>
    <mergeCell ref="J4:L4"/>
    <mergeCell ref="F4:H4"/>
    <mergeCell ref="B4:D4"/>
  </mergeCells>
  <conditionalFormatting sqref="A69:A74">
    <cfRule type="expression" dxfId="1278" priority="10">
      <formula>kvartal &lt; 4</formula>
    </cfRule>
  </conditionalFormatting>
  <conditionalFormatting sqref="A80:A85">
    <cfRule type="expression" dxfId="1277" priority="9">
      <formula>kvartal &lt; 4</formula>
    </cfRule>
  </conditionalFormatting>
  <conditionalFormatting sqref="A90:A95">
    <cfRule type="expression" dxfId="1276" priority="6">
      <formula>kvartal &lt; 4</formula>
    </cfRule>
  </conditionalFormatting>
  <conditionalFormatting sqref="A101:A106">
    <cfRule type="expression" dxfId="1275" priority="5">
      <formula>kvartal &lt; 4</formula>
    </cfRule>
  </conditionalFormatting>
  <conditionalFormatting sqref="A50:C52">
    <cfRule type="expression" dxfId="1274" priority="12">
      <formula>kvartal &lt; 4</formula>
    </cfRule>
  </conditionalFormatting>
  <conditionalFormatting sqref="A115:C115">
    <cfRule type="expression" dxfId="1273" priority="4">
      <formula>kvartal &lt; 4</formula>
    </cfRule>
  </conditionalFormatting>
  <conditionalFormatting sqref="A123:C123">
    <cfRule type="expression" dxfId="1272" priority="3">
      <formula>kvartal &lt; 4</formula>
    </cfRule>
  </conditionalFormatting>
  <conditionalFormatting sqref="B69:C69">
    <cfRule type="expression" dxfId="1271" priority="99">
      <formula>kvartal &lt; 4</formula>
    </cfRule>
  </conditionalFormatting>
  <conditionalFormatting sqref="B72:C72">
    <cfRule type="expression" dxfId="1270" priority="97">
      <formula>kvartal &lt; 4</formula>
    </cfRule>
  </conditionalFormatting>
  <conditionalFormatting sqref="B80:C80">
    <cfRule type="expression" dxfId="1269" priority="95">
      <formula>kvartal &lt; 4</formula>
    </cfRule>
  </conditionalFormatting>
  <conditionalFormatting sqref="B83:C83">
    <cfRule type="expression" dxfId="1268" priority="93">
      <formula>kvartal &lt; 4</formula>
    </cfRule>
  </conditionalFormatting>
  <conditionalFormatting sqref="B90:C90">
    <cfRule type="expression" dxfId="1267" priority="83">
      <formula>kvartal &lt; 4</formula>
    </cfRule>
  </conditionalFormatting>
  <conditionalFormatting sqref="B93:C93">
    <cfRule type="expression" dxfId="1266" priority="81">
      <formula>kvartal &lt; 4</formula>
    </cfRule>
  </conditionalFormatting>
  <conditionalFormatting sqref="B101:C101">
    <cfRule type="expression" dxfId="1265" priority="79">
      <formula>kvartal &lt; 4</formula>
    </cfRule>
  </conditionalFormatting>
  <conditionalFormatting sqref="B104:C104">
    <cfRule type="expression" dxfId="1264" priority="77">
      <formula>kvartal &lt; 4</formula>
    </cfRule>
  </conditionalFormatting>
  <conditionalFormatting sqref="F69:G74">
    <cfRule type="expression" dxfId="1263" priority="54">
      <formula>kvartal &lt; 4</formula>
    </cfRule>
  </conditionalFormatting>
  <conditionalFormatting sqref="F80:G85">
    <cfRule type="expression" dxfId="1262" priority="52">
      <formula>kvartal &lt; 4</formula>
    </cfRule>
  </conditionalFormatting>
  <conditionalFormatting sqref="F90:G95">
    <cfRule type="expression" dxfId="1261" priority="44">
      <formula>kvartal &lt; 4</formula>
    </cfRule>
  </conditionalFormatting>
  <conditionalFormatting sqref="F101:G106">
    <cfRule type="expression" dxfId="1260" priority="40">
      <formula>kvartal &lt; 4</formula>
    </cfRule>
  </conditionalFormatting>
  <conditionalFormatting sqref="F115:G115">
    <cfRule type="expression" dxfId="1259" priority="57">
      <formula>kvartal &lt; 4</formula>
    </cfRule>
  </conditionalFormatting>
  <conditionalFormatting sqref="F123:G123">
    <cfRule type="expression" dxfId="1258" priority="56">
      <formula>kvartal &lt; 4</formula>
    </cfRule>
  </conditionalFormatting>
  <conditionalFormatting sqref="J69:K71 J73:K73">
    <cfRule type="expression" dxfId="1257" priority="39">
      <formula>kvartal &lt; 4</formula>
    </cfRule>
  </conditionalFormatting>
  <conditionalFormatting sqref="J80:K82 J84:K84">
    <cfRule type="expression" dxfId="1256" priority="37">
      <formula>kvartal &lt; 4</formula>
    </cfRule>
  </conditionalFormatting>
  <conditionalFormatting sqref="J92:K92 J94:K94">
    <cfRule type="expression" dxfId="1255" priority="34">
      <formula>kvartal &lt; 4</formula>
    </cfRule>
  </conditionalFormatting>
  <conditionalFormatting sqref="J101:K103 J105:K105">
    <cfRule type="expression" dxfId="1254" priority="33">
      <formula>kvartal &lt; 4</formula>
    </cfRule>
  </conditionalFormatting>
  <conditionalFormatting sqref="J115:K115">
    <cfRule type="expression" dxfId="1253" priority="32">
      <formula>kvartal &lt; 4</formula>
    </cfRule>
  </conditionalFormatting>
  <conditionalFormatting sqref="J123:K123">
    <cfRule type="expression" dxfId="1252" priority="31">
      <formula>kvartal &lt; 4</formula>
    </cfRule>
  </conditionalFormatting>
  <pageMargins left="0.70866141732283472" right="0.70866141732283472" top="0.78740157480314965" bottom="0.78740157480314965" header="0.31496062992125984" footer="0.31496062992125984"/>
  <pageSetup paperSize="9" scale="55" orientation="portrait" r:id="rId1"/>
  <rowBreaks count="1" manualBreakCount="1">
    <brk id="59"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4"/>
  <dimension ref="A1:R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8" x14ac:dyDescent="0.25">
      <c r="A1" s="128" t="s">
        <v>220</v>
      </c>
      <c r="B1" s="735"/>
      <c r="C1" s="197" t="s">
        <v>225</v>
      </c>
      <c r="O1" s="733" t="e">
        <f>kvartal</f>
        <v>#REF!</v>
      </c>
    </row>
    <row r="2" spans="1:18" ht="15.6" x14ac:dyDescent="0.3">
      <c r="A2" s="110" t="s">
        <v>165</v>
      </c>
      <c r="B2" s="779"/>
      <c r="C2" s="779"/>
      <c r="D2" s="779"/>
      <c r="E2" s="245"/>
      <c r="F2" s="779"/>
      <c r="G2" s="779"/>
      <c r="H2" s="779"/>
      <c r="I2" s="245"/>
      <c r="J2" s="779"/>
      <c r="K2" s="779"/>
      <c r="L2" s="779"/>
      <c r="M2" s="245"/>
    </row>
    <row r="3" spans="1:18" ht="15.6" x14ac:dyDescent="0.3">
      <c r="A3" s="122"/>
      <c r="B3" s="245"/>
      <c r="C3" s="245"/>
      <c r="D3" s="245"/>
      <c r="E3" s="245"/>
      <c r="F3" s="245"/>
      <c r="G3" s="245"/>
      <c r="H3" s="245"/>
      <c r="I3" s="245"/>
      <c r="J3" s="245"/>
      <c r="K3" s="245"/>
      <c r="L3" s="245"/>
      <c r="M3" s="245"/>
    </row>
    <row r="4" spans="1:18" x14ac:dyDescent="0.25">
      <c r="A4" s="108"/>
      <c r="B4" s="775" t="s">
        <v>46</v>
      </c>
      <c r="C4" s="776"/>
      <c r="D4" s="776"/>
      <c r="E4" s="247"/>
      <c r="F4" s="775" t="s">
        <v>70</v>
      </c>
      <c r="G4" s="776"/>
      <c r="H4" s="776"/>
      <c r="I4" s="249"/>
      <c r="J4" s="775" t="s">
        <v>121</v>
      </c>
      <c r="K4" s="776"/>
      <c r="L4" s="776"/>
      <c r="M4" s="249"/>
    </row>
    <row r="5" spans="1:18"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8" x14ac:dyDescent="0.25">
      <c r="A6" s="736"/>
      <c r="B6" s="116"/>
      <c r="C6" s="116"/>
      <c r="D6" s="195" t="s">
        <v>167</v>
      </c>
      <c r="E6" s="116" t="s">
        <v>89</v>
      </c>
      <c r="F6" s="120"/>
      <c r="G6" s="120"/>
      <c r="H6" s="193" t="s">
        <v>167</v>
      </c>
      <c r="I6" s="116" t="s">
        <v>89</v>
      </c>
      <c r="J6" s="120"/>
      <c r="K6" s="120"/>
      <c r="L6" s="193" t="s">
        <v>167</v>
      </c>
      <c r="M6" s="116" t="s">
        <v>89</v>
      </c>
    </row>
    <row r="7" spans="1:18" ht="15.6" x14ac:dyDescent="0.25">
      <c r="A7" s="11" t="s">
        <v>168</v>
      </c>
      <c r="B7" s="251">
        <v>279442</v>
      </c>
      <c r="C7" s="252">
        <v>307945</v>
      </c>
      <c r="D7" s="288">
        <f>IF(B7=0, "    ---- ", IF(ABS(ROUND(100/B7*C7-100,1))&lt;999,ROUND(100/B7*C7-100,1),IF(ROUND(100/B7*C7-100,1)&gt;999,999,-999)))</f>
        <v>10.199999999999999</v>
      </c>
      <c r="E7" s="8">
        <f>IFERROR(100/'Skjema total MA'!C7*C7,0)</f>
        <v>5.2906636291642322</v>
      </c>
      <c r="F7" s="251"/>
      <c r="G7" s="252"/>
      <c r="H7" s="288"/>
      <c r="I7" s="119"/>
      <c r="J7" s="253">
        <f t="shared" ref="J7:K10" si="0">SUM(B7,F7)</f>
        <v>279442</v>
      </c>
      <c r="K7" s="254">
        <f t="shared" si="0"/>
        <v>307945</v>
      </c>
      <c r="L7" s="348">
        <f>IF(J7=0, "    ---- ", IF(ABS(ROUND(100/J7*K7-100,1))&lt;999,ROUND(100/J7*K7-100,1),IF(ROUND(100/J7*K7-100,1)&gt;999,999,-999)))</f>
        <v>10.199999999999999</v>
      </c>
      <c r="M7" s="8">
        <f>IFERROR(100/'Skjema total MA'!I7*K7,0)</f>
        <v>1.7270490572372699</v>
      </c>
    </row>
    <row r="8" spans="1:18" ht="15.6" x14ac:dyDescent="0.25">
      <c r="A8" s="18" t="s">
        <v>169</v>
      </c>
      <c r="B8" s="228">
        <v>247833</v>
      </c>
      <c r="C8" s="229">
        <v>274500</v>
      </c>
      <c r="D8" s="123">
        <f t="shared" ref="D8:D10" si="1">IF(B8=0, "    ---- ", IF(ABS(ROUND(100/B8*C8-100,1))&lt;999,ROUND(100/B8*C8-100,1),IF(ROUND(100/B8*C8-100,1)&gt;999,999,-999)))</f>
        <v>10.8</v>
      </c>
      <c r="E8" s="23">
        <f>IFERROR(100/'Skjema total MA'!C8*C8,0)</f>
        <v>6.9780572183782317</v>
      </c>
      <c r="F8" s="232"/>
      <c r="G8" s="233"/>
      <c r="H8" s="123"/>
      <c r="I8" s="132"/>
      <c r="J8" s="181">
        <f t="shared" si="0"/>
        <v>247833</v>
      </c>
      <c r="K8" s="234">
        <f t="shared" si="0"/>
        <v>274500</v>
      </c>
      <c r="L8" s="123">
        <f t="shared" ref="L8:L9" si="2">IF(J8=0, "    ---- ", IF(ABS(ROUND(100/J8*K8-100,1))&lt;999,ROUND(100/J8*K8-100,1),IF(ROUND(100/J8*K8-100,1)&gt;999,999,-999)))</f>
        <v>10.8</v>
      </c>
      <c r="M8" s="23">
        <f>IFERROR(100/'Skjema total MA'!I8*K8,0)</f>
        <v>6.9780572183782317</v>
      </c>
    </row>
    <row r="9" spans="1:18" ht="15.6" x14ac:dyDescent="0.25">
      <c r="A9" s="18" t="s">
        <v>170</v>
      </c>
      <c r="B9" s="228">
        <v>31609</v>
      </c>
      <c r="C9" s="229">
        <v>33445</v>
      </c>
      <c r="D9" s="123">
        <f t="shared" si="1"/>
        <v>5.8</v>
      </c>
      <c r="E9" s="23">
        <f>IFERROR(100/'Skjema total MA'!C9*C9,0)</f>
        <v>3.0927424355701461</v>
      </c>
      <c r="F9" s="232"/>
      <c r="G9" s="233"/>
      <c r="H9" s="123"/>
      <c r="I9" s="132"/>
      <c r="J9" s="181">
        <f t="shared" si="0"/>
        <v>31609</v>
      </c>
      <c r="K9" s="234">
        <f t="shared" si="0"/>
        <v>33445</v>
      </c>
      <c r="L9" s="123">
        <f t="shared" si="2"/>
        <v>5.8</v>
      </c>
      <c r="M9" s="23">
        <f>IFERROR(100/'Skjema total MA'!I9*K9,0)</f>
        <v>3.0927424355701461</v>
      </c>
    </row>
    <row r="10" spans="1:18" ht="15.6" x14ac:dyDescent="0.25">
      <c r="A10" s="10" t="s">
        <v>171</v>
      </c>
      <c r="B10" s="255">
        <v>81530</v>
      </c>
      <c r="C10" s="256">
        <v>81736</v>
      </c>
      <c r="D10" s="127">
        <f t="shared" si="1"/>
        <v>0.3</v>
      </c>
      <c r="E10" s="8">
        <f>IFERROR(100/'Skjema total MA'!C10*C10,0)</f>
        <v>0.52608075901040896</v>
      </c>
      <c r="F10" s="255"/>
      <c r="G10" s="256"/>
      <c r="H10" s="127"/>
      <c r="I10" s="119"/>
      <c r="J10" s="253">
        <f t="shared" si="0"/>
        <v>81530</v>
      </c>
      <c r="K10" s="254">
        <f t="shared" si="0"/>
        <v>81736</v>
      </c>
      <c r="L10" s="349">
        <f t="shared" ref="L10" si="3">IF(J10=0, "    ---- ", IF(ABS(ROUND(100/J10*K10-100,1))&lt;999,ROUND(100/J10*K10-100,1),IF(ROUND(100/J10*K10-100,1)&gt;999,999,-999)))</f>
        <v>0.3</v>
      </c>
      <c r="M10" s="8">
        <f>IFERROR(100/'Skjema total MA'!I10*K10,0)</f>
        <v>6.5667657876153043E-2</v>
      </c>
    </row>
    <row r="11" spans="1:18" s="35" customFormat="1" ht="15.6" x14ac:dyDescent="0.25">
      <c r="A11" s="10" t="s">
        <v>172</v>
      </c>
      <c r="B11" s="255"/>
      <c r="C11" s="256"/>
      <c r="D11" s="127"/>
      <c r="E11" s="8"/>
      <c r="F11" s="255"/>
      <c r="G11" s="256"/>
      <c r="H11" s="127"/>
      <c r="I11" s="119"/>
      <c r="J11" s="253"/>
      <c r="K11" s="254"/>
      <c r="L11" s="349"/>
      <c r="M11" s="8"/>
      <c r="N11" s="107"/>
      <c r="O11" s="22"/>
      <c r="R11" s="107"/>
    </row>
    <row r="12" spans="1:18" s="35" customFormat="1" ht="15.6" x14ac:dyDescent="0.25">
      <c r="A12" s="33" t="s">
        <v>173</v>
      </c>
      <c r="B12" s="257"/>
      <c r="C12" s="258"/>
      <c r="D12" s="125"/>
      <c r="E12" s="30"/>
      <c r="F12" s="257"/>
      <c r="G12" s="258"/>
      <c r="H12" s="125"/>
      <c r="I12" s="125"/>
      <c r="J12" s="259"/>
      <c r="K12" s="260"/>
      <c r="L12" s="350"/>
      <c r="M12" s="30"/>
      <c r="N12" s="107"/>
      <c r="O12" s="22"/>
    </row>
    <row r="13" spans="1:18" s="35" customFormat="1" x14ac:dyDescent="0.25">
      <c r="A13" s="107"/>
      <c r="B13" s="109"/>
      <c r="C13" s="27"/>
      <c r="D13" s="118"/>
      <c r="E13" s="118"/>
      <c r="F13" s="109"/>
      <c r="G13" s="27"/>
      <c r="H13" s="118"/>
      <c r="I13" s="118"/>
      <c r="J13" s="38"/>
      <c r="K13" s="38"/>
      <c r="L13" s="118"/>
      <c r="M13" s="118"/>
      <c r="N13" s="107"/>
      <c r="O13" s="107"/>
    </row>
    <row r="14" spans="1:18" x14ac:dyDescent="0.25">
      <c r="A14" s="114" t="s">
        <v>174</v>
      </c>
    </row>
    <row r="16" spans="1:18"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v>310058</v>
      </c>
      <c r="C22" s="255">
        <v>352317</v>
      </c>
      <c r="D22" s="288">
        <f t="shared" ref="D22:D30" si="4">IF(B22=0, "    ---- ", IF(ABS(ROUND(100/B22*C22-100,1))&lt;999,ROUND(100/B22*C22-100,1),IF(ROUND(100/B22*C22-100,1)&gt;999,999,-999)))</f>
        <v>13.6</v>
      </c>
      <c r="E22" s="8">
        <f>IFERROR(100/'Skjema total MA'!C22*C22,0)</f>
        <v>13.112808607668859</v>
      </c>
      <c r="F22" s="263"/>
      <c r="G22" s="263"/>
      <c r="H22" s="288"/>
      <c r="I22" s="8"/>
      <c r="J22" s="261">
        <f t="shared" ref="J22:K29" si="5">SUM(B22,F22)</f>
        <v>310058</v>
      </c>
      <c r="K22" s="261">
        <f t="shared" si="5"/>
        <v>352317</v>
      </c>
      <c r="L22" s="348">
        <f t="shared" ref="L22:L30" si="6">IF(J22=0, "    ---- ", IF(ABS(ROUND(100/J22*K22-100,1))&lt;999,ROUND(100/J22*K22-100,1),IF(ROUND(100/J22*K22-100,1)&gt;999,999,-999)))</f>
        <v>13.6</v>
      </c>
      <c r="M22" s="21">
        <f>IFERROR(100/'Skjema total MA'!I22*K22,0)</f>
        <v>9.1196067070158442</v>
      </c>
    </row>
    <row r="23" spans="1:13" ht="15.6" x14ac:dyDescent="0.25">
      <c r="A23" s="389" t="s">
        <v>177</v>
      </c>
      <c r="B23" s="228">
        <v>310058</v>
      </c>
      <c r="C23" s="228">
        <v>352317</v>
      </c>
      <c r="D23" s="123">
        <f t="shared" si="4"/>
        <v>13.6</v>
      </c>
      <c r="E23" s="8">
        <f>IFERROR(100/'Skjema total MA'!C23*C23,0)</f>
        <v>21.74382994505266</v>
      </c>
      <c r="F23" s="237"/>
      <c r="G23" s="237"/>
      <c r="H23" s="123"/>
      <c r="I23" s="341"/>
      <c r="J23" s="237">
        <f t="shared" ref="J23" si="7">SUM(B23,F23)</f>
        <v>310058</v>
      </c>
      <c r="K23" s="237">
        <f t="shared" ref="K23" si="8">SUM(C23,G23)</f>
        <v>352317</v>
      </c>
      <c r="L23" s="123">
        <f t="shared" si="6"/>
        <v>13.6</v>
      </c>
      <c r="M23" s="20">
        <f>IFERROR(100/'Skjema total MA'!I23*K23,0)</f>
        <v>21.153634072781067</v>
      </c>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v>310058</v>
      </c>
      <c r="C28" s="234">
        <v>352317</v>
      </c>
      <c r="D28" s="123">
        <f t="shared" si="4"/>
        <v>13.6</v>
      </c>
      <c r="E28" s="8">
        <f>IFERROR(100/'Skjema total MA'!C28*C28,0)</f>
        <v>10.403435816170877</v>
      </c>
      <c r="F28" s="181"/>
      <c r="G28" s="234"/>
      <c r="H28" s="123"/>
      <c r="I28" s="23"/>
      <c r="J28" s="36">
        <f t="shared" si="5"/>
        <v>310058</v>
      </c>
      <c r="K28" s="36">
        <f t="shared" si="5"/>
        <v>352317</v>
      </c>
      <c r="L28" s="206">
        <f t="shared" si="6"/>
        <v>13.6</v>
      </c>
      <c r="M28" s="20">
        <f>IFERROR(100/'Skjema total MA'!I28*K28,0)</f>
        <v>10.403435816170877</v>
      </c>
    </row>
    <row r="29" spans="1:13" ht="15.6" x14ac:dyDescent="0.25">
      <c r="A29" s="10" t="s">
        <v>171</v>
      </c>
      <c r="B29" s="183">
        <v>1707161</v>
      </c>
      <c r="C29" s="183">
        <v>2069902</v>
      </c>
      <c r="D29" s="127">
        <f t="shared" si="4"/>
        <v>21.2</v>
      </c>
      <c r="E29" s="8">
        <f>IFERROR(100/'Skjema total MA'!C29*C29,0)</f>
        <v>4.6926454070535621</v>
      </c>
      <c r="F29" s="253"/>
      <c r="G29" s="253"/>
      <c r="H29" s="127"/>
      <c r="I29" s="8"/>
      <c r="J29" s="183">
        <f t="shared" si="5"/>
        <v>1707161</v>
      </c>
      <c r="K29" s="183">
        <f t="shared" si="5"/>
        <v>2069902</v>
      </c>
      <c r="L29" s="349">
        <f t="shared" si="6"/>
        <v>21.2</v>
      </c>
      <c r="M29" s="21">
        <f>IFERROR(100/'Skjema total MA'!I29*K29,0)</f>
        <v>2.7221891096782467</v>
      </c>
    </row>
    <row r="30" spans="1:13" ht="15.6" x14ac:dyDescent="0.25">
      <c r="A30" s="389" t="s">
        <v>177</v>
      </c>
      <c r="B30" s="228">
        <v>1707161</v>
      </c>
      <c r="C30" s="228">
        <v>2069902</v>
      </c>
      <c r="D30" s="123">
        <f t="shared" si="4"/>
        <v>21.2</v>
      </c>
      <c r="E30" s="8">
        <f>IFERROR(100/'Skjema total MA'!C30*C30,0)</f>
        <v>10.798837948828435</v>
      </c>
      <c r="F30" s="237"/>
      <c r="G30" s="237"/>
      <c r="H30" s="123"/>
      <c r="I30" s="341"/>
      <c r="J30" s="237">
        <f t="shared" ref="J30" si="9">SUM(B30,F30)</f>
        <v>1707161</v>
      </c>
      <c r="K30" s="237">
        <f t="shared" ref="K30" si="10">SUM(C30,G30)</f>
        <v>2069902</v>
      </c>
      <c r="L30" s="123">
        <f t="shared" si="6"/>
        <v>21.2</v>
      </c>
      <c r="M30" s="20">
        <f>IFERROR(100/'Skjema total MA'!I30*K30,0)</f>
        <v>9.0370519858105478</v>
      </c>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41489</v>
      </c>
      <c r="C47" s="256">
        <v>53185</v>
      </c>
      <c r="D47" s="348">
        <f t="shared" ref="D47:D54" si="11">IF(B47=0, "    ---- ", IF(ABS(ROUND(100/B47*C47-100,1))&lt;999,ROUND(100/B47*C47-100,1),IF(ROUND(100/B47*C47-100,1)&gt;999,999,-999)))</f>
        <v>28.2</v>
      </c>
      <c r="E47" s="8">
        <f>IFERROR(100/'Skjema total MA'!C47*C47,0)</f>
        <v>0.7428404891692213</v>
      </c>
      <c r="F47" s="109"/>
      <c r="G47" s="27"/>
      <c r="H47" s="118"/>
      <c r="I47" s="118"/>
      <c r="J47" s="31"/>
      <c r="K47" s="31"/>
      <c r="L47" s="118"/>
      <c r="M47" s="118"/>
    </row>
    <row r="48" spans="1:13" ht="15.6" x14ac:dyDescent="0.25">
      <c r="A48" s="18" t="s">
        <v>189</v>
      </c>
      <c r="B48" s="228">
        <v>41489</v>
      </c>
      <c r="C48" s="229">
        <v>53185</v>
      </c>
      <c r="D48" s="206">
        <f t="shared" si="11"/>
        <v>28.2</v>
      </c>
      <c r="E48" s="23">
        <f>IFERROR(100/'Skjema total MA'!C48*C48,0)</f>
        <v>1.3021337804781166</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v>1063</v>
      </c>
      <c r="D53" s="349" t="str">
        <f t="shared" si="11"/>
        <v xml:space="preserve">    ---- </v>
      </c>
      <c r="E53" s="8">
        <f>IFERROR(100/'Skjema total MA'!C53*C53,0)</f>
        <v>0.3266112158823698</v>
      </c>
      <c r="F53" s="109"/>
      <c r="G53" s="27"/>
      <c r="H53" s="109"/>
      <c r="I53" s="109"/>
      <c r="J53" s="27"/>
      <c r="K53" s="27"/>
      <c r="L53" s="118"/>
      <c r="M53" s="118"/>
    </row>
    <row r="54" spans="1:13" ht="15.6" x14ac:dyDescent="0.25">
      <c r="A54" s="18" t="s">
        <v>189</v>
      </c>
      <c r="B54" s="228"/>
      <c r="C54" s="229">
        <v>1063</v>
      </c>
      <c r="D54" s="206" t="str">
        <f t="shared" si="11"/>
        <v xml:space="preserve">    ---- </v>
      </c>
      <c r="E54" s="23">
        <f>IFERROR(100/'Skjema total MA'!C54*C54,0)</f>
        <v>0.33376732002143911</v>
      </c>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1251" priority="10">
      <formula>kvartal &lt; 4</formula>
    </cfRule>
  </conditionalFormatting>
  <conditionalFormatting sqref="A80:A85">
    <cfRule type="expression" dxfId="1250" priority="9">
      <formula>kvartal &lt; 4</formula>
    </cfRule>
  </conditionalFormatting>
  <conditionalFormatting sqref="A90:A95">
    <cfRule type="expression" dxfId="1249" priority="6">
      <formula>kvartal &lt; 4</formula>
    </cfRule>
  </conditionalFormatting>
  <conditionalFormatting sqref="A101:A106">
    <cfRule type="expression" dxfId="1248" priority="5">
      <formula>kvartal &lt; 4</formula>
    </cfRule>
  </conditionalFormatting>
  <conditionalFormatting sqref="A50:C52">
    <cfRule type="expression" dxfId="1247" priority="12">
      <formula>kvartal &lt; 4</formula>
    </cfRule>
  </conditionalFormatting>
  <conditionalFormatting sqref="A115:C115">
    <cfRule type="expression" dxfId="1246" priority="4">
      <formula>kvartal &lt; 4</formula>
    </cfRule>
  </conditionalFormatting>
  <conditionalFormatting sqref="A123:C123">
    <cfRule type="expression" dxfId="1245" priority="3">
      <formula>kvartal &lt; 4</formula>
    </cfRule>
  </conditionalFormatting>
  <conditionalFormatting sqref="B69:C69">
    <cfRule type="expression" dxfId="1244" priority="99">
      <formula>kvartal &lt; 4</formula>
    </cfRule>
  </conditionalFormatting>
  <conditionalFormatting sqref="B72:C72">
    <cfRule type="expression" dxfId="1243" priority="97">
      <formula>kvartal &lt; 4</formula>
    </cfRule>
  </conditionalFormatting>
  <conditionalFormatting sqref="B80:C80">
    <cfRule type="expression" dxfId="1242" priority="95">
      <formula>kvartal &lt; 4</formula>
    </cfRule>
  </conditionalFormatting>
  <conditionalFormatting sqref="B83:C83">
    <cfRule type="expression" dxfId="1241" priority="93">
      <formula>kvartal &lt; 4</formula>
    </cfRule>
  </conditionalFormatting>
  <conditionalFormatting sqref="B90:C90">
    <cfRule type="expression" dxfId="1240" priority="83">
      <formula>kvartal &lt; 4</formula>
    </cfRule>
  </conditionalFormatting>
  <conditionalFormatting sqref="B93:C93">
    <cfRule type="expression" dxfId="1239" priority="81">
      <formula>kvartal &lt; 4</formula>
    </cfRule>
  </conditionalFormatting>
  <conditionalFormatting sqref="B101:C101">
    <cfRule type="expression" dxfId="1238" priority="79">
      <formula>kvartal &lt; 4</formula>
    </cfRule>
  </conditionalFormatting>
  <conditionalFormatting sqref="B104:C104">
    <cfRule type="expression" dxfId="1237" priority="77">
      <formula>kvartal &lt; 4</formula>
    </cfRule>
  </conditionalFormatting>
  <conditionalFormatting sqref="F69:G74">
    <cfRule type="expression" dxfId="1236" priority="54">
      <formula>kvartal &lt; 4</formula>
    </cfRule>
  </conditionalFormatting>
  <conditionalFormatting sqref="F80:G85">
    <cfRule type="expression" dxfId="1235" priority="52">
      <formula>kvartal &lt; 4</formula>
    </cfRule>
  </conditionalFormatting>
  <conditionalFormatting sqref="F90:G95">
    <cfRule type="expression" dxfId="1234" priority="44">
      <formula>kvartal &lt; 4</formula>
    </cfRule>
  </conditionalFormatting>
  <conditionalFormatting sqref="F101:G106">
    <cfRule type="expression" dxfId="1233" priority="40">
      <formula>kvartal &lt; 4</formula>
    </cfRule>
  </conditionalFormatting>
  <conditionalFormatting sqref="F115:G115">
    <cfRule type="expression" dxfId="1232" priority="57">
      <formula>kvartal &lt; 4</formula>
    </cfRule>
  </conditionalFormatting>
  <conditionalFormatting sqref="F123:G123">
    <cfRule type="expression" dxfId="1231" priority="56">
      <formula>kvartal &lt; 4</formula>
    </cfRule>
  </conditionalFormatting>
  <conditionalFormatting sqref="J69:K71 J73:K73">
    <cfRule type="expression" dxfId="1230" priority="39">
      <formula>kvartal &lt; 4</formula>
    </cfRule>
  </conditionalFormatting>
  <conditionalFormatting sqref="J80:K82 J84:K84">
    <cfRule type="expression" dxfId="1229" priority="37">
      <formula>kvartal &lt; 4</formula>
    </cfRule>
  </conditionalFormatting>
  <conditionalFormatting sqref="J92:K92 J94:K94">
    <cfRule type="expression" dxfId="1228" priority="34">
      <formula>kvartal &lt; 4</formula>
    </cfRule>
  </conditionalFormatting>
  <conditionalFormatting sqref="J101:K103 J105:K105">
    <cfRule type="expression" dxfId="1227" priority="33">
      <formula>kvartal &lt; 4</formula>
    </cfRule>
  </conditionalFormatting>
  <conditionalFormatting sqref="J115:K115">
    <cfRule type="expression" dxfId="1226" priority="32">
      <formula>kvartal &lt; 4</formula>
    </cfRule>
  </conditionalFormatting>
  <conditionalFormatting sqref="J123:K123">
    <cfRule type="expression" dxfId="1225" priority="31">
      <formula>kvartal &lt; 4</formula>
    </cfRule>
  </conditionalFormatting>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226</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c r="G7" s="252"/>
      <c r="H7" s="288"/>
      <c r="I7" s="119"/>
      <c r="J7" s="253"/>
      <c r="K7" s="254"/>
      <c r="L7" s="348"/>
      <c r="M7" s="8"/>
    </row>
    <row r="8" spans="1:15" ht="15.6" x14ac:dyDescent="0.25">
      <c r="A8" s="18" t="s">
        <v>169</v>
      </c>
      <c r="B8" s="228"/>
      <c r="C8" s="229"/>
      <c r="D8" s="123"/>
      <c r="E8" s="23"/>
      <c r="F8" s="232"/>
      <c r="G8" s="233"/>
      <c r="H8" s="123"/>
      <c r="I8" s="132"/>
      <c r="J8" s="181"/>
      <c r="K8" s="234"/>
      <c r="L8" s="123"/>
      <c r="M8" s="23"/>
    </row>
    <row r="9" spans="1:15" ht="15.6" x14ac:dyDescent="0.25">
      <c r="A9" s="18" t="s">
        <v>170</v>
      </c>
      <c r="B9" s="228"/>
      <c r="C9" s="229"/>
      <c r="D9" s="123"/>
      <c r="E9" s="23"/>
      <c r="F9" s="232"/>
      <c r="G9" s="233"/>
      <c r="H9" s="123"/>
      <c r="I9" s="132"/>
      <c r="J9" s="181"/>
      <c r="K9" s="234"/>
      <c r="L9" s="123"/>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2550.2539999999999</v>
      </c>
      <c r="C47" s="256">
        <v>294.02600000000001</v>
      </c>
      <c r="D47" s="348">
        <f t="shared" ref="D47:D57" si="0">IF(B47=0, "    ---- ", IF(ABS(ROUND(100/B47*C47-100,1))&lt;999,ROUND(100/B47*C47-100,1),IF(ROUND(100/B47*C47-100,1)&gt;999,999,-999)))</f>
        <v>-88.5</v>
      </c>
      <c r="E47" s="8">
        <f>IFERROR(100/'Skjema total MA'!C47*C47,0)</f>
        <v>4.1066920685995951E-3</v>
      </c>
      <c r="F47" s="109"/>
      <c r="G47" s="27"/>
      <c r="H47" s="118"/>
      <c r="I47" s="118"/>
      <c r="J47" s="31"/>
      <c r="K47" s="31"/>
      <c r="L47" s="118"/>
      <c r="M47" s="118"/>
    </row>
    <row r="48" spans="1:13" ht="15.6" x14ac:dyDescent="0.25">
      <c r="A48" s="18" t="s">
        <v>189</v>
      </c>
      <c r="B48" s="228">
        <v>2550.2539999999999</v>
      </c>
      <c r="C48" s="229">
        <v>294.02600000000001</v>
      </c>
      <c r="D48" s="206">
        <f t="shared" si="0"/>
        <v>-88.5</v>
      </c>
      <c r="E48" s="23">
        <f>IFERROR(100/'Skjema total MA'!C48*C48,0)</f>
        <v>7.1986685520138895E-3</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v>7953.7790000000005</v>
      </c>
      <c r="C56" s="256">
        <v>1063.0060000000001</v>
      </c>
      <c r="D56" s="349">
        <f t="shared" si="0"/>
        <v>-86.6</v>
      </c>
      <c r="E56" s="8">
        <f>IFERROR(100/'Skjema total MA'!C56*C56,0)</f>
        <v>0.38810971587246856</v>
      </c>
      <c r="F56" s="109"/>
      <c r="G56" s="27"/>
      <c r="H56" s="109"/>
      <c r="I56" s="109"/>
      <c r="J56" s="27"/>
      <c r="K56" s="27"/>
      <c r="L56" s="118"/>
      <c r="M56" s="118"/>
    </row>
    <row r="57" spans="1:13" ht="15.6" x14ac:dyDescent="0.25">
      <c r="A57" s="18" t="s">
        <v>189</v>
      </c>
      <c r="B57" s="228">
        <v>7953.7790000000005</v>
      </c>
      <c r="C57" s="229">
        <v>1063.0060000000001</v>
      </c>
      <c r="D57" s="206">
        <f t="shared" si="0"/>
        <v>-86.6</v>
      </c>
      <c r="E57" s="23">
        <f>IFERROR(100/'Skjema total MA'!C57*C57,0)</f>
        <v>0.49207051359359344</v>
      </c>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1224" priority="10">
      <formula>kvartal &lt; 4</formula>
    </cfRule>
  </conditionalFormatting>
  <conditionalFormatting sqref="A80:A85">
    <cfRule type="expression" dxfId="1223" priority="9">
      <formula>kvartal &lt; 4</formula>
    </cfRule>
  </conditionalFormatting>
  <conditionalFormatting sqref="A90:A95">
    <cfRule type="expression" dxfId="1222" priority="6">
      <formula>kvartal &lt; 4</formula>
    </cfRule>
  </conditionalFormatting>
  <conditionalFormatting sqref="A101:A106">
    <cfRule type="expression" dxfId="1221" priority="5">
      <formula>kvartal &lt; 4</formula>
    </cfRule>
  </conditionalFormatting>
  <conditionalFormatting sqref="A50:C52">
    <cfRule type="expression" dxfId="1220" priority="12">
      <formula>kvartal &lt; 4</formula>
    </cfRule>
  </conditionalFormatting>
  <conditionalFormatting sqref="A115:C115">
    <cfRule type="expression" dxfId="1219" priority="4">
      <formula>kvartal &lt; 4</formula>
    </cfRule>
  </conditionalFormatting>
  <conditionalFormatting sqref="A123:C123">
    <cfRule type="expression" dxfId="1218" priority="3">
      <formula>kvartal &lt; 4</formula>
    </cfRule>
  </conditionalFormatting>
  <conditionalFormatting sqref="B69:C69">
    <cfRule type="expression" dxfId="1217" priority="99">
      <formula>kvartal &lt; 4</formula>
    </cfRule>
  </conditionalFormatting>
  <conditionalFormatting sqref="B72:C72">
    <cfRule type="expression" dxfId="1216" priority="97">
      <formula>kvartal &lt; 4</formula>
    </cfRule>
  </conditionalFormatting>
  <conditionalFormatting sqref="B80:C80">
    <cfRule type="expression" dxfId="1215" priority="95">
      <formula>kvartal &lt; 4</formula>
    </cfRule>
  </conditionalFormatting>
  <conditionalFormatting sqref="B83:C83">
    <cfRule type="expression" dxfId="1214" priority="93">
      <formula>kvartal &lt; 4</formula>
    </cfRule>
  </conditionalFormatting>
  <conditionalFormatting sqref="B90:C90">
    <cfRule type="expression" dxfId="1213" priority="83">
      <formula>kvartal &lt; 4</formula>
    </cfRule>
  </conditionalFormatting>
  <conditionalFormatting sqref="B93:C93">
    <cfRule type="expression" dxfId="1212" priority="81">
      <formula>kvartal &lt; 4</formula>
    </cfRule>
  </conditionalFormatting>
  <conditionalFormatting sqref="B101:C101">
    <cfRule type="expression" dxfId="1211" priority="79">
      <formula>kvartal &lt; 4</formula>
    </cfRule>
  </conditionalFormatting>
  <conditionalFormatting sqref="B104:C104">
    <cfRule type="expression" dxfId="1210" priority="77">
      <formula>kvartal &lt; 4</formula>
    </cfRule>
  </conditionalFormatting>
  <conditionalFormatting sqref="F69:G74">
    <cfRule type="expression" dxfId="1209" priority="54">
      <formula>kvartal &lt; 4</formula>
    </cfRule>
  </conditionalFormatting>
  <conditionalFormatting sqref="F80:G85">
    <cfRule type="expression" dxfId="1208" priority="52">
      <formula>kvartal &lt; 4</formula>
    </cfRule>
  </conditionalFormatting>
  <conditionalFormatting sqref="F90:G95">
    <cfRule type="expression" dxfId="1207" priority="44">
      <formula>kvartal &lt; 4</formula>
    </cfRule>
  </conditionalFormatting>
  <conditionalFormatting sqref="F101:G106">
    <cfRule type="expression" dxfId="1206" priority="40">
      <formula>kvartal &lt; 4</formula>
    </cfRule>
  </conditionalFormatting>
  <conditionalFormatting sqref="F115:G115">
    <cfRule type="expression" dxfId="1205" priority="57">
      <formula>kvartal &lt; 4</formula>
    </cfRule>
  </conditionalFormatting>
  <conditionalFormatting sqref="F123:G123">
    <cfRule type="expression" dxfId="1204" priority="56">
      <formula>kvartal &lt; 4</formula>
    </cfRule>
  </conditionalFormatting>
  <conditionalFormatting sqref="J69:K71 J73:K73">
    <cfRule type="expression" dxfId="1203" priority="39">
      <formula>kvartal &lt; 4</formula>
    </cfRule>
  </conditionalFormatting>
  <conditionalFormatting sqref="J80:K82 J84:K84">
    <cfRule type="expression" dxfId="1202" priority="37">
      <formula>kvartal &lt; 4</formula>
    </cfRule>
  </conditionalFormatting>
  <conditionalFormatting sqref="J92:K92 J94:K94">
    <cfRule type="expression" dxfId="1201" priority="34">
      <formula>kvartal &lt; 4</formula>
    </cfRule>
  </conditionalFormatting>
  <conditionalFormatting sqref="J101:K103 J105:K105">
    <cfRule type="expression" dxfId="1200" priority="33">
      <formula>kvartal &lt; 4</formula>
    </cfRule>
  </conditionalFormatting>
  <conditionalFormatting sqref="J115:K115">
    <cfRule type="expression" dxfId="1199" priority="32">
      <formula>kvartal &lt; 4</formula>
    </cfRule>
  </conditionalFormatting>
  <conditionalFormatting sqref="J123:K123">
    <cfRule type="expression" dxfId="1198" priority="31">
      <formula>kvartal &lt; 4</formula>
    </cfRule>
  </conditionalFormatting>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O144"/>
  <sheetViews>
    <sheetView showGridLines="0" zoomScaleNormal="100" zoomScaleSheetLayoutView="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100</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914697.04299999995</v>
      </c>
      <c r="C7" s="252">
        <v>878678.92200000002</v>
      </c>
      <c r="D7" s="288">
        <f>IF(B7=0, "    ---- ", IF(ABS(ROUND(100/B7*C7-100,1))&lt;999,ROUND(100/B7*C7-100,1),IF(ROUND(100/B7*C7-100,1)&gt;999,999,-999)))</f>
        <v>-3.9</v>
      </c>
      <c r="E7" s="8">
        <f>IFERROR(100/'Skjema total MA'!C7*C7,0)</f>
        <v>15.096184754870627</v>
      </c>
      <c r="F7" s="251"/>
      <c r="G7" s="252"/>
      <c r="H7" s="288"/>
      <c r="I7" s="119"/>
      <c r="J7" s="253">
        <f t="shared" ref="J7:K10" si="0">SUM(B7,F7)</f>
        <v>914697.04299999995</v>
      </c>
      <c r="K7" s="254">
        <f t="shared" si="0"/>
        <v>878678.92200000002</v>
      </c>
      <c r="L7" s="348">
        <f>IF(J7=0, "    ---- ", IF(ABS(ROUND(100/J7*K7-100,1))&lt;999,ROUND(100/J7*K7-100,1),IF(ROUND(100/J7*K7-100,1)&gt;999,999,-999)))</f>
        <v>-3.9</v>
      </c>
      <c r="M7" s="8">
        <f>IFERROR(100/'Skjema total MA'!I7*K7,0)</f>
        <v>4.9278981761495091</v>
      </c>
    </row>
    <row r="8" spans="1:15" ht="15.6" x14ac:dyDescent="0.25">
      <c r="A8" s="18" t="s">
        <v>169</v>
      </c>
      <c r="B8" s="228">
        <v>583470.79399999999</v>
      </c>
      <c r="C8" s="229">
        <v>608394.10199999996</v>
      </c>
      <c r="D8" s="123">
        <f t="shared" ref="D8:D10" si="1">IF(B8=0, "    ---- ", IF(ABS(ROUND(100/B8*C8-100,1))&lt;999,ROUND(100/B8*C8-100,1),IF(ROUND(100/B8*C8-100,1)&gt;999,999,-999)))</f>
        <v>4.3</v>
      </c>
      <c r="E8" s="23">
        <f>IFERROR(100/'Skjema total MA'!C8*C8,0)</f>
        <v>15.465970328159715</v>
      </c>
      <c r="F8" s="232"/>
      <c r="G8" s="233"/>
      <c r="H8" s="123"/>
      <c r="I8" s="132"/>
      <c r="J8" s="181">
        <f t="shared" si="0"/>
        <v>583470.79399999999</v>
      </c>
      <c r="K8" s="234">
        <f t="shared" si="0"/>
        <v>608394.10199999996</v>
      </c>
      <c r="L8" s="123">
        <f t="shared" ref="L8:L9" si="2">IF(J8=0, "    ---- ", IF(ABS(ROUND(100/J8*K8-100,1))&lt;999,ROUND(100/J8*K8-100,1),IF(ROUND(100/J8*K8-100,1)&gt;999,999,-999)))</f>
        <v>4.3</v>
      </c>
      <c r="M8" s="23">
        <f>IFERROR(100/'Skjema total MA'!I8*K8,0)</f>
        <v>15.465970328159715</v>
      </c>
    </row>
    <row r="9" spans="1:15" ht="15.6" x14ac:dyDescent="0.25">
      <c r="A9" s="18" t="s">
        <v>170</v>
      </c>
      <c r="B9" s="228">
        <v>331226.24900000001</v>
      </c>
      <c r="C9" s="229">
        <v>270284.82</v>
      </c>
      <c r="D9" s="123">
        <f t="shared" si="1"/>
        <v>-18.399999999999999</v>
      </c>
      <c r="E9" s="23">
        <f>IFERROR(100/'Skjema total MA'!C9*C9,0)</f>
        <v>24.993910375375648</v>
      </c>
      <c r="F9" s="232"/>
      <c r="G9" s="233"/>
      <c r="H9" s="123"/>
      <c r="I9" s="132"/>
      <c r="J9" s="181">
        <f t="shared" si="0"/>
        <v>331226.24900000001</v>
      </c>
      <c r="K9" s="234">
        <f t="shared" si="0"/>
        <v>270284.82</v>
      </c>
      <c r="L9" s="123">
        <f t="shared" si="2"/>
        <v>-18.399999999999999</v>
      </c>
      <c r="M9" s="23">
        <f>IFERROR(100/'Skjema total MA'!I9*K9,0)</f>
        <v>24.993910375375648</v>
      </c>
    </row>
    <row r="10" spans="1:15" ht="15.6" x14ac:dyDescent="0.25">
      <c r="A10" s="10" t="s">
        <v>171</v>
      </c>
      <c r="B10" s="255">
        <v>1203252.1255999999</v>
      </c>
      <c r="C10" s="256">
        <v>1189119.4577899899</v>
      </c>
      <c r="D10" s="127">
        <f t="shared" si="1"/>
        <v>-1.2</v>
      </c>
      <c r="E10" s="8">
        <f>IFERROR(100/'Skjema total MA'!C10*C10,0)</f>
        <v>7.6535781896374164</v>
      </c>
      <c r="F10" s="255"/>
      <c r="G10" s="256"/>
      <c r="H10" s="127"/>
      <c r="I10" s="119"/>
      <c r="J10" s="253">
        <f t="shared" si="0"/>
        <v>1203252.1255999999</v>
      </c>
      <c r="K10" s="254">
        <f t="shared" si="0"/>
        <v>1189119.4577899899</v>
      </c>
      <c r="L10" s="349">
        <f t="shared" ref="L10" si="3">IF(J10=0, "    ---- ", IF(ABS(ROUND(100/J10*K10-100,1))&lt;999,ROUND(100/J10*K10-100,1),IF(ROUND(100/J10*K10-100,1)&gt;999,999,-999)))</f>
        <v>-1.2</v>
      </c>
      <c r="M10" s="8">
        <f>IFERROR(100/'Skjema total MA'!I10*K10,0)</f>
        <v>0.95535247293762426</v>
      </c>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1392693.4258399999</v>
      </c>
      <c r="C47" s="256">
        <v>1481914.9543300001</v>
      </c>
      <c r="D47" s="348">
        <f t="shared" ref="D47:D57" si="4">IF(B47=0, "    ---- ", IF(ABS(ROUND(100/B47*C47-100,1))&lt;999,ROUND(100/B47*C47-100,1),IF(ROUND(100/B47*C47-100,1)&gt;999,999,-999)))</f>
        <v>6.4</v>
      </c>
      <c r="E47" s="8">
        <f>IFERROR(100/'Skjema total MA'!C47*C47,0)</f>
        <v>20.698062039704457</v>
      </c>
      <c r="F47" s="109"/>
      <c r="G47" s="27"/>
      <c r="H47" s="118"/>
      <c r="I47" s="118"/>
      <c r="J47" s="31"/>
      <c r="K47" s="31"/>
      <c r="L47" s="118"/>
      <c r="M47" s="118"/>
    </row>
    <row r="48" spans="1:13" ht="15.6" x14ac:dyDescent="0.25">
      <c r="A48" s="18" t="s">
        <v>189</v>
      </c>
      <c r="B48" s="228">
        <v>968480.15183999995</v>
      </c>
      <c r="C48" s="229">
        <v>991818.38032999996</v>
      </c>
      <c r="D48" s="206">
        <f t="shared" si="4"/>
        <v>2.4</v>
      </c>
      <c r="E48" s="23">
        <f>IFERROR(100/'Skjema total MA'!C48*C48,0)</f>
        <v>24.282790582434622</v>
      </c>
      <c r="F48" s="109"/>
      <c r="G48" s="27"/>
      <c r="H48" s="109"/>
      <c r="I48" s="109"/>
      <c r="J48" s="27"/>
      <c r="K48" s="27"/>
      <c r="L48" s="118"/>
      <c r="M48" s="118"/>
    </row>
    <row r="49" spans="1:13" ht="15.6" x14ac:dyDescent="0.25">
      <c r="A49" s="18" t="s">
        <v>190</v>
      </c>
      <c r="B49" s="36">
        <v>424213.27399999998</v>
      </c>
      <c r="C49" s="234">
        <v>490096.57400000002</v>
      </c>
      <c r="D49" s="206">
        <f>IF(B49=0, "    ---- ", IF(ABS(ROUND(100/B49*C49-100,1))&lt;999,ROUND(100/B49*C49-100,1),IF(ROUND(100/B49*C49-100,1)&gt;999,999,-999)))</f>
        <v>15.5</v>
      </c>
      <c r="E49" s="23">
        <f>IFERROR(100/'Skjema total MA'!C49*C49,0)</f>
        <v>15.936908016224766</v>
      </c>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v>416115.70699999999</v>
      </c>
      <c r="C51" s="238">
        <v>483082.00300000003</v>
      </c>
      <c r="D51" s="206">
        <f t="shared" ref="D51:D52" si="5">IF(B51=0, "    ---- ", IF(ABS(ROUND(100/B51*C51-100,1))&lt;999,ROUND(100/B51*C51-100,1),IF(ROUND(100/B51*C51-100,1)&gt;999,999,-999)))</f>
        <v>16.100000000000001</v>
      </c>
      <c r="E51" s="23">
        <f>IFERROR(100/'Skjema total MA'!C51*C51,0)</f>
        <v>16.336206733326854</v>
      </c>
      <c r="F51" s="109"/>
      <c r="G51" s="27"/>
      <c r="H51" s="109"/>
      <c r="I51" s="109"/>
      <c r="J51" s="27"/>
      <c r="K51" s="27"/>
      <c r="L51" s="118"/>
      <c r="M51" s="118"/>
    </row>
    <row r="52" spans="1:13" x14ac:dyDescent="0.25">
      <c r="A52" s="243" t="s">
        <v>193</v>
      </c>
      <c r="B52" s="237">
        <v>8097.567</v>
      </c>
      <c r="C52" s="238">
        <v>7014.5709999999999</v>
      </c>
      <c r="D52" s="206">
        <f t="shared" si="5"/>
        <v>-13.4</v>
      </c>
      <c r="E52" s="23">
        <f>IFERROR(100/'Skjema total MA'!C52*C52,0)</f>
        <v>5.9341400932421147</v>
      </c>
      <c r="F52" s="109"/>
      <c r="G52" s="27"/>
      <c r="H52" s="109"/>
      <c r="I52" s="109"/>
      <c r="J52" s="27"/>
      <c r="K52" s="27"/>
      <c r="L52" s="118"/>
      <c r="M52" s="118"/>
    </row>
    <row r="53" spans="1:13" ht="15.6" x14ac:dyDescent="0.25">
      <c r="A53" s="10" t="s">
        <v>194</v>
      </c>
      <c r="B53" s="255">
        <v>27260.432000000001</v>
      </c>
      <c r="C53" s="256">
        <v>34443.01</v>
      </c>
      <c r="D53" s="349">
        <f t="shared" si="4"/>
        <v>26.3</v>
      </c>
      <c r="E53" s="8">
        <f>IFERROR(100/'Skjema total MA'!C53*C53,0)</f>
        <v>10.582759524692966</v>
      </c>
      <c r="F53" s="109"/>
      <c r="G53" s="27"/>
      <c r="H53" s="109"/>
      <c r="I53" s="109"/>
      <c r="J53" s="27"/>
      <c r="K53" s="27"/>
      <c r="L53" s="118"/>
      <c r="M53" s="118"/>
    </row>
    <row r="54" spans="1:13" ht="15.6" x14ac:dyDescent="0.25">
      <c r="A54" s="18" t="s">
        <v>189</v>
      </c>
      <c r="B54" s="228">
        <v>27260.432000000001</v>
      </c>
      <c r="C54" s="229">
        <v>34443.01</v>
      </c>
      <c r="D54" s="206">
        <f t="shared" si="4"/>
        <v>26.3</v>
      </c>
      <c r="E54" s="23">
        <f>IFERROR(100/'Skjema total MA'!C54*C54,0)</f>
        <v>10.814629483698615</v>
      </c>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v>121048.833</v>
      </c>
      <c r="C56" s="256">
        <v>108504.71799999999</v>
      </c>
      <c r="D56" s="349">
        <f t="shared" si="4"/>
        <v>-10.4</v>
      </c>
      <c r="E56" s="8">
        <f>IFERROR(100/'Skjema total MA'!C56*C56,0)</f>
        <v>39.615707977003254</v>
      </c>
      <c r="F56" s="109"/>
      <c r="G56" s="27"/>
      <c r="H56" s="109"/>
      <c r="I56" s="109"/>
      <c r="J56" s="27"/>
      <c r="K56" s="27"/>
      <c r="L56" s="118"/>
      <c r="M56" s="118"/>
    </row>
    <row r="57" spans="1:13" ht="15.6" x14ac:dyDescent="0.25">
      <c r="A57" s="18" t="s">
        <v>189</v>
      </c>
      <c r="B57" s="228">
        <v>121048.833</v>
      </c>
      <c r="C57" s="229">
        <v>108504.71799999999</v>
      </c>
      <c r="D57" s="206">
        <f t="shared" si="4"/>
        <v>-10.4</v>
      </c>
      <c r="E57" s="23">
        <f>IFERROR(100/'Skjema total MA'!C57*C57,0)</f>
        <v>50.22734802398859</v>
      </c>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1197" priority="10">
      <formula>kvartal &lt; 4</formula>
    </cfRule>
  </conditionalFormatting>
  <conditionalFormatting sqref="A80:A85">
    <cfRule type="expression" dxfId="1196" priority="9">
      <formula>kvartal &lt; 4</formula>
    </cfRule>
  </conditionalFormatting>
  <conditionalFormatting sqref="A90:A95">
    <cfRule type="expression" dxfId="1195" priority="6">
      <formula>kvartal &lt; 4</formula>
    </cfRule>
  </conditionalFormatting>
  <conditionalFormatting sqref="A101:A106">
    <cfRule type="expression" dxfId="1194" priority="5">
      <formula>kvartal &lt; 4</formula>
    </cfRule>
  </conditionalFormatting>
  <conditionalFormatting sqref="A50:C52">
    <cfRule type="expression" dxfId="1193" priority="12">
      <formula>kvartal &lt; 4</formula>
    </cfRule>
  </conditionalFormatting>
  <conditionalFormatting sqref="A115:C115">
    <cfRule type="expression" dxfId="1192" priority="4">
      <formula>kvartal &lt; 4</formula>
    </cfRule>
  </conditionalFormatting>
  <conditionalFormatting sqref="A123:C123">
    <cfRule type="expression" dxfId="1191" priority="3">
      <formula>kvartal &lt; 4</formula>
    </cfRule>
  </conditionalFormatting>
  <conditionalFormatting sqref="B69:C69">
    <cfRule type="expression" dxfId="1190" priority="99">
      <formula>kvartal &lt; 4</formula>
    </cfRule>
  </conditionalFormatting>
  <conditionalFormatting sqref="B72:C72">
    <cfRule type="expression" dxfId="1189" priority="97">
      <formula>kvartal &lt; 4</formula>
    </cfRule>
  </conditionalFormatting>
  <conditionalFormatting sqref="B80:C80">
    <cfRule type="expression" dxfId="1188" priority="95">
      <formula>kvartal &lt; 4</formula>
    </cfRule>
  </conditionalFormatting>
  <conditionalFormatting sqref="B83:C83">
    <cfRule type="expression" dxfId="1187" priority="93">
      <formula>kvartal &lt; 4</formula>
    </cfRule>
  </conditionalFormatting>
  <conditionalFormatting sqref="B90:C90">
    <cfRule type="expression" dxfId="1186" priority="83">
      <formula>kvartal &lt; 4</formula>
    </cfRule>
  </conditionalFormatting>
  <conditionalFormatting sqref="B93:C93">
    <cfRule type="expression" dxfId="1185" priority="81">
      <formula>kvartal &lt; 4</formula>
    </cfRule>
  </conditionalFormatting>
  <conditionalFormatting sqref="B101:C101">
    <cfRule type="expression" dxfId="1184" priority="79">
      <formula>kvartal &lt; 4</formula>
    </cfRule>
  </conditionalFormatting>
  <conditionalFormatting sqref="B104:C104">
    <cfRule type="expression" dxfId="1183" priority="77">
      <formula>kvartal &lt; 4</formula>
    </cfRule>
  </conditionalFormatting>
  <conditionalFormatting sqref="F69:G74">
    <cfRule type="expression" dxfId="1182" priority="54">
      <formula>kvartal &lt; 4</formula>
    </cfRule>
  </conditionalFormatting>
  <conditionalFormatting sqref="F80:G85">
    <cfRule type="expression" dxfId="1181" priority="52">
      <formula>kvartal &lt; 4</formula>
    </cfRule>
  </conditionalFormatting>
  <conditionalFormatting sqref="F90:G95">
    <cfRule type="expression" dxfId="1180" priority="44">
      <formula>kvartal &lt; 4</formula>
    </cfRule>
  </conditionalFormatting>
  <conditionalFormatting sqref="F101:G106">
    <cfRule type="expression" dxfId="1179" priority="40">
      <formula>kvartal &lt; 4</formula>
    </cfRule>
  </conditionalFormatting>
  <conditionalFormatting sqref="F115:G115">
    <cfRule type="expression" dxfId="1178" priority="57">
      <formula>kvartal &lt; 4</formula>
    </cfRule>
  </conditionalFormatting>
  <conditionalFormatting sqref="F123:G123">
    <cfRule type="expression" dxfId="1177" priority="56">
      <formula>kvartal &lt; 4</formula>
    </cfRule>
  </conditionalFormatting>
  <conditionalFormatting sqref="J69:K71 J73:K73">
    <cfRule type="expression" dxfId="1176" priority="39">
      <formula>kvartal &lt; 4</formula>
    </cfRule>
  </conditionalFormatting>
  <conditionalFormatting sqref="J80:K82 J84:K84">
    <cfRule type="expression" dxfId="1175" priority="37">
      <formula>kvartal &lt; 4</formula>
    </cfRule>
  </conditionalFormatting>
  <conditionalFormatting sqref="J92:K92 J94:K94">
    <cfRule type="expression" dxfId="1174" priority="34">
      <formula>kvartal &lt; 4</formula>
    </cfRule>
  </conditionalFormatting>
  <conditionalFormatting sqref="J101:K103 J105:K105">
    <cfRule type="expression" dxfId="1173" priority="33">
      <formula>kvartal &lt; 4</formula>
    </cfRule>
  </conditionalFormatting>
  <conditionalFormatting sqref="J115:K115">
    <cfRule type="expression" dxfId="1172" priority="32">
      <formula>kvartal &lt; 4</formula>
    </cfRule>
  </conditionalFormatting>
  <conditionalFormatting sqref="J123:K123">
    <cfRule type="expression" dxfId="1171" priority="31">
      <formula>kvartal &lt; 4</formula>
    </cfRule>
  </conditionalFormatting>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102</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v>259842</v>
      </c>
      <c r="G7" s="252">
        <v>273670</v>
      </c>
      <c r="H7" s="288">
        <f>IF(F7=0, "    ---- ", IF(ABS(ROUND(100/F7*G7-100,1))&lt;999,ROUND(100/F7*G7-100,1),IF(ROUND(100/F7*G7-100,1)&gt;999,999,-999)))</f>
        <v>5.3</v>
      </c>
      <c r="I7" s="119">
        <f>IFERROR(100/'Skjema total MA'!F7*G7,0)</f>
        <v>2.278652681140009</v>
      </c>
      <c r="J7" s="253">
        <f t="shared" ref="J7:K12" si="0">SUM(B7,F7)</f>
        <v>259842</v>
      </c>
      <c r="K7" s="254">
        <f t="shared" si="0"/>
        <v>273670</v>
      </c>
      <c r="L7" s="348">
        <f>IF(J7=0, "    ---- ", IF(ABS(ROUND(100/J7*K7-100,1))&lt;999,ROUND(100/J7*K7-100,1),IF(ROUND(100/J7*K7-100,1)&gt;999,999,-999)))</f>
        <v>5.3</v>
      </c>
      <c r="M7" s="8">
        <f>IFERROR(100/'Skjema total MA'!I7*K7,0)</f>
        <v>1.5348244507757023</v>
      </c>
    </row>
    <row r="8" spans="1:15" ht="15.6" x14ac:dyDescent="0.25">
      <c r="A8" s="18" t="s">
        <v>169</v>
      </c>
      <c r="B8" s="228"/>
      <c r="C8" s="229"/>
      <c r="D8" s="123"/>
      <c r="E8" s="23"/>
      <c r="F8" s="232"/>
      <c r="G8" s="233"/>
      <c r="H8" s="123"/>
      <c r="I8" s="132"/>
      <c r="J8" s="181"/>
      <c r="K8" s="234"/>
      <c r="L8" s="123"/>
      <c r="M8" s="23"/>
    </row>
    <row r="9" spans="1:15" ht="15.6" x14ac:dyDescent="0.25">
      <c r="A9" s="18" t="s">
        <v>170</v>
      </c>
      <c r="B9" s="228"/>
      <c r="C9" s="229"/>
      <c r="D9" s="123"/>
      <c r="E9" s="23"/>
      <c r="F9" s="232"/>
      <c r="G9" s="233"/>
      <c r="H9" s="123"/>
      <c r="I9" s="132"/>
      <c r="J9" s="181"/>
      <c r="K9" s="234"/>
      <c r="L9" s="123"/>
      <c r="M9" s="23"/>
    </row>
    <row r="10" spans="1:15" ht="15.6" x14ac:dyDescent="0.25">
      <c r="A10" s="10" t="s">
        <v>171</v>
      </c>
      <c r="B10" s="255"/>
      <c r="C10" s="256"/>
      <c r="D10" s="127"/>
      <c r="E10" s="8"/>
      <c r="F10" s="255">
        <v>2882171</v>
      </c>
      <c r="G10" s="256">
        <v>3237373</v>
      </c>
      <c r="H10" s="127">
        <f t="shared" ref="H10:H12" si="1">IF(F10=0, "    ---- ", IF(ABS(ROUND(100/F10*G10-100,1))&lt;999,ROUND(100/F10*G10-100,1),IF(ROUND(100/F10*G10-100,1)&gt;999,999,-999)))</f>
        <v>12.3</v>
      </c>
      <c r="I10" s="119">
        <f>IFERROR(100/'Skjema total MA'!F10*G10,0)</f>
        <v>2.9719098534646018</v>
      </c>
      <c r="J10" s="253">
        <f t="shared" si="0"/>
        <v>2882171</v>
      </c>
      <c r="K10" s="254">
        <f t="shared" si="0"/>
        <v>3237373</v>
      </c>
      <c r="L10" s="349">
        <f t="shared" ref="L10:L12" si="2">IF(J10=0, "    ---- ", IF(ABS(ROUND(100/J10*K10-100,1))&lt;999,ROUND(100/J10*K10-100,1),IF(ROUND(100/J10*K10-100,1)&gt;999,999,-999)))</f>
        <v>12.3</v>
      </c>
      <c r="M10" s="8">
        <f>IFERROR(100/'Skjema total MA'!I10*K10,0)</f>
        <v>2.6009433123898305</v>
      </c>
    </row>
    <row r="11" spans="1:15" s="35" customFormat="1" ht="15.6" x14ac:dyDescent="0.25">
      <c r="A11" s="10" t="s">
        <v>172</v>
      </c>
      <c r="B11" s="255"/>
      <c r="C11" s="256"/>
      <c r="D11" s="127"/>
      <c r="E11" s="8"/>
      <c r="F11" s="255">
        <v>88033</v>
      </c>
      <c r="G11" s="256">
        <v>78835</v>
      </c>
      <c r="H11" s="127">
        <f t="shared" si="1"/>
        <v>-10.4</v>
      </c>
      <c r="I11" s="119">
        <f>IFERROR(100/'Skjema total MA'!F11*G11,0)</f>
        <v>12.134424491171847</v>
      </c>
      <c r="J11" s="253">
        <f t="shared" si="0"/>
        <v>88033</v>
      </c>
      <c r="K11" s="254">
        <f t="shared" si="0"/>
        <v>78835</v>
      </c>
      <c r="L11" s="349">
        <f t="shared" si="2"/>
        <v>-10.4</v>
      </c>
      <c r="M11" s="8">
        <f>IFERROR(100/'Skjema total MA'!I11*K11,0)</f>
        <v>12.128208062085035</v>
      </c>
      <c r="N11" s="107"/>
      <c r="O11" s="22"/>
    </row>
    <row r="12" spans="1:15" s="35" customFormat="1" ht="15.6" x14ac:dyDescent="0.25">
      <c r="A12" s="33" t="s">
        <v>173</v>
      </c>
      <c r="B12" s="257"/>
      <c r="C12" s="258"/>
      <c r="D12" s="125"/>
      <c r="E12" s="30"/>
      <c r="F12" s="257">
        <v>14463</v>
      </c>
      <c r="G12" s="258">
        <v>11687</v>
      </c>
      <c r="H12" s="125">
        <f t="shared" si="1"/>
        <v>-19.2</v>
      </c>
      <c r="I12" s="125">
        <f>IFERROR(100/'Skjema total MA'!F12*G12,0)</f>
        <v>1.8283583899834366</v>
      </c>
      <c r="J12" s="259">
        <f t="shared" si="0"/>
        <v>14463</v>
      </c>
      <c r="K12" s="260">
        <f t="shared" si="0"/>
        <v>11687</v>
      </c>
      <c r="L12" s="350">
        <f t="shared" si="2"/>
        <v>-19.2</v>
      </c>
      <c r="M12" s="30">
        <f>IFERROR(100/'Skjema total MA'!I12*K12,0)</f>
        <v>1.8273806724167692</v>
      </c>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v>636002</v>
      </c>
      <c r="C22" s="255">
        <v>719522</v>
      </c>
      <c r="D22" s="288">
        <f t="shared" ref="D22:D30" si="3">IF(B22=0, "    ---- ", IF(ABS(ROUND(100/B22*C22-100,1))&lt;999,ROUND(100/B22*C22-100,1),IF(ROUND(100/B22*C22-100,1)&gt;999,999,-999)))</f>
        <v>13.1</v>
      </c>
      <c r="E22" s="8">
        <f>IFERROR(100/'Skjema total MA'!C22*C22,0)</f>
        <v>26.779730399064231</v>
      </c>
      <c r="F22" s="263">
        <v>76794</v>
      </c>
      <c r="G22" s="263">
        <v>84867</v>
      </c>
      <c r="H22" s="288">
        <f t="shared" ref="H22:H35" si="4">IF(F22=0, "    ---- ", IF(ABS(ROUND(100/F22*G22-100,1))&lt;999,ROUND(100/F22*G22-100,1),IF(ROUND(100/F22*G22-100,1)&gt;999,999,-999)))</f>
        <v>10.5</v>
      </c>
      <c r="I22" s="8">
        <f>IFERROR(100/'Skjema total MA'!F22*G22,0)</f>
        <v>7.2136624033964685</v>
      </c>
      <c r="J22" s="261">
        <f t="shared" ref="J22:K35" si="5">SUM(B22,F22)</f>
        <v>712796</v>
      </c>
      <c r="K22" s="261">
        <f t="shared" si="5"/>
        <v>804389</v>
      </c>
      <c r="L22" s="348">
        <f t="shared" ref="L22:L35" si="6">IF(J22=0, "    ---- ", IF(ABS(ROUND(100/J22*K22-100,1))&lt;999,ROUND(100/J22*K22-100,1),IF(ROUND(100/J22*K22-100,1)&gt;999,999,-999)))</f>
        <v>12.8</v>
      </c>
      <c r="M22" s="21">
        <f>IFERROR(100/'Skjema total MA'!I22*K22,0)</f>
        <v>20.82133794125679</v>
      </c>
    </row>
    <row r="23" spans="1:13" ht="15.6" x14ac:dyDescent="0.25">
      <c r="A23" s="389" t="s">
        <v>177</v>
      </c>
      <c r="B23" s="228">
        <v>636002</v>
      </c>
      <c r="C23" s="228">
        <v>719522</v>
      </c>
      <c r="D23" s="123">
        <f t="shared" si="3"/>
        <v>13.1</v>
      </c>
      <c r="E23" s="8">
        <f>IFERROR(100/'Skjema total MA'!C23*C23,0)</f>
        <v>44.406497585197933</v>
      </c>
      <c r="F23" s="237"/>
      <c r="G23" s="237"/>
      <c r="H23" s="123"/>
      <c r="I23" s="341"/>
      <c r="J23" s="237">
        <f t="shared" ref="J23:J26" si="7">SUM(B23,F23)</f>
        <v>636002</v>
      </c>
      <c r="K23" s="237">
        <f t="shared" ref="K23:K26" si="8">SUM(C23,G23)</f>
        <v>719522</v>
      </c>
      <c r="L23" s="123">
        <f t="shared" si="6"/>
        <v>13.1</v>
      </c>
      <c r="M23" s="20">
        <f>IFERROR(100/'Skjema total MA'!I23*K23,0)</f>
        <v>43.201165698264852</v>
      </c>
    </row>
    <row r="24" spans="1:13" ht="15.6" x14ac:dyDescent="0.25">
      <c r="A24" s="389" t="s">
        <v>178</v>
      </c>
      <c r="B24" s="228"/>
      <c r="C24" s="228"/>
      <c r="D24" s="123"/>
      <c r="E24" s="8"/>
      <c r="F24" s="237">
        <v>16</v>
      </c>
      <c r="G24" s="237">
        <v>43</v>
      </c>
      <c r="H24" s="123">
        <f t="shared" si="4"/>
        <v>168.8</v>
      </c>
      <c r="I24" s="341">
        <f>IFERROR(100/'Skjema total MA'!F24*G24,0)</f>
        <v>7.0531624740263181</v>
      </c>
      <c r="J24" s="237">
        <f t="shared" si="7"/>
        <v>16</v>
      </c>
      <c r="K24" s="237">
        <f t="shared" si="8"/>
        <v>43</v>
      </c>
      <c r="L24" s="123">
        <f t="shared" si="6"/>
        <v>168.8</v>
      </c>
      <c r="M24" s="20">
        <f>IFERROR(100/'Skjema total MA'!I24*K24,0)</f>
        <v>0.32306354290241274</v>
      </c>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v>76778</v>
      </c>
      <c r="G26" s="237">
        <v>84824</v>
      </c>
      <c r="H26" s="123">
        <f t="shared" si="4"/>
        <v>10.5</v>
      </c>
      <c r="I26" s="341">
        <f>IFERROR(100/'Skjema total MA'!F26*G26,0)</f>
        <v>7.6034832228824047</v>
      </c>
      <c r="J26" s="237">
        <f t="shared" si="7"/>
        <v>76778</v>
      </c>
      <c r="K26" s="237">
        <f t="shared" si="8"/>
        <v>84824</v>
      </c>
      <c r="L26" s="123">
        <f t="shared" si="6"/>
        <v>10.5</v>
      </c>
      <c r="M26" s="20">
        <f>IFERROR(100/'Skjema total MA'!I26*K26,0)</f>
        <v>7.6034832228824047</v>
      </c>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v>636002</v>
      </c>
      <c r="C28" s="234">
        <v>719522</v>
      </c>
      <c r="D28" s="123">
        <f t="shared" si="3"/>
        <v>13.1</v>
      </c>
      <c r="E28" s="8">
        <f>IFERROR(100/'Skjema total MA'!C28*C28,0)</f>
        <v>21.246493769312586</v>
      </c>
      <c r="F28" s="181"/>
      <c r="G28" s="234"/>
      <c r="H28" s="123"/>
      <c r="I28" s="23"/>
      <c r="J28" s="36">
        <f t="shared" si="5"/>
        <v>636002</v>
      </c>
      <c r="K28" s="36">
        <f t="shared" si="5"/>
        <v>719522</v>
      </c>
      <c r="L28" s="206">
        <f t="shared" si="6"/>
        <v>13.1</v>
      </c>
      <c r="M28" s="20">
        <f>IFERROR(100/'Skjema total MA'!I28*K28,0)</f>
        <v>21.246493769312586</v>
      </c>
    </row>
    <row r="29" spans="1:13" ht="15.6" x14ac:dyDescent="0.25">
      <c r="A29" s="10" t="s">
        <v>171</v>
      </c>
      <c r="B29" s="183">
        <v>4433352</v>
      </c>
      <c r="C29" s="183">
        <v>5098044</v>
      </c>
      <c r="D29" s="127">
        <f t="shared" si="3"/>
        <v>15</v>
      </c>
      <c r="E29" s="8">
        <f>IFERROR(100/'Skjema total MA'!C29*C29,0)</f>
        <v>11.557703099739491</v>
      </c>
      <c r="F29" s="253">
        <v>2546923</v>
      </c>
      <c r="G29" s="253">
        <v>2673558</v>
      </c>
      <c r="H29" s="127">
        <f t="shared" si="4"/>
        <v>5</v>
      </c>
      <c r="I29" s="8">
        <f>IFERROR(100/'Skjema total MA'!F29*G29,0)</f>
        <v>8.373539043450581</v>
      </c>
      <c r="J29" s="183">
        <f t="shared" si="5"/>
        <v>6980275</v>
      </c>
      <c r="K29" s="183">
        <f t="shared" si="5"/>
        <v>7771602</v>
      </c>
      <c r="L29" s="349">
        <f t="shared" si="6"/>
        <v>11.3</v>
      </c>
      <c r="M29" s="21">
        <f>IFERROR(100/'Skjema total MA'!I29*K29,0)</f>
        <v>10.220662779761399</v>
      </c>
    </row>
    <row r="30" spans="1:13" ht="15.6" x14ac:dyDescent="0.25">
      <c r="A30" s="389" t="s">
        <v>177</v>
      </c>
      <c r="B30" s="228">
        <v>4433352</v>
      </c>
      <c r="C30" s="228">
        <v>5098044</v>
      </c>
      <c r="D30" s="123">
        <f t="shared" si="3"/>
        <v>15</v>
      </c>
      <c r="E30" s="8">
        <f>IFERROR(100/'Skjema total MA'!C30*C30,0)</f>
        <v>26.596887684536323</v>
      </c>
      <c r="F30" s="237">
        <v>17608</v>
      </c>
      <c r="G30" s="237">
        <v>16867</v>
      </c>
      <c r="H30" s="123">
        <f t="shared" si="4"/>
        <v>-4.2</v>
      </c>
      <c r="I30" s="341">
        <f>IFERROR(100/'Skjema total MA'!F30*G30,0)</f>
        <v>0.45137626643820322</v>
      </c>
      <c r="J30" s="237">
        <f t="shared" ref="J30:J33" si="9">SUM(B30,F30)</f>
        <v>4450960</v>
      </c>
      <c r="K30" s="237">
        <f t="shared" ref="K30:K33" si="10">SUM(C30,G30)</f>
        <v>5114911</v>
      </c>
      <c r="L30" s="123">
        <f t="shared" si="6"/>
        <v>14.9</v>
      </c>
      <c r="M30" s="20">
        <f>IFERROR(100/'Skjema total MA'!I30*K30,0)</f>
        <v>22.331355112364843</v>
      </c>
    </row>
    <row r="31" spans="1:13" ht="15.6" x14ac:dyDescent="0.25">
      <c r="A31" s="389" t="s">
        <v>178</v>
      </c>
      <c r="B31" s="228"/>
      <c r="C31" s="228"/>
      <c r="D31" s="123"/>
      <c r="E31" s="8"/>
      <c r="F31" s="237">
        <v>1122897</v>
      </c>
      <c r="G31" s="237">
        <v>1067652</v>
      </c>
      <c r="H31" s="123">
        <f t="shared" si="4"/>
        <v>-4.9000000000000004</v>
      </c>
      <c r="I31" s="341">
        <f>IFERROR(100/'Skjema total MA'!F31*G31,0)</f>
        <v>14.491682641797496</v>
      </c>
      <c r="J31" s="237">
        <f t="shared" si="9"/>
        <v>1122897</v>
      </c>
      <c r="K31" s="237">
        <f t="shared" si="10"/>
        <v>1067652</v>
      </c>
      <c r="L31" s="123">
        <f t="shared" si="6"/>
        <v>-4.9000000000000004</v>
      </c>
      <c r="M31" s="20">
        <f>IFERROR(100/'Skjema total MA'!I31*K31,0)</f>
        <v>3.6374519312307165</v>
      </c>
    </row>
    <row r="32" spans="1:13" ht="15.6" x14ac:dyDescent="0.25">
      <c r="A32" s="389" t="s">
        <v>179</v>
      </c>
      <c r="B32" s="228"/>
      <c r="C32" s="228"/>
      <c r="D32" s="123"/>
      <c r="E32" s="8"/>
      <c r="F32" s="237">
        <v>122668</v>
      </c>
      <c r="G32" s="237">
        <v>124889</v>
      </c>
      <c r="H32" s="123">
        <f t="shared" si="4"/>
        <v>1.8</v>
      </c>
      <c r="I32" s="341">
        <f>IFERROR(100/'Skjema total MA'!F32*G32,0)</f>
        <v>1.6732859762365468</v>
      </c>
      <c r="J32" s="237">
        <f t="shared" si="9"/>
        <v>122668</v>
      </c>
      <c r="K32" s="237">
        <f t="shared" si="10"/>
        <v>124889</v>
      </c>
      <c r="L32" s="123">
        <f t="shared" si="6"/>
        <v>1.8</v>
      </c>
      <c r="M32" s="20">
        <f>IFERROR(100/'Skjema total MA'!I32*K32,0)</f>
        <v>1.2249924589641057</v>
      </c>
    </row>
    <row r="33" spans="1:13" ht="15.6" x14ac:dyDescent="0.25">
      <c r="A33" s="389" t="s">
        <v>180</v>
      </c>
      <c r="B33" s="228"/>
      <c r="C33" s="228"/>
      <c r="D33" s="123"/>
      <c r="E33" s="8"/>
      <c r="F33" s="237">
        <v>1283750</v>
      </c>
      <c r="G33" s="237">
        <v>1464150</v>
      </c>
      <c r="H33" s="123">
        <f t="shared" si="4"/>
        <v>14.1</v>
      </c>
      <c r="I33" s="341">
        <f>IFERROR(100/'Skjema total MA'!F33*G33,0)</f>
        <v>10.95853720401637</v>
      </c>
      <c r="J33" s="237">
        <f t="shared" si="9"/>
        <v>1283750</v>
      </c>
      <c r="K33" s="237">
        <f t="shared" si="10"/>
        <v>1464150</v>
      </c>
      <c r="L33" s="123">
        <f t="shared" si="6"/>
        <v>14.1</v>
      </c>
      <c r="M33" s="20">
        <f>IFERROR(100/'Skjema total MA'!I33*K33,0)</f>
        <v>10.95853720401637</v>
      </c>
    </row>
    <row r="34" spans="1:13" ht="15.6" x14ac:dyDescent="0.25">
      <c r="A34" s="10" t="s">
        <v>172</v>
      </c>
      <c r="B34" s="183"/>
      <c r="C34" s="254"/>
      <c r="D34" s="127"/>
      <c r="E34" s="8"/>
      <c r="F34" s="253">
        <v>44721</v>
      </c>
      <c r="G34" s="254">
        <v>35010</v>
      </c>
      <c r="H34" s="127">
        <f t="shared" si="4"/>
        <v>-21.7</v>
      </c>
      <c r="I34" s="8">
        <f>IFERROR(100/'Skjema total MA'!F34*G34,0)</f>
        <v>13.013962860256989</v>
      </c>
      <c r="J34" s="183">
        <f t="shared" si="5"/>
        <v>44721</v>
      </c>
      <c r="K34" s="183">
        <f t="shared" si="5"/>
        <v>35010</v>
      </c>
      <c r="L34" s="349">
        <f t="shared" si="6"/>
        <v>-21.7</v>
      </c>
      <c r="M34" s="21">
        <f>IFERROR(100/'Skjema total MA'!I34*K34,0)</f>
        <v>8.7362799603188677</v>
      </c>
    </row>
    <row r="35" spans="1:13" ht="15.6" x14ac:dyDescent="0.25">
      <c r="A35" s="10" t="s">
        <v>173</v>
      </c>
      <c r="B35" s="183"/>
      <c r="C35" s="254"/>
      <c r="D35" s="127"/>
      <c r="E35" s="8"/>
      <c r="F35" s="253">
        <v>31858</v>
      </c>
      <c r="G35" s="254">
        <v>37418</v>
      </c>
      <c r="H35" s="127">
        <f t="shared" si="4"/>
        <v>17.5</v>
      </c>
      <c r="I35" s="8">
        <f>IFERROR(100/'Skjema total MA'!F35*G35,0)</f>
        <v>15.035926697303436</v>
      </c>
      <c r="J35" s="183">
        <f t="shared" si="5"/>
        <v>31858</v>
      </c>
      <c r="K35" s="183">
        <f t="shared" si="5"/>
        <v>37418</v>
      </c>
      <c r="L35" s="349">
        <f t="shared" si="6"/>
        <v>17.5</v>
      </c>
      <c r="M35" s="21">
        <f>IFERROR(100/'Skjema total MA'!I35*K35,0)</f>
        <v>13.659574872183885</v>
      </c>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c r="C47" s="256"/>
      <c r="D47" s="348"/>
      <c r="E47" s="8"/>
      <c r="F47" s="109"/>
      <c r="G47" s="27"/>
      <c r="H47" s="118"/>
      <c r="I47" s="118"/>
      <c r="J47" s="31"/>
      <c r="K47" s="31"/>
      <c r="L47" s="118"/>
      <c r="M47" s="118"/>
    </row>
    <row r="48" spans="1:13" ht="15.6" x14ac:dyDescent="0.25">
      <c r="A48" s="18" t="s">
        <v>189</v>
      </c>
      <c r="B48" s="228"/>
      <c r="C48" s="229"/>
      <c r="D48" s="206"/>
      <c r="E48" s="23"/>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v>441040</v>
      </c>
      <c r="C66" s="291">
        <v>499708</v>
      </c>
      <c r="D66" s="288">
        <f t="shared" ref="D66:D111" si="11">IF(B66=0, "    ---- ", IF(ABS(ROUND(100/B66*C66-100,1))&lt;999,ROUND(100/B66*C66-100,1),IF(ROUND(100/B66*C66-100,1)&gt;999,999,-999)))</f>
        <v>13.3</v>
      </c>
      <c r="E66" s="8">
        <f>IFERROR(100/'Skjema total MA'!C66*C66,0)</f>
        <v>5.3193503365617634</v>
      </c>
      <c r="F66" s="290">
        <v>6342522</v>
      </c>
      <c r="G66" s="290">
        <v>6929961</v>
      </c>
      <c r="H66" s="288">
        <f t="shared" ref="H66:H111" si="12">IF(F66=0, "    ---- ", IF(ABS(ROUND(100/F66*G66-100,1))&lt;999,ROUND(100/F66*G66-100,1),IF(ROUND(100/F66*G66-100,1)&gt;999,999,-999)))</f>
        <v>9.3000000000000007</v>
      </c>
      <c r="I66" s="8">
        <f>IFERROR(100/'Skjema total MA'!F66*G66,0)</f>
        <v>11.669116457660145</v>
      </c>
      <c r="J66" s="254">
        <f t="shared" ref="J66:K86" si="13">SUM(B66,F66)</f>
        <v>6783562</v>
      </c>
      <c r="K66" s="261">
        <f t="shared" si="13"/>
        <v>7429669</v>
      </c>
      <c r="L66" s="349">
        <f t="shared" ref="L66:L111" si="14">IF(J66=0, "    ---- ", IF(ABS(ROUND(100/J66*K66-100,1))&lt;999,ROUND(100/J66*K66-100,1),IF(ROUND(100/J66*K66-100,1)&gt;999,999,-999)))</f>
        <v>9.5</v>
      </c>
      <c r="M66" s="8">
        <f>IFERROR(100/'Skjema total MA'!I66*K66,0)</f>
        <v>10.801865594724676</v>
      </c>
    </row>
    <row r="67" spans="1:13" x14ac:dyDescent="0.25">
      <c r="A67" s="39" t="s">
        <v>197</v>
      </c>
      <c r="B67" s="36">
        <v>441040</v>
      </c>
      <c r="C67" s="109">
        <v>499708</v>
      </c>
      <c r="D67" s="123">
        <f t="shared" si="11"/>
        <v>13.3</v>
      </c>
      <c r="E67" s="23">
        <f>IFERROR(100/'Skjema total MA'!C67*C67,0)</f>
        <v>11.88288545752677</v>
      </c>
      <c r="F67" s="181"/>
      <c r="G67" s="109"/>
      <c r="H67" s="123"/>
      <c r="I67" s="23"/>
      <c r="J67" s="234">
        <f t="shared" si="13"/>
        <v>441040</v>
      </c>
      <c r="K67" s="36">
        <f t="shared" si="13"/>
        <v>499708</v>
      </c>
      <c r="L67" s="206">
        <f t="shared" si="14"/>
        <v>13.3</v>
      </c>
      <c r="M67" s="23">
        <f>IFERROR(100/'Skjema total MA'!I67*K67,0)</f>
        <v>11.88288545752677</v>
      </c>
    </row>
    <row r="68" spans="1:13" x14ac:dyDescent="0.25">
      <c r="A68" s="18" t="s">
        <v>198</v>
      </c>
      <c r="B68" s="239"/>
      <c r="C68" s="240"/>
      <c r="D68" s="123"/>
      <c r="E68" s="23"/>
      <c r="F68" s="239">
        <v>6342522</v>
      </c>
      <c r="G68" s="239">
        <v>6929961</v>
      </c>
      <c r="H68" s="123">
        <f t="shared" si="12"/>
        <v>9.3000000000000007</v>
      </c>
      <c r="I68" s="23">
        <f>IFERROR(100/'Skjema total MA'!F68*G68,0)</f>
        <v>12.117796736914242</v>
      </c>
      <c r="J68" s="234">
        <f t="shared" si="13"/>
        <v>6342522</v>
      </c>
      <c r="K68" s="36">
        <f t="shared" si="13"/>
        <v>6929961</v>
      </c>
      <c r="L68" s="206">
        <f t="shared" si="14"/>
        <v>9.3000000000000007</v>
      </c>
      <c r="M68" s="23">
        <f>IFERROR(100/'Skjema total MA'!I68*K68,0)</f>
        <v>12.112671786016877</v>
      </c>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v>6342522</v>
      </c>
      <c r="G72" s="228">
        <v>6929961</v>
      </c>
      <c r="H72" s="123">
        <f t="shared" si="12"/>
        <v>9.3000000000000007</v>
      </c>
      <c r="I72" s="341">
        <f>IFERROR(100/'Skjema total MA'!F72*G72,0)</f>
        <v>12.118328291187954</v>
      </c>
      <c r="J72" s="234">
        <f t="shared" ref="J72" si="15">SUM(B72,F72)</f>
        <v>6342522</v>
      </c>
      <c r="K72" s="36">
        <f t="shared" ref="K72" si="16">SUM(C72,G72)</f>
        <v>6929961</v>
      </c>
      <c r="L72" s="206">
        <f t="shared" si="14"/>
        <v>9.3000000000000007</v>
      </c>
      <c r="M72" s="20">
        <f>IFERROR(100/'Skjema total MA'!I72*K72,0)</f>
        <v>12.113252859795679</v>
      </c>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v>6342522</v>
      </c>
      <c r="G74" s="228">
        <v>6929961</v>
      </c>
      <c r="H74" s="123">
        <f t="shared" si="12"/>
        <v>9.3000000000000007</v>
      </c>
      <c r="I74" s="341">
        <f>IFERROR(100/'Skjema total MA'!F74*G74,0)</f>
        <v>12.118328291187954</v>
      </c>
      <c r="J74" s="234">
        <f t="shared" ref="J74" si="17">SUM(B74,F74)</f>
        <v>6342522</v>
      </c>
      <c r="K74" s="36">
        <f t="shared" ref="K74" si="18">SUM(C74,G74)</f>
        <v>6929961</v>
      </c>
      <c r="L74" s="206">
        <f t="shared" si="14"/>
        <v>9.3000000000000007</v>
      </c>
      <c r="M74" s="20">
        <f>IFERROR(100/'Skjema total MA'!I74*K74,0)</f>
        <v>12.118328291187954</v>
      </c>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v>439441</v>
      </c>
      <c r="C77" s="181">
        <v>497851</v>
      </c>
      <c r="D77" s="123">
        <f t="shared" si="11"/>
        <v>13.3</v>
      </c>
      <c r="E77" s="23">
        <f>IFERROR(100/'Skjema total MA'!C77*C77,0)</f>
        <v>12.051070353647958</v>
      </c>
      <c r="F77" s="181">
        <v>6342506</v>
      </c>
      <c r="G77" s="109">
        <v>6929959</v>
      </c>
      <c r="H77" s="123">
        <f t="shared" si="12"/>
        <v>9.3000000000000007</v>
      </c>
      <c r="I77" s="23">
        <f>IFERROR(100/'Skjema total MA'!F77*G77,0)</f>
        <v>12.120796961009029</v>
      </c>
      <c r="J77" s="234">
        <f t="shared" si="13"/>
        <v>6781947</v>
      </c>
      <c r="K77" s="36">
        <f t="shared" si="13"/>
        <v>7427810</v>
      </c>
      <c r="L77" s="206">
        <f t="shared" si="14"/>
        <v>9.5</v>
      </c>
      <c r="M77" s="23">
        <f>IFERROR(100/'Skjema total MA'!I77*K77,0)</f>
        <v>12.116098297997985</v>
      </c>
    </row>
    <row r="78" spans="1:13" x14ac:dyDescent="0.25">
      <c r="A78" s="18" t="s">
        <v>197</v>
      </c>
      <c r="B78" s="181">
        <v>439441</v>
      </c>
      <c r="C78" s="109">
        <v>497851</v>
      </c>
      <c r="D78" s="123">
        <f t="shared" si="11"/>
        <v>13.3</v>
      </c>
      <c r="E78" s="23">
        <f>IFERROR(100/'Skjema total MA'!C78*C78,0)</f>
        <v>12.122070612816248</v>
      </c>
      <c r="F78" s="181"/>
      <c r="G78" s="109"/>
      <c r="H78" s="123"/>
      <c r="I78" s="23"/>
      <c r="J78" s="234">
        <f t="shared" si="13"/>
        <v>439441</v>
      </c>
      <c r="K78" s="36">
        <f t="shared" si="13"/>
        <v>497851</v>
      </c>
      <c r="L78" s="206">
        <f t="shared" si="14"/>
        <v>13.3</v>
      </c>
      <c r="M78" s="23">
        <f>IFERROR(100/'Skjema total MA'!I78*K78,0)</f>
        <v>12.122070612816248</v>
      </c>
    </row>
    <row r="79" spans="1:13" x14ac:dyDescent="0.25">
      <c r="A79" s="18" t="s">
        <v>206</v>
      </c>
      <c r="B79" s="239"/>
      <c r="C79" s="240"/>
      <c r="D79" s="123"/>
      <c r="E79" s="23"/>
      <c r="F79" s="239">
        <v>6342506</v>
      </c>
      <c r="G79" s="240">
        <v>6929959</v>
      </c>
      <c r="H79" s="123">
        <f t="shared" si="12"/>
        <v>9.3000000000000007</v>
      </c>
      <c r="I79" s="23">
        <f>IFERROR(100/'Skjema total MA'!F79*G79,0)</f>
        <v>12.120796961009029</v>
      </c>
      <c r="J79" s="234">
        <f t="shared" si="13"/>
        <v>6342506</v>
      </c>
      <c r="K79" s="36">
        <f t="shared" si="13"/>
        <v>6929959</v>
      </c>
      <c r="L79" s="206">
        <f t="shared" si="14"/>
        <v>9.3000000000000007</v>
      </c>
      <c r="M79" s="23">
        <f>IFERROR(100/'Skjema total MA'!I79*K79,0)</f>
        <v>12.115669471099984</v>
      </c>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v>6342506</v>
      </c>
      <c r="G83" s="228">
        <v>6929959</v>
      </c>
      <c r="H83" s="123">
        <f t="shared" si="12"/>
        <v>9.3000000000000007</v>
      </c>
      <c r="I83" s="341">
        <f>IFERROR(100/'Skjema total MA'!F83*G83,0)</f>
        <v>12.120796961009029</v>
      </c>
      <c r="J83" s="234">
        <f t="shared" ref="J83" si="19">SUM(B83,F83)</f>
        <v>6342506</v>
      </c>
      <c r="K83" s="36">
        <f t="shared" ref="K83" si="20">SUM(C83,G83)</f>
        <v>6929959</v>
      </c>
      <c r="L83" s="206">
        <f t="shared" si="14"/>
        <v>9.3000000000000007</v>
      </c>
      <c r="M83" s="20">
        <f>IFERROR(100/'Skjema total MA'!I83*K83,0)</f>
        <v>12.115669471099984</v>
      </c>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v>6342506</v>
      </c>
      <c r="G85" s="228">
        <v>6929959</v>
      </c>
      <c r="H85" s="123">
        <f t="shared" si="12"/>
        <v>9.3000000000000007</v>
      </c>
      <c r="I85" s="341">
        <f>IFERROR(100/'Skjema total MA'!F85*G85,0)</f>
        <v>12.120796961009029</v>
      </c>
      <c r="J85" s="234">
        <f t="shared" ref="J85" si="21">SUM(B85,F85)</f>
        <v>6342506</v>
      </c>
      <c r="K85" s="36">
        <f t="shared" ref="K85" si="22">SUM(C85,G85)</f>
        <v>6929959</v>
      </c>
      <c r="L85" s="206">
        <f t="shared" si="14"/>
        <v>9.3000000000000007</v>
      </c>
      <c r="M85" s="20">
        <f>IFERROR(100/'Skjema total MA'!I85*K85,0)</f>
        <v>12.120796961009029</v>
      </c>
    </row>
    <row r="86" spans="1:13" ht="15.6" x14ac:dyDescent="0.25">
      <c r="A86" s="18" t="s">
        <v>207</v>
      </c>
      <c r="B86" s="181">
        <v>1599</v>
      </c>
      <c r="C86" s="109">
        <v>1857</v>
      </c>
      <c r="D86" s="123">
        <f t="shared" si="11"/>
        <v>16.100000000000001</v>
      </c>
      <c r="E86" s="23">
        <f>IFERROR(100/'Skjema total MA'!C86*C86,0)</f>
        <v>1.8892104141213322</v>
      </c>
      <c r="F86" s="181">
        <v>16</v>
      </c>
      <c r="G86" s="109">
        <v>2</v>
      </c>
      <c r="H86" s="123">
        <f t="shared" si="12"/>
        <v>-87.5</v>
      </c>
      <c r="I86" s="23">
        <f>IFERROR(100/'Skjema total MA'!F86*G86,0)</f>
        <v>1.4112189792018077E-2</v>
      </c>
      <c r="J86" s="234">
        <f t="shared" si="13"/>
        <v>1615</v>
      </c>
      <c r="K86" s="36">
        <f t="shared" si="13"/>
        <v>1859</v>
      </c>
      <c r="L86" s="206">
        <f t="shared" si="14"/>
        <v>15.1</v>
      </c>
      <c r="M86" s="23">
        <f>IFERROR(100/'Skjema total MA'!I86*K86,0)</f>
        <v>1.6529266876421491</v>
      </c>
    </row>
    <row r="87" spans="1:13" ht="15.6" x14ac:dyDescent="0.25">
      <c r="A87" s="10" t="s">
        <v>171</v>
      </c>
      <c r="B87" s="291">
        <v>6415748</v>
      </c>
      <c r="C87" s="291">
        <v>6762787</v>
      </c>
      <c r="D87" s="127">
        <f t="shared" si="11"/>
        <v>5.4</v>
      </c>
      <c r="E87" s="8">
        <f>IFERROR(100/'Skjema total MA'!C87*C87,0)</f>
        <v>1.6273519279060826</v>
      </c>
      <c r="F87" s="290">
        <v>71462856</v>
      </c>
      <c r="G87" s="290">
        <v>85670519</v>
      </c>
      <c r="H87" s="127">
        <f t="shared" si="12"/>
        <v>19.899999999999999</v>
      </c>
      <c r="I87" s="8">
        <f>IFERROR(100/'Skjema total MA'!F87*G87,0)</f>
        <v>10.812539905526171</v>
      </c>
      <c r="J87" s="254">
        <f t="shared" ref="J87:K111" si="23">SUM(B87,F87)</f>
        <v>77878604</v>
      </c>
      <c r="K87" s="183">
        <f t="shared" si="23"/>
        <v>92433306</v>
      </c>
      <c r="L87" s="349">
        <f t="shared" si="14"/>
        <v>18.7</v>
      </c>
      <c r="M87" s="8">
        <f>IFERROR(100/'Skjema total MA'!I87*K87,0)</f>
        <v>7.6524250198842863</v>
      </c>
    </row>
    <row r="88" spans="1:13" x14ac:dyDescent="0.25">
      <c r="A88" s="18" t="s">
        <v>197</v>
      </c>
      <c r="B88" s="181">
        <v>6415748</v>
      </c>
      <c r="C88" s="109">
        <v>6762787</v>
      </c>
      <c r="D88" s="123">
        <f t="shared" si="11"/>
        <v>5.4</v>
      </c>
      <c r="E88" s="23">
        <f>IFERROR(100/'Skjema total MA'!C88*C88,0)</f>
        <v>1.7413394774195949</v>
      </c>
      <c r="F88" s="181"/>
      <c r="G88" s="109"/>
      <c r="H88" s="123"/>
      <c r="I88" s="23"/>
      <c r="J88" s="234">
        <f t="shared" si="23"/>
        <v>6415748</v>
      </c>
      <c r="K88" s="36">
        <f t="shared" si="23"/>
        <v>6762787</v>
      </c>
      <c r="L88" s="206">
        <f t="shared" si="14"/>
        <v>5.4</v>
      </c>
      <c r="M88" s="23">
        <f>IFERROR(100/'Skjema total MA'!I88*K88,0)</f>
        <v>1.7413394774195949</v>
      </c>
    </row>
    <row r="89" spans="1:13" x14ac:dyDescent="0.25">
      <c r="A89" s="18" t="s">
        <v>198</v>
      </c>
      <c r="B89" s="181"/>
      <c r="C89" s="109"/>
      <c r="D89" s="123"/>
      <c r="E89" s="23"/>
      <c r="F89" s="181">
        <v>71462856</v>
      </c>
      <c r="G89" s="109">
        <v>85670519</v>
      </c>
      <c r="H89" s="123">
        <f t="shared" si="12"/>
        <v>19.899999999999999</v>
      </c>
      <c r="I89" s="23">
        <f>IFERROR(100/'Skjema total MA'!F89*G89,0)</f>
        <v>10.987984375293076</v>
      </c>
      <c r="J89" s="234">
        <f t="shared" si="23"/>
        <v>71462856</v>
      </c>
      <c r="K89" s="36">
        <f t="shared" si="23"/>
        <v>85670519</v>
      </c>
      <c r="L89" s="206">
        <f t="shared" si="14"/>
        <v>19.899999999999999</v>
      </c>
      <c r="M89" s="23">
        <f>IFERROR(100/'Skjema total MA'!I89*K89,0)</f>
        <v>10.928172703527922</v>
      </c>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v>71462856</v>
      </c>
      <c r="G93" s="228">
        <v>85670519</v>
      </c>
      <c r="H93" s="123">
        <f t="shared" si="12"/>
        <v>19.899999999999999</v>
      </c>
      <c r="I93" s="341">
        <f>IFERROR(100/'Skjema total MA'!F93*G93,0)</f>
        <v>10.992738589132983</v>
      </c>
      <c r="J93" s="234">
        <f t="shared" ref="J93" si="24">SUM(B93,F93)</f>
        <v>71462856</v>
      </c>
      <c r="K93" s="36">
        <f t="shared" ref="K93" si="25">SUM(C93,G93)</f>
        <v>85670519</v>
      </c>
      <c r="L93" s="206">
        <f t="shared" si="14"/>
        <v>19.899999999999999</v>
      </c>
      <c r="M93" s="20">
        <f>IFERROR(100/'Skjema total MA'!I93*K93,0)</f>
        <v>10.932875289264727</v>
      </c>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v>71462856</v>
      </c>
      <c r="G95" s="228">
        <v>85670519</v>
      </c>
      <c r="H95" s="123">
        <f t="shared" si="12"/>
        <v>19.899999999999999</v>
      </c>
      <c r="I95" s="341">
        <f>IFERROR(100/'Skjema total MA'!F95*G95,0)</f>
        <v>10.992738589132983</v>
      </c>
      <c r="J95" s="234">
        <f t="shared" ref="J95" si="26">SUM(B95,F95)</f>
        <v>71462856</v>
      </c>
      <c r="K95" s="36">
        <f t="shared" ref="K95" si="27">SUM(C95,G95)</f>
        <v>85670519</v>
      </c>
      <c r="L95" s="206">
        <f t="shared" si="14"/>
        <v>19.899999999999999</v>
      </c>
      <c r="M95" s="20">
        <f>IFERROR(100/'Skjema total MA'!I95*K95,0)</f>
        <v>10.992738589132983</v>
      </c>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v>6410350</v>
      </c>
      <c r="C98" s="181">
        <v>6755864</v>
      </c>
      <c r="D98" s="123">
        <f t="shared" si="11"/>
        <v>5.4</v>
      </c>
      <c r="E98" s="23">
        <f>IFERROR(100/'Skjema total MA'!C98*C98,0)</f>
        <v>1.7387668795399045</v>
      </c>
      <c r="F98" s="239">
        <v>71462755</v>
      </c>
      <c r="G98" s="239">
        <v>85670415</v>
      </c>
      <c r="H98" s="123">
        <f t="shared" si="12"/>
        <v>19.899999999999999</v>
      </c>
      <c r="I98" s="23">
        <f>IFERROR(100/'Skjema total MA'!F98*G98,0)</f>
        <v>10.993980806488613</v>
      </c>
      <c r="J98" s="234">
        <f t="shared" si="23"/>
        <v>77873105</v>
      </c>
      <c r="K98" s="36">
        <f t="shared" si="23"/>
        <v>92426279</v>
      </c>
      <c r="L98" s="206">
        <f t="shared" si="14"/>
        <v>18.7</v>
      </c>
      <c r="M98" s="23">
        <f>IFERROR(100/'Skjema total MA'!I98*K98,0)</f>
        <v>7.9146198870868467</v>
      </c>
    </row>
    <row r="99" spans="1:13" x14ac:dyDescent="0.25">
      <c r="A99" s="18" t="s">
        <v>197</v>
      </c>
      <c r="B99" s="239">
        <v>6410350</v>
      </c>
      <c r="C99" s="240">
        <v>6755864</v>
      </c>
      <c r="D99" s="123">
        <f t="shared" si="11"/>
        <v>5.4</v>
      </c>
      <c r="E99" s="23">
        <f>IFERROR(100/'Skjema total MA'!C99*C99,0)</f>
        <v>1.7580754322472731</v>
      </c>
      <c r="F99" s="181"/>
      <c r="G99" s="109"/>
      <c r="H99" s="123"/>
      <c r="I99" s="23"/>
      <c r="J99" s="234">
        <f t="shared" si="23"/>
        <v>6410350</v>
      </c>
      <c r="K99" s="36">
        <f t="shared" si="23"/>
        <v>6755864</v>
      </c>
      <c r="L99" s="206">
        <f t="shared" si="14"/>
        <v>5.4</v>
      </c>
      <c r="M99" s="23">
        <f>IFERROR(100/'Skjema total MA'!I99*K99,0)</f>
        <v>1.7580754322472731</v>
      </c>
    </row>
    <row r="100" spans="1:13" x14ac:dyDescent="0.25">
      <c r="A100" s="18" t="s">
        <v>206</v>
      </c>
      <c r="B100" s="239"/>
      <c r="C100" s="240"/>
      <c r="D100" s="123"/>
      <c r="E100" s="23"/>
      <c r="F100" s="181">
        <v>71462755</v>
      </c>
      <c r="G100" s="181">
        <v>85670415</v>
      </c>
      <c r="H100" s="123">
        <f t="shared" si="12"/>
        <v>19.899999999999999</v>
      </c>
      <c r="I100" s="23">
        <f>IFERROR(100/'Skjema total MA'!F100*G100,0)</f>
        <v>10.993980806488613</v>
      </c>
      <c r="J100" s="234">
        <f t="shared" si="23"/>
        <v>71462755</v>
      </c>
      <c r="K100" s="36">
        <f t="shared" si="23"/>
        <v>85670415</v>
      </c>
      <c r="L100" s="206">
        <f t="shared" si="14"/>
        <v>19.899999999999999</v>
      </c>
      <c r="M100" s="23">
        <f>IFERROR(100/'Skjema total MA'!I100*K100,0)</f>
        <v>10.934103940892825</v>
      </c>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f>IFERROR(100/'Skjema total MA'!C104*C104,0)</f>
        <v>0</v>
      </c>
      <c r="F104" s="228">
        <v>71462755</v>
      </c>
      <c r="G104" s="228">
        <v>85670415</v>
      </c>
      <c r="H104" s="123">
        <f t="shared" si="12"/>
        <v>19.899999999999999</v>
      </c>
      <c r="I104" s="341">
        <f>IFERROR(100/'Skjema total MA'!F104*G104,0)</f>
        <v>10.993980806488613</v>
      </c>
      <c r="J104" s="234">
        <f t="shared" ref="J104" si="28">SUM(B104,F104)</f>
        <v>71462755</v>
      </c>
      <c r="K104" s="36">
        <f t="shared" ref="K104" si="29">SUM(C104,G104)</f>
        <v>85670415</v>
      </c>
      <c r="L104" s="206">
        <f t="shared" si="14"/>
        <v>19.899999999999999</v>
      </c>
      <c r="M104" s="20">
        <f>IFERROR(100/'Skjema total MA'!I104*K104,0)</f>
        <v>10.934103940892825</v>
      </c>
    </row>
    <row r="105" spans="1:13" x14ac:dyDescent="0.25">
      <c r="A105" s="243" t="s">
        <v>200</v>
      </c>
      <c r="B105" s="182"/>
      <c r="C105" s="236"/>
      <c r="D105" s="123"/>
      <c r="E105" s="23">
        <f>IFERROR(100/'Skjema total MA'!C105*C105,0)</f>
        <v>0</v>
      </c>
      <c r="F105" s="228"/>
      <c r="G105" s="228"/>
      <c r="H105" s="123"/>
      <c r="I105" s="341"/>
      <c r="J105" s="237"/>
      <c r="K105" s="237"/>
      <c r="L105" s="123"/>
      <c r="M105" s="20"/>
    </row>
    <row r="106" spans="1:13" x14ac:dyDescent="0.25">
      <c r="A106" s="243" t="s">
        <v>201</v>
      </c>
      <c r="B106" s="182"/>
      <c r="C106" s="236"/>
      <c r="D106" s="123"/>
      <c r="E106" s="23">
        <f>IFERROR(100/'Skjema total MA'!C106*C106,0)</f>
        <v>0</v>
      </c>
      <c r="F106" s="228">
        <v>71462755</v>
      </c>
      <c r="G106" s="228">
        <v>85670415</v>
      </c>
      <c r="H106" s="123">
        <f t="shared" si="12"/>
        <v>19.899999999999999</v>
      </c>
      <c r="I106" s="341">
        <f>IFERROR(100/'Skjema total MA'!F106*G106,0)</f>
        <v>10.993980806488613</v>
      </c>
      <c r="J106" s="234">
        <f t="shared" ref="J106" si="30">SUM(B106,F106)</f>
        <v>71462755</v>
      </c>
      <c r="K106" s="36">
        <f t="shared" ref="K106" si="31">SUM(C106,G106)</f>
        <v>85670415</v>
      </c>
      <c r="L106" s="206">
        <f t="shared" si="14"/>
        <v>19.899999999999999</v>
      </c>
      <c r="M106" s="20">
        <f>IFERROR(100/'Skjema total MA'!I106*K106,0)</f>
        <v>10.993980806488613</v>
      </c>
    </row>
    <row r="107" spans="1:13" ht="15.6" x14ac:dyDescent="0.25">
      <c r="A107" s="18" t="s">
        <v>207</v>
      </c>
      <c r="B107" s="181">
        <v>5398</v>
      </c>
      <c r="C107" s="109">
        <v>6923</v>
      </c>
      <c r="D107" s="123">
        <f t="shared" si="11"/>
        <v>28.3</v>
      </c>
      <c r="E107" s="23">
        <f>IFERROR(100/'Skjema total MA'!C107*C107,0)</f>
        <v>0.16923208343403862</v>
      </c>
      <c r="F107" s="181">
        <v>101</v>
      </c>
      <c r="G107" s="109">
        <v>104</v>
      </c>
      <c r="H107" s="123">
        <f t="shared" si="12"/>
        <v>3</v>
      </c>
      <c r="I107" s="23">
        <f>IFERROR(100/'Skjema total MA'!F107*G107,0)</f>
        <v>2.4401531847916529E-2</v>
      </c>
      <c r="J107" s="234">
        <f t="shared" si="23"/>
        <v>5499</v>
      </c>
      <c r="K107" s="36">
        <f t="shared" si="23"/>
        <v>7027</v>
      </c>
      <c r="L107" s="206">
        <f t="shared" si="14"/>
        <v>27.8</v>
      </c>
      <c r="M107" s="23">
        <f>IFERROR(100/'Skjema total MA'!I107*K107,0)</f>
        <v>0.15556666248654247</v>
      </c>
    </row>
    <row r="108" spans="1:13" ht="15.6" x14ac:dyDescent="0.25">
      <c r="A108" s="18" t="s">
        <v>208</v>
      </c>
      <c r="B108" s="181">
        <v>3964501</v>
      </c>
      <c r="C108" s="181">
        <v>3913866</v>
      </c>
      <c r="D108" s="123">
        <f t="shared" si="11"/>
        <v>-1.3</v>
      </c>
      <c r="E108" s="23">
        <f>IFERROR(100/'Skjema total MA'!C108*C108,0)</f>
        <v>1.1766043161752009</v>
      </c>
      <c r="F108" s="181"/>
      <c r="G108" s="181"/>
      <c r="H108" s="123"/>
      <c r="I108" s="23"/>
      <c r="J108" s="234">
        <f t="shared" si="23"/>
        <v>3964501</v>
      </c>
      <c r="K108" s="36">
        <f t="shared" si="23"/>
        <v>3913866</v>
      </c>
      <c r="L108" s="206">
        <f t="shared" si="14"/>
        <v>-1.3</v>
      </c>
      <c r="M108" s="23">
        <f>IFERROR(100/'Skjema total MA'!I108*K108,0)</f>
        <v>1.090962779371268</v>
      </c>
    </row>
    <row r="109" spans="1:13" ht="15.6" x14ac:dyDescent="0.25">
      <c r="A109" s="18" t="s">
        <v>209</v>
      </c>
      <c r="B109" s="181"/>
      <c r="C109" s="181"/>
      <c r="D109" s="123"/>
      <c r="E109" s="23"/>
      <c r="F109" s="181">
        <v>31057953</v>
      </c>
      <c r="G109" s="181">
        <v>38348600</v>
      </c>
      <c r="H109" s="123">
        <f t="shared" si="12"/>
        <v>23.5</v>
      </c>
      <c r="I109" s="23">
        <f>IFERROR(100/'Skjema total MA'!F109*G109,0)</f>
        <v>12.536047366686558</v>
      </c>
      <c r="J109" s="234">
        <f t="shared" si="23"/>
        <v>31057953</v>
      </c>
      <c r="K109" s="36">
        <f t="shared" si="23"/>
        <v>38348600</v>
      </c>
      <c r="L109" s="206">
        <f t="shared" si="14"/>
        <v>23.5</v>
      </c>
      <c r="M109" s="23">
        <f>IFERROR(100/'Skjema total MA'!I109*K109,0)</f>
        <v>12.430528565974177</v>
      </c>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v>119240</v>
      </c>
      <c r="C111" s="118">
        <v>218736</v>
      </c>
      <c r="D111" s="127">
        <f t="shared" si="11"/>
        <v>83.4</v>
      </c>
      <c r="E111" s="8">
        <f>IFERROR(100/'Skjema total MA'!C111*C111,0)</f>
        <v>8.8594264636040698</v>
      </c>
      <c r="F111" s="253">
        <v>9266304</v>
      </c>
      <c r="G111" s="118">
        <v>12481719</v>
      </c>
      <c r="H111" s="127">
        <f t="shared" si="12"/>
        <v>34.700000000000003</v>
      </c>
      <c r="I111" s="8">
        <f>IFERROR(100/'Skjema total MA'!F111*G111,0)</f>
        <v>18.11396873144594</v>
      </c>
      <c r="J111" s="254">
        <f t="shared" si="23"/>
        <v>9385544</v>
      </c>
      <c r="K111" s="183">
        <f t="shared" si="23"/>
        <v>12700455</v>
      </c>
      <c r="L111" s="349">
        <f t="shared" si="14"/>
        <v>35.299999999999997</v>
      </c>
      <c r="M111" s="8">
        <f>IFERROR(100/'Skjema total MA'!I111*K111,0)</f>
        <v>17.793843367779328</v>
      </c>
    </row>
    <row r="112" spans="1:13" x14ac:dyDescent="0.25">
      <c r="A112" s="18" t="s">
        <v>197</v>
      </c>
      <c r="B112" s="181">
        <v>119240</v>
      </c>
      <c r="C112" s="109">
        <v>218736</v>
      </c>
      <c r="D112" s="123">
        <f t="shared" ref="D112:D120" si="32">IF(B112=0, "    ---- ", IF(ABS(ROUND(100/B112*C112-100,1))&lt;999,ROUND(100/B112*C112-100,1),IF(ROUND(100/B112*C112-100,1)&gt;999,999,-999)))</f>
        <v>83.4</v>
      </c>
      <c r="E112" s="23">
        <f>IFERROR(100/'Skjema total MA'!C112*C112,0)</f>
        <v>9.7550630304768475</v>
      </c>
      <c r="F112" s="181"/>
      <c r="G112" s="109"/>
      <c r="H112" s="123"/>
      <c r="I112" s="23"/>
      <c r="J112" s="234">
        <f t="shared" ref="J112:K125" si="33">SUM(B112,F112)</f>
        <v>119240</v>
      </c>
      <c r="K112" s="36">
        <f t="shared" si="33"/>
        <v>218736</v>
      </c>
      <c r="L112" s="206">
        <f t="shared" ref="L112:L125" si="34">IF(J112=0, "    ---- ", IF(ABS(ROUND(100/J112*K112-100,1))&lt;999,ROUND(100/J112*K112-100,1),IF(ROUND(100/J112*K112-100,1)&gt;999,999,-999)))</f>
        <v>83.4</v>
      </c>
      <c r="M112" s="23">
        <f>IFERROR(100/'Skjema total MA'!I112*K112,0)</f>
        <v>9.7218001430884193</v>
      </c>
    </row>
    <row r="113" spans="1:13" x14ac:dyDescent="0.25">
      <c r="A113" s="18" t="s">
        <v>198</v>
      </c>
      <c r="B113" s="181"/>
      <c r="C113" s="109"/>
      <c r="D113" s="123"/>
      <c r="E113" s="23"/>
      <c r="F113" s="181">
        <v>9266304</v>
      </c>
      <c r="G113" s="109">
        <v>12481719</v>
      </c>
      <c r="H113" s="123">
        <f t="shared" ref="H113:H125" si="35">IF(F113=0, "    ---- ", IF(ABS(ROUND(100/F113*G113-100,1))&lt;999,ROUND(100/F113*G113-100,1),IF(ROUND(100/F113*G113-100,1)&gt;999,999,-999)))</f>
        <v>34.700000000000003</v>
      </c>
      <c r="I113" s="23">
        <f>IFERROR(100/'Skjema total MA'!F113*G113,0)</f>
        <v>18.24080403149879</v>
      </c>
      <c r="J113" s="234">
        <f t="shared" si="33"/>
        <v>9266304</v>
      </c>
      <c r="K113" s="36">
        <f t="shared" si="33"/>
        <v>12481719</v>
      </c>
      <c r="L113" s="206">
        <f t="shared" si="34"/>
        <v>34.700000000000003</v>
      </c>
      <c r="M113" s="23">
        <f>IFERROR(100/'Skjema total MA'!I113*K113,0)</f>
        <v>18.230980225159648</v>
      </c>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v>14879</v>
      </c>
      <c r="C116" s="181">
        <v>277</v>
      </c>
      <c r="D116" s="123">
        <f t="shared" si="32"/>
        <v>-98.1</v>
      </c>
      <c r="E116" s="23">
        <f>IFERROR(100/'Skjema total MA'!C116*C116,0)</f>
        <v>2.7212114967927085E-2</v>
      </c>
      <c r="F116" s="181"/>
      <c r="G116" s="181"/>
      <c r="H116" s="123"/>
      <c r="I116" s="23"/>
      <c r="J116" s="234">
        <f t="shared" si="33"/>
        <v>14879</v>
      </c>
      <c r="K116" s="36">
        <f t="shared" si="33"/>
        <v>277</v>
      </c>
      <c r="L116" s="206">
        <f t="shared" si="34"/>
        <v>-98.1</v>
      </c>
      <c r="M116" s="23">
        <f>IFERROR(100/'Skjema total MA'!I116*K116,0)</f>
        <v>2.700855735091523E-2</v>
      </c>
    </row>
    <row r="117" spans="1:13" ht="15.6" x14ac:dyDescent="0.25">
      <c r="A117" s="18" t="s">
        <v>209</v>
      </c>
      <c r="B117" s="181"/>
      <c r="C117" s="181"/>
      <c r="D117" s="123"/>
      <c r="E117" s="23"/>
      <c r="F117" s="181">
        <v>5005189</v>
      </c>
      <c r="G117" s="181">
        <v>6017313</v>
      </c>
      <c r="H117" s="123">
        <f t="shared" si="35"/>
        <v>20.2</v>
      </c>
      <c r="I117" s="23">
        <f>IFERROR(100/'Skjema total MA'!F117*G117,0)</f>
        <v>14.204263372560245</v>
      </c>
      <c r="J117" s="234">
        <f t="shared" si="33"/>
        <v>5005189</v>
      </c>
      <c r="K117" s="36">
        <f t="shared" si="33"/>
        <v>6017313</v>
      </c>
      <c r="L117" s="206">
        <f t="shared" si="34"/>
        <v>20.2</v>
      </c>
      <c r="M117" s="23">
        <f>IFERROR(100/'Skjema total MA'!I117*K117,0)</f>
        <v>14.204263372560245</v>
      </c>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v>47775</v>
      </c>
      <c r="C119" s="118">
        <v>106348</v>
      </c>
      <c r="D119" s="127">
        <f t="shared" si="32"/>
        <v>122.6</v>
      </c>
      <c r="E119" s="8">
        <f>IFERROR(100/'Skjema total MA'!C119*C119,0)</f>
        <v>47.377984838577383</v>
      </c>
      <c r="F119" s="253">
        <v>7930670</v>
      </c>
      <c r="G119" s="118">
        <v>12028096</v>
      </c>
      <c r="H119" s="127">
        <f t="shared" si="35"/>
        <v>51.7</v>
      </c>
      <c r="I119" s="8">
        <f>IFERROR(100/'Skjema total MA'!F119*G119,0)</f>
        <v>16.429225495409199</v>
      </c>
      <c r="J119" s="254">
        <f t="shared" si="33"/>
        <v>7978445</v>
      </c>
      <c r="K119" s="183">
        <f t="shared" si="33"/>
        <v>12134444</v>
      </c>
      <c r="L119" s="349">
        <f t="shared" si="34"/>
        <v>52.1</v>
      </c>
      <c r="M119" s="8">
        <f>IFERROR(100/'Skjema total MA'!I119*K119,0)</f>
        <v>16.523824524433646</v>
      </c>
    </row>
    <row r="120" spans="1:13" x14ac:dyDescent="0.25">
      <c r="A120" s="18" t="s">
        <v>197</v>
      </c>
      <c r="B120" s="181">
        <v>47775</v>
      </c>
      <c r="C120" s="109">
        <v>106348</v>
      </c>
      <c r="D120" s="123">
        <f t="shared" si="32"/>
        <v>122.6</v>
      </c>
      <c r="E120" s="23">
        <f>IFERROR(100/'Skjema total MA'!C120*C120,0)</f>
        <v>-37.928471353741244</v>
      </c>
      <c r="F120" s="181"/>
      <c r="G120" s="109"/>
      <c r="H120" s="123"/>
      <c r="I120" s="23"/>
      <c r="J120" s="234">
        <f t="shared" si="33"/>
        <v>47775</v>
      </c>
      <c r="K120" s="36">
        <f t="shared" si="33"/>
        <v>106348</v>
      </c>
      <c r="L120" s="206">
        <f t="shared" si="34"/>
        <v>122.6</v>
      </c>
      <c r="M120" s="23">
        <f>IFERROR(100/'Skjema total MA'!I120*K120,0)</f>
        <v>-37.928471353741244</v>
      </c>
    </row>
    <row r="121" spans="1:13" x14ac:dyDescent="0.25">
      <c r="A121" s="18" t="s">
        <v>198</v>
      </c>
      <c r="B121" s="181"/>
      <c r="C121" s="109"/>
      <c r="D121" s="123"/>
      <c r="E121" s="23"/>
      <c r="F121" s="181">
        <v>7930670</v>
      </c>
      <c r="G121" s="109">
        <v>12028096</v>
      </c>
      <c r="H121" s="123">
        <f t="shared" si="35"/>
        <v>51.7</v>
      </c>
      <c r="I121" s="23">
        <f>IFERROR(100/'Skjema total MA'!F121*G121,0)</f>
        <v>16.429225495409199</v>
      </c>
      <c r="J121" s="234">
        <f t="shared" si="33"/>
        <v>7930670</v>
      </c>
      <c r="K121" s="36">
        <f t="shared" si="33"/>
        <v>12028096</v>
      </c>
      <c r="L121" s="206">
        <f t="shared" si="34"/>
        <v>51.7</v>
      </c>
      <c r="M121" s="23">
        <f>IFERROR(100/'Skjema total MA'!I121*K121,0)</f>
        <v>16.416683362063235</v>
      </c>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v>3329069</v>
      </c>
      <c r="G125" s="181">
        <v>4038481</v>
      </c>
      <c r="H125" s="123">
        <f t="shared" si="35"/>
        <v>21.3</v>
      </c>
      <c r="I125" s="23">
        <f>IFERROR(100/'Skjema total MA'!F125*G125,0)</f>
        <v>9.8224019948860875</v>
      </c>
      <c r="J125" s="234">
        <f t="shared" si="33"/>
        <v>3329069</v>
      </c>
      <c r="K125" s="36">
        <f t="shared" si="33"/>
        <v>4038481</v>
      </c>
      <c r="L125" s="206">
        <f t="shared" si="34"/>
        <v>21.3</v>
      </c>
      <c r="M125" s="23">
        <f>IFERROR(100/'Skjema total MA'!I125*K125,0)</f>
        <v>9.8218970256562077</v>
      </c>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1170" priority="11">
      <formula>kvartal &lt; 4</formula>
    </cfRule>
  </conditionalFormatting>
  <conditionalFormatting sqref="A80:A85">
    <cfRule type="expression" dxfId="1169" priority="10">
      <formula>kvartal &lt; 4</formula>
    </cfRule>
  </conditionalFormatting>
  <conditionalFormatting sqref="A90:A95">
    <cfRule type="expression" dxfId="1168" priority="7">
      <formula>kvartal &lt; 4</formula>
    </cfRule>
  </conditionalFormatting>
  <conditionalFormatting sqref="A101:A106">
    <cfRule type="expression" dxfId="1167" priority="6">
      <formula>kvartal &lt; 4</formula>
    </cfRule>
  </conditionalFormatting>
  <conditionalFormatting sqref="A50:C52">
    <cfRule type="expression" dxfId="1166" priority="13">
      <formula>kvartal &lt; 4</formula>
    </cfRule>
  </conditionalFormatting>
  <conditionalFormatting sqref="A115:C115">
    <cfRule type="expression" dxfId="1165" priority="5">
      <formula>kvartal &lt; 4</formula>
    </cfRule>
  </conditionalFormatting>
  <conditionalFormatting sqref="A123:C123">
    <cfRule type="expression" dxfId="1164" priority="4">
      <formula>kvartal &lt; 4</formula>
    </cfRule>
  </conditionalFormatting>
  <conditionalFormatting sqref="B69:C69">
    <cfRule type="expression" dxfId="1163" priority="100">
      <formula>kvartal &lt; 4</formula>
    </cfRule>
  </conditionalFormatting>
  <conditionalFormatting sqref="B72:C72">
    <cfRule type="expression" dxfId="1162" priority="98">
      <formula>kvartal &lt; 4</formula>
    </cfRule>
  </conditionalFormatting>
  <conditionalFormatting sqref="B80:C80">
    <cfRule type="expression" dxfId="1161" priority="96">
      <formula>kvartal &lt; 4</formula>
    </cfRule>
  </conditionalFormatting>
  <conditionalFormatting sqref="B83:C83">
    <cfRule type="expression" dxfId="1160" priority="94">
      <formula>kvartal &lt; 4</formula>
    </cfRule>
  </conditionalFormatting>
  <conditionalFormatting sqref="B90:C90">
    <cfRule type="expression" dxfId="1159" priority="84">
      <formula>kvartal &lt; 4</formula>
    </cfRule>
  </conditionalFormatting>
  <conditionalFormatting sqref="B93:C93">
    <cfRule type="expression" dxfId="1158" priority="82">
      <formula>kvartal &lt; 4</formula>
    </cfRule>
  </conditionalFormatting>
  <conditionalFormatting sqref="B101:C101">
    <cfRule type="expression" dxfId="1157" priority="80">
      <formula>kvartal &lt; 4</formula>
    </cfRule>
  </conditionalFormatting>
  <conditionalFormatting sqref="B104:C104">
    <cfRule type="expression" dxfId="1156" priority="78">
      <formula>kvartal &lt; 4</formula>
    </cfRule>
  </conditionalFormatting>
  <conditionalFormatting sqref="F69:G74">
    <cfRule type="expression" dxfId="1155" priority="55">
      <formula>kvartal &lt; 4</formula>
    </cfRule>
  </conditionalFormatting>
  <conditionalFormatting sqref="F80:G85">
    <cfRule type="expression" dxfId="1154" priority="53">
      <formula>kvartal &lt; 4</formula>
    </cfRule>
  </conditionalFormatting>
  <conditionalFormatting sqref="F90:G95">
    <cfRule type="expression" dxfId="1153" priority="45">
      <formula>kvartal &lt; 4</formula>
    </cfRule>
  </conditionalFormatting>
  <conditionalFormatting sqref="F101:G106">
    <cfRule type="expression" dxfId="1152" priority="41">
      <formula>kvartal &lt; 4</formula>
    </cfRule>
  </conditionalFormatting>
  <conditionalFormatting sqref="F115:G115">
    <cfRule type="expression" dxfId="1151" priority="58">
      <formula>kvartal &lt; 4</formula>
    </cfRule>
  </conditionalFormatting>
  <conditionalFormatting sqref="F123:G123">
    <cfRule type="expression" dxfId="1150" priority="57">
      <formula>kvartal &lt; 4</formula>
    </cfRule>
  </conditionalFormatting>
  <conditionalFormatting sqref="J69:K71 J73:K73">
    <cfRule type="expression" dxfId="1149" priority="40">
      <formula>kvartal &lt; 4</formula>
    </cfRule>
  </conditionalFormatting>
  <conditionalFormatting sqref="J80:K82 J84:K84">
    <cfRule type="expression" dxfId="1148" priority="38">
      <formula>kvartal &lt; 4</formula>
    </cfRule>
  </conditionalFormatting>
  <conditionalFormatting sqref="J92:K92 J94:K94">
    <cfRule type="expression" dxfId="1147" priority="35">
      <formula>kvartal &lt; 4</formula>
    </cfRule>
  </conditionalFormatting>
  <conditionalFormatting sqref="J101:K103 J105:K105">
    <cfRule type="expression" dxfId="1146" priority="34">
      <formula>kvartal &lt; 4</formula>
    </cfRule>
  </conditionalFormatting>
  <conditionalFormatting sqref="J115:K115">
    <cfRule type="expression" dxfId="1145" priority="33">
      <formula>kvartal &lt; 4</formula>
    </cfRule>
  </conditionalFormatting>
  <conditionalFormatting sqref="J123:K123">
    <cfRule type="expression" dxfId="1144" priority="32">
      <formula>kvartal &lt; 4</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9"/>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227</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504201.87027304003</v>
      </c>
      <c r="C7" s="252">
        <v>552719.15683254902</v>
      </c>
      <c r="D7" s="288">
        <f>IF(B7=0, "    ---- ", IF(ABS(ROUND(100/B7*C7-100,1))&lt;999,ROUND(100/B7*C7-100,1),IF(ROUND(100/B7*C7-100,1)&gt;999,999,-999)))</f>
        <v>9.6</v>
      </c>
      <c r="E7" s="8">
        <f>IFERROR(100/'Skjema total MA'!C7*C7,0)</f>
        <v>9.4960176011829649</v>
      </c>
      <c r="F7" s="251"/>
      <c r="G7" s="252"/>
      <c r="H7" s="288"/>
      <c r="I7" s="119"/>
      <c r="J7" s="253">
        <f t="shared" ref="J7:K10" si="0">SUM(B7,F7)</f>
        <v>504201.87027304003</v>
      </c>
      <c r="K7" s="254">
        <f t="shared" si="0"/>
        <v>552719.15683254902</v>
      </c>
      <c r="L7" s="348">
        <f>IF(J7=0, "    ---- ", IF(ABS(ROUND(100/J7*K7-100,1))&lt;999,ROUND(100/J7*K7-100,1),IF(ROUND(100/J7*K7-100,1)&gt;999,999,-999)))</f>
        <v>9.6</v>
      </c>
      <c r="M7" s="8">
        <f>IFERROR(100/'Skjema total MA'!I7*K7,0)</f>
        <v>3.0998168462700564</v>
      </c>
    </row>
    <row r="8" spans="1:15" ht="15.6" x14ac:dyDescent="0.25">
      <c r="A8" s="18" t="s">
        <v>169</v>
      </c>
      <c r="B8" s="228">
        <v>393006.160918098</v>
      </c>
      <c r="C8" s="229">
        <v>440982.60988504102</v>
      </c>
      <c r="D8" s="123">
        <f t="shared" ref="D8:D10" si="1">IF(B8=0, "    ---- ", IF(ABS(ROUND(100/B8*C8-100,1))&lt;999,ROUND(100/B8*C8-100,1),IF(ROUND(100/B8*C8-100,1)&gt;999,999,-999)))</f>
        <v>12.2</v>
      </c>
      <c r="E8" s="23">
        <f>IFERROR(100/'Skjema total MA'!C8*C8,0)</f>
        <v>11.210207228005764</v>
      </c>
      <c r="F8" s="232"/>
      <c r="G8" s="233"/>
      <c r="H8" s="123"/>
      <c r="I8" s="132"/>
      <c r="J8" s="181">
        <f t="shared" si="0"/>
        <v>393006.160918098</v>
      </c>
      <c r="K8" s="234">
        <f t="shared" si="0"/>
        <v>440982.60988504102</v>
      </c>
      <c r="L8" s="123">
        <f t="shared" ref="L8:L9" si="2">IF(J8=0, "    ---- ", IF(ABS(ROUND(100/J8*K8-100,1))&lt;999,ROUND(100/J8*K8-100,1),IF(ROUND(100/J8*K8-100,1)&gt;999,999,-999)))</f>
        <v>12.2</v>
      </c>
      <c r="M8" s="23">
        <f>IFERROR(100/'Skjema total MA'!I8*K8,0)</f>
        <v>11.210207228005764</v>
      </c>
    </row>
    <row r="9" spans="1:15" ht="15.6" x14ac:dyDescent="0.25">
      <c r="A9" s="18" t="s">
        <v>170</v>
      </c>
      <c r="B9" s="228">
        <v>111195.709354943</v>
      </c>
      <c r="C9" s="229">
        <v>111736.546947507</v>
      </c>
      <c r="D9" s="123">
        <f t="shared" si="1"/>
        <v>0.5</v>
      </c>
      <c r="E9" s="23">
        <f>IFERROR(100/'Skjema total MA'!C9*C9,0)</f>
        <v>10.332556745361961</v>
      </c>
      <c r="F9" s="232"/>
      <c r="G9" s="233"/>
      <c r="H9" s="123"/>
      <c r="I9" s="132"/>
      <c r="J9" s="181">
        <f t="shared" si="0"/>
        <v>111195.709354943</v>
      </c>
      <c r="K9" s="234">
        <f t="shared" si="0"/>
        <v>111736.546947507</v>
      </c>
      <c r="L9" s="123">
        <f t="shared" si="2"/>
        <v>0.5</v>
      </c>
      <c r="M9" s="23">
        <f>IFERROR(100/'Skjema total MA'!I9*K9,0)</f>
        <v>10.332556745361961</v>
      </c>
    </row>
    <row r="10" spans="1:15" ht="15.6" x14ac:dyDescent="0.25">
      <c r="A10" s="10" t="s">
        <v>171</v>
      </c>
      <c r="B10" s="255">
        <v>629850.56915</v>
      </c>
      <c r="C10" s="256">
        <v>1056749.0176899999</v>
      </c>
      <c r="D10" s="127">
        <f t="shared" si="1"/>
        <v>67.8</v>
      </c>
      <c r="E10" s="8">
        <f>IFERROR(100/'Skjema total MA'!C10*C10,0)</f>
        <v>6.8015969133534702</v>
      </c>
      <c r="F10" s="255"/>
      <c r="G10" s="256"/>
      <c r="H10" s="127"/>
      <c r="I10" s="119"/>
      <c r="J10" s="253">
        <f t="shared" si="0"/>
        <v>629850.56915</v>
      </c>
      <c r="K10" s="254">
        <f t="shared" si="0"/>
        <v>1056749.0176899999</v>
      </c>
      <c r="L10" s="349">
        <f t="shared" ref="L10" si="3">IF(J10=0, "    ---- ", IF(ABS(ROUND(100/J10*K10-100,1))&lt;999,ROUND(100/J10*K10-100,1),IF(ROUND(100/J10*K10-100,1)&gt;999,999,-999)))</f>
        <v>67.8</v>
      </c>
      <c r="M10" s="8">
        <f>IFERROR(100/'Skjema total MA'!I10*K10,0)</f>
        <v>0.84900451397949139</v>
      </c>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v>340742.956156709</v>
      </c>
      <c r="C28" s="234">
        <v>443477.93038878997</v>
      </c>
      <c r="D28" s="123">
        <f t="shared" ref="D28" si="4">IF(B28=0, "    ---- ", IF(ABS(ROUND(100/B28*C28-100,1))&lt;999,ROUND(100/B28*C28-100,1),IF(ROUND(100/B28*C28-100,1)&gt;999,999,-999)))</f>
        <v>30.2</v>
      </c>
      <c r="E28" s="8">
        <f>IFERROR(100/'Skjema total MA'!C28*C28,0)</f>
        <v>13.095292548154283</v>
      </c>
      <c r="F28" s="181"/>
      <c r="G28" s="234"/>
      <c r="H28" s="123"/>
      <c r="I28" s="23"/>
      <c r="J28" s="36">
        <f t="shared" ref="J28:K28" si="5">SUM(B28,F28)</f>
        <v>340742.956156709</v>
      </c>
      <c r="K28" s="36">
        <f t="shared" si="5"/>
        <v>443477.93038878997</v>
      </c>
      <c r="L28" s="206">
        <f t="shared" ref="L28" si="6">IF(J28=0, "    ---- ", IF(ABS(ROUND(100/J28*K28-100,1))&lt;999,ROUND(100/J28*K28-100,1),IF(ROUND(100/J28*K28-100,1)&gt;999,999,-999)))</f>
        <v>30.2</v>
      </c>
      <c r="M28" s="20">
        <f>IFERROR(100/'Skjema total MA'!I28*K28,0)</f>
        <v>13.095292548154283</v>
      </c>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229755.72081999999</v>
      </c>
      <c r="C47" s="256">
        <v>265492.68859999999</v>
      </c>
      <c r="D47" s="348">
        <f t="shared" ref="D47:D57" si="7">IF(B47=0, "    ---- ", IF(ABS(ROUND(100/B47*C47-100,1))&lt;999,ROUND(100/B47*C47-100,1),IF(ROUND(100/B47*C47-100,1)&gt;999,999,-999)))</f>
        <v>15.6</v>
      </c>
      <c r="E47" s="8">
        <f>IFERROR(100/'Skjema total MA'!C47*C47,0)</f>
        <v>3.7081643070504038</v>
      </c>
      <c r="F47" s="109"/>
      <c r="G47" s="27"/>
      <c r="H47" s="118"/>
      <c r="I47" s="118"/>
      <c r="J47" s="31"/>
      <c r="K47" s="31"/>
      <c r="L47" s="118"/>
      <c r="M47" s="118"/>
    </row>
    <row r="48" spans="1:13" ht="15.6" x14ac:dyDescent="0.25">
      <c r="A48" s="18" t="s">
        <v>189</v>
      </c>
      <c r="B48" s="228">
        <v>229755.72081999999</v>
      </c>
      <c r="C48" s="229">
        <v>265492.68859999999</v>
      </c>
      <c r="D48" s="206">
        <f t="shared" si="7"/>
        <v>15.6</v>
      </c>
      <c r="E48" s="23">
        <f>IFERROR(100/'Skjema total MA'!C48*C48,0)</f>
        <v>6.5000845782836771</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v>6980.2266778481398</v>
      </c>
      <c r="C53" s="256">
        <v>1589.4857999999999</v>
      </c>
      <c r="D53" s="349">
        <f t="shared" si="7"/>
        <v>-77.2</v>
      </c>
      <c r="E53" s="8">
        <f>IFERROR(100/'Skjema total MA'!C53*C53,0)</f>
        <v>0.48837618980786573</v>
      </c>
      <c r="F53" s="109"/>
      <c r="G53" s="27"/>
      <c r="H53" s="109"/>
      <c r="I53" s="109"/>
      <c r="J53" s="27"/>
      <c r="K53" s="27"/>
      <c r="L53" s="118"/>
      <c r="M53" s="118"/>
    </row>
    <row r="54" spans="1:13" ht="15.6" x14ac:dyDescent="0.25">
      <c r="A54" s="18" t="s">
        <v>189</v>
      </c>
      <c r="B54" s="228">
        <v>6980.2266778481398</v>
      </c>
      <c r="C54" s="229">
        <v>1589.4857999999999</v>
      </c>
      <c r="D54" s="206">
        <f t="shared" si="7"/>
        <v>-77.2</v>
      </c>
      <c r="E54" s="23">
        <f>IFERROR(100/'Skjema total MA'!C54*C54,0)</f>
        <v>0.49907659047801806</v>
      </c>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v>6401.0619999999999</v>
      </c>
      <c r="C56" s="256">
        <v>1199.6400000000001</v>
      </c>
      <c r="D56" s="349">
        <f t="shared" si="7"/>
        <v>-81.3</v>
      </c>
      <c r="E56" s="8">
        <f>IFERROR(100/'Skjema total MA'!C56*C56,0)</f>
        <v>0.43799558944093275</v>
      </c>
      <c r="F56" s="109"/>
      <c r="G56" s="27"/>
      <c r="H56" s="109"/>
      <c r="I56" s="109"/>
      <c r="J56" s="27"/>
      <c r="K56" s="27"/>
      <c r="L56" s="118"/>
      <c r="M56" s="118"/>
    </row>
    <row r="57" spans="1:13" ht="15.6" x14ac:dyDescent="0.25">
      <c r="A57" s="18" t="s">
        <v>189</v>
      </c>
      <c r="B57" s="228">
        <v>6401.0619999999999</v>
      </c>
      <c r="C57" s="229">
        <v>1199.6400000000001</v>
      </c>
      <c r="D57" s="206">
        <f t="shared" si="7"/>
        <v>-81.3</v>
      </c>
      <c r="E57" s="23">
        <f>IFERROR(100/'Skjema total MA'!C57*C57,0)</f>
        <v>0.55531903952321859</v>
      </c>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1143" priority="10">
      <formula>kvartal &lt; 4</formula>
    </cfRule>
  </conditionalFormatting>
  <conditionalFormatting sqref="A80:A85">
    <cfRule type="expression" dxfId="1142" priority="9">
      <formula>kvartal &lt; 4</formula>
    </cfRule>
  </conditionalFormatting>
  <conditionalFormatting sqref="A90:A95">
    <cfRule type="expression" dxfId="1141" priority="6">
      <formula>kvartal &lt; 4</formula>
    </cfRule>
  </conditionalFormatting>
  <conditionalFormatting sqref="A101:A106">
    <cfRule type="expression" dxfId="1140" priority="5">
      <formula>kvartal &lt; 4</formula>
    </cfRule>
  </conditionalFormatting>
  <conditionalFormatting sqref="A50:C52">
    <cfRule type="expression" dxfId="1139" priority="12">
      <formula>kvartal &lt; 4</formula>
    </cfRule>
  </conditionalFormatting>
  <conditionalFormatting sqref="A115:C115">
    <cfRule type="expression" dxfId="1138" priority="4">
      <formula>kvartal &lt; 4</formula>
    </cfRule>
  </conditionalFormatting>
  <conditionalFormatting sqref="A123:C123">
    <cfRule type="expression" dxfId="1137" priority="3">
      <formula>kvartal &lt; 4</formula>
    </cfRule>
  </conditionalFormatting>
  <conditionalFormatting sqref="B69:C69">
    <cfRule type="expression" dxfId="1136" priority="99">
      <formula>kvartal &lt; 4</formula>
    </cfRule>
  </conditionalFormatting>
  <conditionalFormatting sqref="B72:C72">
    <cfRule type="expression" dxfId="1135" priority="97">
      <formula>kvartal &lt; 4</formula>
    </cfRule>
  </conditionalFormatting>
  <conditionalFormatting sqref="B80:C80">
    <cfRule type="expression" dxfId="1134" priority="95">
      <formula>kvartal &lt; 4</formula>
    </cfRule>
  </conditionalFormatting>
  <conditionalFormatting sqref="B83:C83">
    <cfRule type="expression" dxfId="1133" priority="93">
      <formula>kvartal &lt; 4</formula>
    </cfRule>
  </conditionalFormatting>
  <conditionalFormatting sqref="B90:C90">
    <cfRule type="expression" dxfId="1132" priority="83">
      <formula>kvartal &lt; 4</formula>
    </cfRule>
  </conditionalFormatting>
  <conditionalFormatting sqref="B93:C93">
    <cfRule type="expression" dxfId="1131" priority="81">
      <formula>kvartal &lt; 4</formula>
    </cfRule>
  </conditionalFormatting>
  <conditionalFormatting sqref="B101:C101">
    <cfRule type="expression" dxfId="1130" priority="79">
      <formula>kvartal &lt; 4</formula>
    </cfRule>
  </conditionalFormatting>
  <conditionalFormatting sqref="B104:C104">
    <cfRule type="expression" dxfId="1129" priority="77">
      <formula>kvartal &lt; 4</formula>
    </cfRule>
  </conditionalFormatting>
  <conditionalFormatting sqref="F69:G74">
    <cfRule type="expression" dxfId="1128" priority="54">
      <formula>kvartal &lt; 4</formula>
    </cfRule>
  </conditionalFormatting>
  <conditionalFormatting sqref="F80:G85">
    <cfRule type="expression" dxfId="1127" priority="52">
      <formula>kvartal &lt; 4</formula>
    </cfRule>
  </conditionalFormatting>
  <conditionalFormatting sqref="F90:G95">
    <cfRule type="expression" dxfId="1126" priority="44">
      <formula>kvartal &lt; 4</formula>
    </cfRule>
  </conditionalFormatting>
  <conditionalFormatting sqref="F101:G106">
    <cfRule type="expression" dxfId="1125" priority="40">
      <formula>kvartal &lt; 4</formula>
    </cfRule>
  </conditionalFormatting>
  <conditionalFormatting sqref="F115:G115">
    <cfRule type="expression" dxfId="1124" priority="57">
      <formula>kvartal &lt; 4</formula>
    </cfRule>
  </conditionalFormatting>
  <conditionalFormatting sqref="F123:G123">
    <cfRule type="expression" dxfId="1123" priority="56">
      <formula>kvartal &lt; 4</formula>
    </cfRule>
  </conditionalFormatting>
  <conditionalFormatting sqref="J69:K71 J73:K73">
    <cfRule type="expression" dxfId="1122" priority="39">
      <formula>kvartal &lt; 4</formula>
    </cfRule>
  </conditionalFormatting>
  <conditionalFormatting sqref="J80:K82 J84:K84">
    <cfRule type="expression" dxfId="1121" priority="37">
      <formula>kvartal &lt; 4</formula>
    </cfRule>
  </conditionalFormatting>
  <conditionalFormatting sqref="J92:K92 J94:K94">
    <cfRule type="expression" dxfId="1120" priority="34">
      <formula>kvartal &lt; 4</formula>
    </cfRule>
  </conditionalFormatting>
  <conditionalFormatting sqref="J101:K103 J105:K105">
    <cfRule type="expression" dxfId="1119" priority="33">
      <formula>kvartal &lt; 4</formula>
    </cfRule>
  </conditionalFormatting>
  <conditionalFormatting sqref="J115:K115">
    <cfRule type="expression" dxfId="1118" priority="32">
      <formula>kvartal &lt; 4</formula>
    </cfRule>
  </conditionalFormatting>
  <conditionalFormatting sqref="J123:K123">
    <cfRule type="expression" dxfId="1117" priority="31">
      <formula>kvartal &lt; 4</formula>
    </cfRule>
  </conditionalFormatting>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0"/>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55</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c r="G7" s="252"/>
      <c r="H7" s="288"/>
      <c r="I7" s="119"/>
      <c r="J7" s="253"/>
      <c r="K7" s="254"/>
      <c r="L7" s="348"/>
      <c r="M7" s="8"/>
    </row>
    <row r="8" spans="1:15" ht="15.6" x14ac:dyDescent="0.25">
      <c r="A8" s="18" t="s">
        <v>169</v>
      </c>
      <c r="B8" s="228"/>
      <c r="C8" s="229"/>
      <c r="D8" s="123"/>
      <c r="E8" s="23"/>
      <c r="F8" s="232"/>
      <c r="G8" s="233"/>
      <c r="H8" s="123"/>
      <c r="I8" s="132"/>
      <c r="J8" s="181"/>
      <c r="K8" s="234"/>
      <c r="L8" s="123"/>
      <c r="M8" s="23"/>
    </row>
    <row r="9" spans="1:15" ht="15.6" x14ac:dyDescent="0.25">
      <c r="A9" s="18" t="s">
        <v>170</v>
      </c>
      <c r="B9" s="228"/>
      <c r="C9" s="229"/>
      <c r="D9" s="123"/>
      <c r="E9" s="23"/>
      <c r="F9" s="232"/>
      <c r="G9" s="233"/>
      <c r="H9" s="123"/>
      <c r="I9" s="132"/>
      <c r="J9" s="181"/>
      <c r="K9" s="234"/>
      <c r="L9" s="123"/>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653"/>
      <c r="H45" s="130"/>
      <c r="I45" s="130"/>
      <c r="J45" s="131"/>
      <c r="K45" s="131"/>
      <c r="L45" s="130"/>
      <c r="M45" s="130"/>
    </row>
    <row r="46" spans="1:13" x14ac:dyDescent="0.25">
      <c r="A46" s="737"/>
      <c r="B46" s="192"/>
      <c r="C46" s="192"/>
      <c r="D46" s="193" t="s">
        <v>167</v>
      </c>
      <c r="E46" s="116" t="s">
        <v>89</v>
      </c>
      <c r="F46" s="130"/>
      <c r="G46" s="654"/>
      <c r="H46" s="130"/>
      <c r="I46" s="130"/>
      <c r="J46" s="130"/>
      <c r="K46" s="130"/>
      <c r="L46" s="130"/>
      <c r="M46" s="130"/>
    </row>
    <row r="47" spans="1:13" ht="15.6" x14ac:dyDescent="0.25">
      <c r="A47" s="11" t="s">
        <v>168</v>
      </c>
      <c r="B47" s="255">
        <v>-11.84037</v>
      </c>
      <c r="C47" s="256">
        <v>-101.74073</v>
      </c>
      <c r="D47" s="348">
        <f t="shared" ref="D47" si="0">IF(B47=0, "    ---- ", IF(ABS(ROUND(100/B47*C47-100,1))&lt;999,ROUND(100/B47*C47-100,1),IF(ROUND(100/B47*C47-100,1)&gt;999,999,-999)))</f>
        <v>759.3</v>
      </c>
      <c r="E47" s="8">
        <f>IFERROR(100/'Skjema total MA'!C47*C47,0)</f>
        <v>-1.4210234773269468E-3</v>
      </c>
      <c r="F47" s="109"/>
      <c r="G47" s="115"/>
      <c r="H47" s="118"/>
      <c r="I47" s="118"/>
      <c r="J47" s="31"/>
      <c r="K47" s="31"/>
      <c r="L47" s="118"/>
      <c r="M47" s="118"/>
    </row>
    <row r="48" spans="1:13" ht="15.6" x14ac:dyDescent="0.25">
      <c r="A48" s="18" t="s">
        <v>189</v>
      </c>
      <c r="B48" s="229"/>
      <c r="C48" s="229"/>
      <c r="D48" s="206"/>
      <c r="E48" s="23"/>
      <c r="F48" s="109"/>
      <c r="G48" s="655"/>
      <c r="H48" s="109"/>
      <c r="I48" s="109"/>
      <c r="J48" s="27"/>
      <c r="K48" s="27"/>
      <c r="L48" s="118"/>
      <c r="M48" s="118"/>
    </row>
    <row r="49" spans="1:13" ht="15.6" x14ac:dyDescent="0.25">
      <c r="A49" s="18" t="s">
        <v>190</v>
      </c>
      <c r="B49" s="36">
        <v>-11.84037</v>
      </c>
      <c r="C49" s="234">
        <v>-101.74073</v>
      </c>
      <c r="D49" s="206">
        <f>IF(B49=0, "    ---- ", IF(ABS(ROUND(100/B49*C49-100,1))&lt;999,ROUND(100/B49*C49-100,1),IF(ROUND(100/B49*C49-100,1)&gt;999,999,-999)))</f>
        <v>759.3</v>
      </c>
      <c r="E49" s="23">
        <f>IFERROR(100/'Skjema total MA'!C49*C49,0)</f>
        <v>-3.3083941850072175E-3</v>
      </c>
      <c r="F49" s="109"/>
      <c r="G49" s="27"/>
      <c r="H49" s="109"/>
      <c r="I49" s="109"/>
      <c r="J49" s="31"/>
      <c r="K49" s="31"/>
      <c r="L49" s="118"/>
      <c r="M49" s="118"/>
    </row>
    <row r="50" spans="1:13" x14ac:dyDescent="0.25">
      <c r="A50" s="243" t="s">
        <v>191</v>
      </c>
      <c r="B50" s="228">
        <v>-11.84037</v>
      </c>
      <c r="C50" s="229">
        <v>-101.74073</v>
      </c>
      <c r="D50" s="206">
        <f>IF(B50=0, "    ---- ", IF(ABS(ROUND(100/B50*C50-100,1))&lt;999,ROUND(100/B50*C50-100,1),IF(ROUND(100/B50*C50-100,1)&gt;999,999,-999)))</f>
        <v>759.3</v>
      </c>
      <c r="E50" s="23">
        <f>IFERROR(100/'Skjema total MA'!C50*C50,0)</f>
        <v>100</v>
      </c>
      <c r="F50" s="109"/>
      <c r="G50" s="27"/>
      <c r="H50" s="109"/>
      <c r="I50" s="109"/>
      <c r="J50" s="27"/>
      <c r="K50" s="27"/>
      <c r="L50" s="118"/>
      <c r="M50" s="118"/>
    </row>
    <row r="51" spans="1:13" x14ac:dyDescent="0.25">
      <c r="A51" s="243" t="s">
        <v>192</v>
      </c>
      <c r="B51" s="228"/>
      <c r="C51" s="229"/>
      <c r="D51" s="206"/>
      <c r="E51" s="20"/>
      <c r="F51" s="109"/>
      <c r="G51" s="27"/>
      <c r="H51" s="109"/>
      <c r="I51" s="109"/>
      <c r="J51" s="27"/>
      <c r="K51" s="27"/>
      <c r="L51" s="118"/>
      <c r="M51" s="118"/>
    </row>
    <row r="52" spans="1:13" x14ac:dyDescent="0.25">
      <c r="A52" s="243" t="s">
        <v>193</v>
      </c>
      <c r="B52" s="228"/>
      <c r="C52" s="229"/>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v>60669635.068020001</v>
      </c>
      <c r="C134" s="254">
        <v>64854387.274559997</v>
      </c>
      <c r="D134" s="288">
        <f t="shared" ref="D134:D137" si="1">IF(B134=0, "    ---- ", IF(ABS(ROUND(100/B134*C134-100,1))&lt;999,ROUND(100/B134*C134-100,1),IF(ROUND(100/B134*C134-100,1)&gt;999,999,-999)))</f>
        <v>6.9</v>
      </c>
      <c r="E134" s="8">
        <f>IFERROR(100/'Skjema total MA'!C134*C134,0)</f>
        <v>86.23403396107102</v>
      </c>
      <c r="F134" s="261">
        <v>212249.59526999999</v>
      </c>
      <c r="G134" s="262">
        <v>225395.45800000001</v>
      </c>
      <c r="H134" s="352">
        <f t="shared" ref="H134:H136" si="2">IF(F134=0, "    ---- ", IF(ABS(ROUND(100/F134*G134-100,1))&lt;999,ROUND(100/F134*G134-100,1),IF(ROUND(100/F134*G134-100,1)&gt;999,999,-999)))</f>
        <v>6.2</v>
      </c>
      <c r="I134" s="21">
        <f>IFERROR(100/'Skjema total MA'!F134*G134,0)</f>
        <v>100</v>
      </c>
      <c r="J134" s="263">
        <f t="shared" ref="J134:K137" si="3">SUM(B134,F134)</f>
        <v>60881884.663290001</v>
      </c>
      <c r="K134" s="263">
        <f t="shared" si="3"/>
        <v>65079782.732559994</v>
      </c>
      <c r="L134" s="348">
        <f t="shared" ref="L134:L137" si="4">IF(J134=0, "    ---- ", IF(ABS(ROUND(100/J134*K134-100,1))&lt;999,ROUND(100/J134*K134-100,1),IF(ROUND(100/J134*K134-100,1)&gt;999,999,-999)))</f>
        <v>6.9</v>
      </c>
      <c r="M134" s="8">
        <f>IFERROR(100/'Skjema total MA'!I134*K134,0)</f>
        <v>86.275167073121551</v>
      </c>
    </row>
    <row r="135" spans="1:15" ht="15.6" x14ac:dyDescent="0.25">
      <c r="A135" s="10" t="s">
        <v>224</v>
      </c>
      <c r="B135" s="183">
        <v>799889817.73760998</v>
      </c>
      <c r="C135" s="254">
        <v>867538617.59638</v>
      </c>
      <c r="D135" s="127">
        <f t="shared" si="1"/>
        <v>8.5</v>
      </c>
      <c r="E135" s="8">
        <f>IFERROR(100/'Skjema total MA'!C135*C135,0)</f>
        <v>83.538735219583316</v>
      </c>
      <c r="F135" s="183">
        <v>2886767.1387900002</v>
      </c>
      <c r="G135" s="254">
        <v>3013494.0432199999</v>
      </c>
      <c r="H135" s="353">
        <f t="shared" si="2"/>
        <v>4.4000000000000004</v>
      </c>
      <c r="I135" s="21">
        <f>IFERROR(100/'Skjema total MA'!F135*G135,0)</f>
        <v>100</v>
      </c>
      <c r="J135" s="253">
        <f t="shared" si="3"/>
        <v>802776584.87639999</v>
      </c>
      <c r="K135" s="253">
        <f t="shared" si="3"/>
        <v>870552111.63960004</v>
      </c>
      <c r="L135" s="349">
        <f t="shared" si="4"/>
        <v>8.4</v>
      </c>
      <c r="M135" s="8">
        <f>IFERROR(100/'Skjema total MA'!I135*K135,0)</f>
        <v>83.586364519849738</v>
      </c>
    </row>
    <row r="136" spans="1:15" ht="15.6" x14ac:dyDescent="0.25">
      <c r="A136" s="10" t="s">
        <v>218</v>
      </c>
      <c r="B136" s="183">
        <v>2237.5329999999999</v>
      </c>
      <c r="C136" s="254">
        <v>44341.963000000003</v>
      </c>
      <c r="D136" s="127">
        <f t="shared" si="1"/>
        <v>999</v>
      </c>
      <c r="E136" s="8">
        <f>IFERROR(100/'Skjema total MA'!C136*C136,0)</f>
        <v>1.3387337207932619</v>
      </c>
      <c r="F136" s="183">
        <v>-1022.97</v>
      </c>
      <c r="G136" s="254">
        <v>-3933.2139999999999</v>
      </c>
      <c r="H136" s="353">
        <f t="shared" si="2"/>
        <v>284.5</v>
      </c>
      <c r="I136" s="21">
        <f>IFERROR(100/'Skjema total MA'!F136*G136,0)</f>
        <v>100</v>
      </c>
      <c r="J136" s="253">
        <f t="shared" si="3"/>
        <v>1214.5629999999999</v>
      </c>
      <c r="K136" s="253">
        <f t="shared" si="3"/>
        <v>40408.749000000003</v>
      </c>
      <c r="L136" s="349">
        <f t="shared" si="4"/>
        <v>999</v>
      </c>
      <c r="M136" s="8">
        <f>IFERROR(100/'Skjema total MA'!I136*K136,0)</f>
        <v>1.2214360003444793</v>
      </c>
    </row>
    <row r="137" spans="1:15" ht="15.6" x14ac:dyDescent="0.25">
      <c r="A137" s="33" t="s">
        <v>219</v>
      </c>
      <c r="B137" s="223">
        <v>2422654.6439999999</v>
      </c>
      <c r="C137" s="260">
        <v>4170740.02</v>
      </c>
      <c r="D137" s="125">
        <f t="shared" si="1"/>
        <v>72.2</v>
      </c>
      <c r="E137" s="6">
        <f>IFERROR(100/'Skjema total MA'!C137*C137,0)</f>
        <v>100</v>
      </c>
      <c r="F137" s="223"/>
      <c r="G137" s="260"/>
      <c r="H137" s="354"/>
      <c r="I137" s="30"/>
      <c r="J137" s="259">
        <f t="shared" si="3"/>
        <v>2422654.6439999999</v>
      </c>
      <c r="K137" s="259">
        <f t="shared" si="3"/>
        <v>4170740.02</v>
      </c>
      <c r="L137" s="350">
        <f t="shared" si="4"/>
        <v>72.2</v>
      </c>
      <c r="M137" s="30">
        <f>IFERROR(100/'Skjema total MA'!I137*K137,0)</f>
        <v>100</v>
      </c>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1116" priority="10">
      <formula>kvartal &lt; 4</formula>
    </cfRule>
  </conditionalFormatting>
  <conditionalFormatting sqref="A80:A85">
    <cfRule type="expression" dxfId="1115" priority="9">
      <formula>kvartal &lt; 4</formula>
    </cfRule>
  </conditionalFormatting>
  <conditionalFormatting sqref="A90:A95">
    <cfRule type="expression" dxfId="1114" priority="6">
      <formula>kvartal &lt; 4</formula>
    </cfRule>
  </conditionalFormatting>
  <conditionalFormatting sqref="A101:A106">
    <cfRule type="expression" dxfId="1113" priority="5">
      <formula>kvartal &lt; 4</formula>
    </cfRule>
  </conditionalFormatting>
  <conditionalFormatting sqref="A50:C52">
    <cfRule type="expression" dxfId="1112" priority="12">
      <formula>kvartal &lt; 4</formula>
    </cfRule>
  </conditionalFormatting>
  <conditionalFormatting sqref="A115:C115">
    <cfRule type="expression" dxfId="1111" priority="4">
      <formula>kvartal &lt; 4</formula>
    </cfRule>
  </conditionalFormatting>
  <conditionalFormatting sqref="A123:C123">
    <cfRule type="expression" dxfId="1110" priority="3">
      <formula>kvartal &lt; 4</formula>
    </cfRule>
  </conditionalFormatting>
  <conditionalFormatting sqref="B69:C69">
    <cfRule type="expression" dxfId="1109" priority="99">
      <formula>kvartal &lt; 4</formula>
    </cfRule>
  </conditionalFormatting>
  <conditionalFormatting sqref="B72:C72">
    <cfRule type="expression" dxfId="1108" priority="97">
      <formula>kvartal &lt; 4</formula>
    </cfRule>
  </conditionalFormatting>
  <conditionalFormatting sqref="B80:C80">
    <cfRule type="expression" dxfId="1107" priority="95">
      <formula>kvartal &lt; 4</formula>
    </cfRule>
  </conditionalFormatting>
  <conditionalFormatting sqref="B83:C83">
    <cfRule type="expression" dxfId="1106" priority="93">
      <formula>kvartal &lt; 4</formula>
    </cfRule>
  </conditionalFormatting>
  <conditionalFormatting sqref="B90:C90">
    <cfRule type="expression" dxfId="1105" priority="83">
      <formula>kvartal &lt; 4</formula>
    </cfRule>
  </conditionalFormatting>
  <conditionalFormatting sqref="B93:C93">
    <cfRule type="expression" dxfId="1104" priority="81">
      <formula>kvartal &lt; 4</formula>
    </cfRule>
  </conditionalFormatting>
  <conditionalFormatting sqref="B101:C101">
    <cfRule type="expression" dxfId="1103" priority="79">
      <formula>kvartal &lt; 4</formula>
    </cfRule>
  </conditionalFormatting>
  <conditionalFormatting sqref="B104:C104">
    <cfRule type="expression" dxfId="1102" priority="77">
      <formula>kvartal &lt; 4</formula>
    </cfRule>
  </conditionalFormatting>
  <conditionalFormatting sqref="F69:G74">
    <cfRule type="expression" dxfId="1101" priority="54">
      <formula>kvartal &lt; 4</formula>
    </cfRule>
  </conditionalFormatting>
  <conditionalFormatting sqref="F80:G85">
    <cfRule type="expression" dxfId="1100" priority="52">
      <formula>kvartal &lt; 4</formula>
    </cfRule>
  </conditionalFormatting>
  <conditionalFormatting sqref="F90:G95">
    <cfRule type="expression" dxfId="1099" priority="44">
      <formula>kvartal &lt; 4</formula>
    </cfRule>
  </conditionalFormatting>
  <conditionalFormatting sqref="F101:G106">
    <cfRule type="expression" dxfId="1098" priority="40">
      <formula>kvartal &lt; 4</formula>
    </cfRule>
  </conditionalFormatting>
  <conditionalFormatting sqref="F115:G115">
    <cfRule type="expression" dxfId="1097" priority="57">
      <formula>kvartal &lt; 4</formula>
    </cfRule>
  </conditionalFormatting>
  <conditionalFormatting sqref="F123:G123">
    <cfRule type="expression" dxfId="1096" priority="56">
      <formula>kvartal &lt; 4</formula>
    </cfRule>
  </conditionalFormatting>
  <conditionalFormatting sqref="J69:K71 J73:K73">
    <cfRule type="expression" dxfId="1095" priority="39">
      <formula>kvartal &lt; 4</formula>
    </cfRule>
  </conditionalFormatting>
  <conditionalFormatting sqref="J80:K82 J84:K84">
    <cfRule type="expression" dxfId="1094" priority="37">
      <formula>kvartal &lt; 4</formula>
    </cfRule>
  </conditionalFormatting>
  <conditionalFormatting sqref="J92:K92 J94:K94">
    <cfRule type="expression" dxfId="1093" priority="34">
      <formula>kvartal &lt; 4</formula>
    </cfRule>
  </conditionalFormatting>
  <conditionalFormatting sqref="J101:K103 J105:K105">
    <cfRule type="expression" dxfId="1092" priority="33">
      <formula>kvartal &lt; 4</formula>
    </cfRule>
  </conditionalFormatting>
  <conditionalFormatting sqref="J115:K115">
    <cfRule type="expression" dxfId="1091" priority="32">
      <formula>kvartal &lt; 4</formula>
    </cfRule>
  </conditionalFormatting>
  <conditionalFormatting sqref="J123:K123">
    <cfRule type="expression" dxfId="1090" priority="31">
      <formula>kvartal &lt; 4</formula>
    </cfRule>
  </conditionalFormatting>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2"/>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228</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40281.127</v>
      </c>
      <c r="C7" s="252">
        <v>45380</v>
      </c>
      <c r="D7" s="288">
        <f>IF(B7=0, "    ---- ", IF(ABS(ROUND(100/B7*C7-100,1))&lt;999,ROUND(100/B7*C7-100,1),IF(ROUND(100/B7*C7-100,1)&gt;999,999,-999)))</f>
        <v>12.7</v>
      </c>
      <c r="E7" s="8">
        <f>IFERROR(100/'Skjema total MA'!C7*C7,0)</f>
        <v>0.77965323512793794</v>
      </c>
      <c r="F7" s="251"/>
      <c r="G7" s="252"/>
      <c r="H7" s="288"/>
      <c r="I7" s="119"/>
      <c r="J7" s="253">
        <f t="shared" ref="J7:K10" si="0">SUM(B7,F7)</f>
        <v>40281.127</v>
      </c>
      <c r="K7" s="254">
        <f t="shared" si="0"/>
        <v>45380</v>
      </c>
      <c r="L7" s="348">
        <f>IF(J7=0, "    ---- ", IF(ABS(ROUND(100/J7*K7-100,1))&lt;999,ROUND(100/J7*K7-100,1),IF(ROUND(100/J7*K7-100,1)&gt;999,999,-999)))</f>
        <v>12.7</v>
      </c>
      <c r="M7" s="8">
        <f>IFERROR(100/'Skjema total MA'!I7*K7,0)</f>
        <v>0.25450481812475378</v>
      </c>
    </row>
    <row r="8" spans="1:15" ht="15.6" x14ac:dyDescent="0.25">
      <c r="A8" s="18" t="s">
        <v>169</v>
      </c>
      <c r="B8" s="228">
        <v>38666.915000000001</v>
      </c>
      <c r="C8" s="229">
        <v>43551</v>
      </c>
      <c r="D8" s="123">
        <f t="shared" ref="D8:D10" si="1">IF(B8=0, "    ---- ", IF(ABS(ROUND(100/B8*C8-100,1))&lt;999,ROUND(100/B8*C8-100,1),IF(ROUND(100/B8*C8-100,1)&gt;999,999,-999)))</f>
        <v>12.6</v>
      </c>
      <c r="E8" s="23">
        <f>IFERROR(100/'Skjema total MA'!C8*C8,0)</f>
        <v>1.1071088157289266</v>
      </c>
      <c r="F8" s="232"/>
      <c r="G8" s="233"/>
      <c r="H8" s="123"/>
      <c r="I8" s="132"/>
      <c r="J8" s="181">
        <f t="shared" si="0"/>
        <v>38666.915000000001</v>
      </c>
      <c r="K8" s="234">
        <f t="shared" si="0"/>
        <v>43551</v>
      </c>
      <c r="L8" s="123">
        <f t="shared" ref="L8:L9" si="2">IF(J8=0, "    ---- ", IF(ABS(ROUND(100/J8*K8-100,1))&lt;999,ROUND(100/J8*K8-100,1),IF(ROUND(100/J8*K8-100,1)&gt;999,999,-999)))</f>
        <v>12.6</v>
      </c>
      <c r="M8" s="23">
        <f>IFERROR(100/'Skjema total MA'!I8*K8,0)</f>
        <v>1.1071088157289266</v>
      </c>
    </row>
    <row r="9" spans="1:15" ht="15.6" x14ac:dyDescent="0.25">
      <c r="A9" s="18" t="s">
        <v>170</v>
      </c>
      <c r="B9" s="228">
        <v>1614.212</v>
      </c>
      <c r="C9" s="229">
        <v>1829</v>
      </c>
      <c r="D9" s="123">
        <f t="shared" si="1"/>
        <v>13.3</v>
      </c>
      <c r="E9" s="23">
        <f>IFERROR(100/'Skjema total MA'!C9*C9,0)</f>
        <v>0.16913218462125271</v>
      </c>
      <c r="F9" s="232"/>
      <c r="G9" s="233"/>
      <c r="H9" s="123"/>
      <c r="I9" s="132"/>
      <c r="J9" s="181">
        <f t="shared" si="0"/>
        <v>1614.212</v>
      </c>
      <c r="K9" s="234">
        <f t="shared" si="0"/>
        <v>1829</v>
      </c>
      <c r="L9" s="123">
        <f t="shared" si="2"/>
        <v>13.3</v>
      </c>
      <c r="M9" s="23">
        <f>IFERROR(100/'Skjema total MA'!I9*K9,0)</f>
        <v>0.16913218462125271</v>
      </c>
    </row>
    <row r="10" spans="1:15" ht="15.6" x14ac:dyDescent="0.25">
      <c r="A10" s="10" t="s">
        <v>171</v>
      </c>
      <c r="B10" s="255">
        <v>27212.107</v>
      </c>
      <c r="C10" s="256">
        <v>35984</v>
      </c>
      <c r="D10" s="127">
        <f t="shared" si="1"/>
        <v>32.200000000000003</v>
      </c>
      <c r="E10" s="8">
        <f>IFERROR(100/'Skjema total MA'!C10*C10,0)</f>
        <v>0.23160529059692861</v>
      </c>
      <c r="F10" s="255"/>
      <c r="G10" s="256"/>
      <c r="H10" s="127"/>
      <c r="I10" s="119"/>
      <c r="J10" s="253">
        <f t="shared" si="0"/>
        <v>27212.107</v>
      </c>
      <c r="K10" s="254">
        <f t="shared" si="0"/>
        <v>35984</v>
      </c>
      <c r="L10" s="349">
        <f t="shared" ref="L10" si="3">IF(J10=0, "    ---- ", IF(ABS(ROUND(100/J10*K10-100,1))&lt;999,ROUND(100/J10*K10-100,1),IF(ROUND(100/J10*K10-100,1)&gt;999,999,-999)))</f>
        <v>32.200000000000003</v>
      </c>
      <c r="M10" s="8">
        <f>IFERROR(100/'Skjema total MA'!I10*K10,0)</f>
        <v>2.8909966245173373E-2</v>
      </c>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v>38222.427000000003</v>
      </c>
      <c r="C22" s="255">
        <v>45894</v>
      </c>
      <c r="D22" s="288">
        <f t="shared" ref="D22:D29" si="4">IF(B22=0, "    ---- ", IF(ABS(ROUND(100/B22*C22-100,1))&lt;999,ROUND(100/B22*C22-100,1),IF(ROUND(100/B22*C22-100,1)&gt;999,999,-999)))</f>
        <v>20.100000000000001</v>
      </c>
      <c r="E22" s="8">
        <f>IFERROR(100/'Skjema total MA'!C22*C22,0)</f>
        <v>1.7081186495126679</v>
      </c>
      <c r="F22" s="263"/>
      <c r="G22" s="263"/>
      <c r="H22" s="288"/>
      <c r="I22" s="8"/>
      <c r="J22" s="261">
        <f t="shared" ref="J22:K29" si="5">SUM(B22,F22)</f>
        <v>38222.427000000003</v>
      </c>
      <c r="K22" s="261">
        <f t="shared" si="5"/>
        <v>45894</v>
      </c>
      <c r="L22" s="348">
        <f t="shared" ref="L22:L29" si="6">IF(J22=0, "    ---- ", IF(ABS(ROUND(100/J22*K22-100,1))&lt;999,ROUND(100/J22*K22-100,1),IF(ROUND(100/J22*K22-100,1)&gt;999,999,-999)))</f>
        <v>20.100000000000001</v>
      </c>
      <c r="M22" s="21">
        <f>IFERROR(100/'Skjema total MA'!I22*K22,0)</f>
        <v>1.1879507097636082</v>
      </c>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v>38222.427000000003</v>
      </c>
      <c r="C28" s="234">
        <v>45894</v>
      </c>
      <c r="D28" s="123">
        <f t="shared" si="4"/>
        <v>20.100000000000001</v>
      </c>
      <c r="E28" s="8">
        <f>IFERROR(100/'Skjema total MA'!C28*C28,0)</f>
        <v>1.3551866170163411</v>
      </c>
      <c r="F28" s="181"/>
      <c r="G28" s="234"/>
      <c r="H28" s="123"/>
      <c r="I28" s="23"/>
      <c r="J28" s="36">
        <f t="shared" si="5"/>
        <v>38222.427000000003</v>
      </c>
      <c r="K28" s="36">
        <f t="shared" si="5"/>
        <v>45894</v>
      </c>
      <c r="L28" s="206">
        <f t="shared" si="6"/>
        <v>20.100000000000001</v>
      </c>
      <c r="M28" s="20">
        <f>IFERROR(100/'Skjema total MA'!I28*K28,0)</f>
        <v>1.3551866170163411</v>
      </c>
    </row>
    <row r="29" spans="1:13" ht="15.6" x14ac:dyDescent="0.25">
      <c r="A29" s="10" t="s">
        <v>171</v>
      </c>
      <c r="B29" s="183">
        <v>142878.58499999999</v>
      </c>
      <c r="C29" s="183">
        <v>225981</v>
      </c>
      <c r="D29" s="127">
        <f t="shared" si="4"/>
        <v>58.2</v>
      </c>
      <c r="E29" s="8">
        <f>IFERROR(100/'Skjema total MA'!C29*C29,0)</f>
        <v>0.51231831349086632</v>
      </c>
      <c r="F29" s="253"/>
      <c r="G29" s="253"/>
      <c r="H29" s="127"/>
      <c r="I29" s="8"/>
      <c r="J29" s="183">
        <f t="shared" si="5"/>
        <v>142878.58499999999</v>
      </c>
      <c r="K29" s="183">
        <f t="shared" si="5"/>
        <v>225981</v>
      </c>
      <c r="L29" s="349">
        <f t="shared" si="6"/>
        <v>58.2</v>
      </c>
      <c r="M29" s="21">
        <f>IFERROR(100/'Skjema total MA'!I29*K29,0)</f>
        <v>0.29719427161005685</v>
      </c>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311518.71999999997</v>
      </c>
      <c r="C47" s="256">
        <v>333068</v>
      </c>
      <c r="D47" s="348">
        <f t="shared" ref="D47:D48" si="7">IF(B47=0, "    ---- ", IF(ABS(ROUND(100/B47*C47-100,1))&lt;999,ROUND(100/B47*C47-100,1),IF(ROUND(100/B47*C47-100,1)&gt;999,999,-999)))</f>
        <v>6.9</v>
      </c>
      <c r="E47" s="8">
        <f>IFERROR(100/'Skjema total MA'!C47*C47,0)</f>
        <v>4.6519957891626245</v>
      </c>
      <c r="F47" s="109"/>
      <c r="G47" s="27"/>
      <c r="H47" s="118"/>
      <c r="I47" s="118"/>
      <c r="J47" s="31"/>
      <c r="K47" s="31"/>
      <c r="L47" s="118"/>
      <c r="M47" s="118"/>
    </row>
    <row r="48" spans="1:13" ht="15.6" x14ac:dyDescent="0.25">
      <c r="A48" s="18" t="s">
        <v>189</v>
      </c>
      <c r="B48" s="228">
        <v>311518.71999999997</v>
      </c>
      <c r="C48" s="229">
        <v>333068</v>
      </c>
      <c r="D48" s="206">
        <f t="shared" si="7"/>
        <v>6.9</v>
      </c>
      <c r="E48" s="23">
        <f>IFERROR(100/'Skjema total MA'!C48*C48,0)</f>
        <v>8.1545378207442951</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1089" priority="10">
      <formula>kvartal &lt; 4</formula>
    </cfRule>
  </conditionalFormatting>
  <conditionalFormatting sqref="A80:A85">
    <cfRule type="expression" dxfId="1088" priority="9">
      <formula>kvartal &lt; 4</formula>
    </cfRule>
  </conditionalFormatting>
  <conditionalFormatting sqref="A90:A95">
    <cfRule type="expression" dxfId="1087" priority="6">
      <formula>kvartal &lt; 4</formula>
    </cfRule>
  </conditionalFormatting>
  <conditionalFormatting sqref="A101:A106">
    <cfRule type="expression" dxfId="1086" priority="5">
      <formula>kvartal &lt; 4</formula>
    </cfRule>
  </conditionalFormatting>
  <conditionalFormatting sqref="A50:C52">
    <cfRule type="expression" dxfId="1085" priority="12">
      <formula>kvartal &lt; 4</formula>
    </cfRule>
  </conditionalFormatting>
  <conditionalFormatting sqref="A115:C115">
    <cfRule type="expression" dxfId="1084" priority="4">
      <formula>kvartal &lt; 4</formula>
    </cfRule>
  </conditionalFormatting>
  <conditionalFormatting sqref="A123:C123">
    <cfRule type="expression" dxfId="1083" priority="3">
      <formula>kvartal &lt; 4</formula>
    </cfRule>
  </conditionalFormatting>
  <conditionalFormatting sqref="B69:C69">
    <cfRule type="expression" dxfId="1082" priority="99">
      <formula>kvartal &lt; 4</formula>
    </cfRule>
  </conditionalFormatting>
  <conditionalFormatting sqref="B72:C72">
    <cfRule type="expression" dxfId="1081" priority="97">
      <formula>kvartal &lt; 4</formula>
    </cfRule>
  </conditionalFormatting>
  <conditionalFormatting sqref="B80:C80">
    <cfRule type="expression" dxfId="1080" priority="95">
      <formula>kvartal &lt; 4</formula>
    </cfRule>
  </conditionalFormatting>
  <conditionalFormatting sqref="B83:C83">
    <cfRule type="expression" dxfId="1079" priority="93">
      <formula>kvartal &lt; 4</formula>
    </cfRule>
  </conditionalFormatting>
  <conditionalFormatting sqref="B90:C90">
    <cfRule type="expression" dxfId="1078" priority="83">
      <formula>kvartal &lt; 4</formula>
    </cfRule>
  </conditionalFormatting>
  <conditionalFormatting sqref="B93:C93">
    <cfRule type="expression" dxfId="1077" priority="81">
      <formula>kvartal &lt; 4</formula>
    </cfRule>
  </conditionalFormatting>
  <conditionalFormatting sqref="B101:C101">
    <cfRule type="expression" dxfId="1076" priority="79">
      <formula>kvartal &lt; 4</formula>
    </cfRule>
  </conditionalFormatting>
  <conditionalFormatting sqref="B104:C104">
    <cfRule type="expression" dxfId="1075" priority="77">
      <formula>kvartal &lt; 4</formula>
    </cfRule>
  </conditionalFormatting>
  <conditionalFormatting sqref="F69:G74">
    <cfRule type="expression" dxfId="1074" priority="54">
      <formula>kvartal &lt; 4</formula>
    </cfRule>
  </conditionalFormatting>
  <conditionalFormatting sqref="F80:G85">
    <cfRule type="expression" dxfId="1073" priority="52">
      <formula>kvartal &lt; 4</formula>
    </cfRule>
  </conditionalFormatting>
  <conditionalFormatting sqref="F90:G95">
    <cfRule type="expression" dxfId="1072" priority="44">
      <formula>kvartal &lt; 4</formula>
    </cfRule>
  </conditionalFormatting>
  <conditionalFormatting sqref="F101:G106">
    <cfRule type="expression" dxfId="1071" priority="40">
      <formula>kvartal &lt; 4</formula>
    </cfRule>
  </conditionalFormatting>
  <conditionalFormatting sqref="F115:G115">
    <cfRule type="expression" dxfId="1070" priority="57">
      <formula>kvartal &lt; 4</formula>
    </cfRule>
  </conditionalFormatting>
  <conditionalFormatting sqref="F123:G123">
    <cfRule type="expression" dxfId="1069" priority="56">
      <formula>kvartal &lt; 4</formula>
    </cfRule>
  </conditionalFormatting>
  <conditionalFormatting sqref="J69:K71 J73:K73">
    <cfRule type="expression" dxfId="1068" priority="39">
      <formula>kvartal &lt; 4</formula>
    </cfRule>
  </conditionalFormatting>
  <conditionalFormatting sqref="J80:K82 J84:K84">
    <cfRule type="expression" dxfId="1067" priority="37">
      <formula>kvartal &lt; 4</formula>
    </cfRule>
  </conditionalFormatting>
  <conditionalFormatting sqref="J92:K92 J94:K94">
    <cfRule type="expression" dxfId="1066" priority="34">
      <formula>kvartal &lt; 4</formula>
    </cfRule>
  </conditionalFormatting>
  <conditionalFormatting sqref="J101:K103 J105:K105">
    <cfRule type="expression" dxfId="1065" priority="33">
      <formula>kvartal &lt; 4</formula>
    </cfRule>
  </conditionalFormatting>
  <conditionalFormatting sqref="J115:K115">
    <cfRule type="expression" dxfId="1064" priority="32">
      <formula>kvartal &lt; 4</formula>
    </cfRule>
  </conditionalFormatting>
  <conditionalFormatting sqref="J123:K123">
    <cfRule type="expression" dxfId="1063" priority="31">
      <formula>kvartal &lt; 4</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2C72C-4223-43EB-9734-94FDC1E0B514}">
  <sheetPr codeName="Ark18"/>
  <dimension ref="A1:O144"/>
  <sheetViews>
    <sheetView showGridLines="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105</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17874</v>
      </c>
      <c r="C7" s="252">
        <v>18547</v>
      </c>
      <c r="D7" s="288">
        <f>IF(B7=0, "    ---- ", IF(ABS(ROUND(100/B7*C7-100,1))&lt;999,ROUND(100/B7*C7-100,1),IF(ROUND(100/B7*C7-100,1)&gt;999,999,-999)))</f>
        <v>3.8</v>
      </c>
      <c r="E7" s="8">
        <f>IFERROR(100/'Skjema total MA'!C7*C7,0)</f>
        <v>0.31864761022295868</v>
      </c>
      <c r="F7" s="251"/>
      <c r="G7" s="252"/>
      <c r="H7" s="288"/>
      <c r="I7" s="119"/>
      <c r="J7" s="253">
        <f t="shared" ref="J7:K10" si="0">SUM(B7,F7)</f>
        <v>17874</v>
      </c>
      <c r="K7" s="254">
        <f t="shared" si="0"/>
        <v>18547</v>
      </c>
      <c r="L7" s="348">
        <f>IF(J7=0, "    ---- ", IF(ABS(ROUND(100/J7*K7-100,1))&lt;999,ROUND(100/J7*K7-100,1),IF(ROUND(100/J7*K7-100,1)&gt;999,999,-999)))</f>
        <v>3.8</v>
      </c>
      <c r="M7" s="8">
        <f>IFERROR(100/'Skjema total MA'!I7*K7,0)</f>
        <v>0.10401720717848852</v>
      </c>
    </row>
    <row r="8" spans="1:15" ht="15.6" x14ac:dyDescent="0.25">
      <c r="A8" s="18" t="s">
        <v>169</v>
      </c>
      <c r="B8" s="228"/>
      <c r="C8" s="229"/>
      <c r="D8" s="123"/>
      <c r="E8" s="23"/>
      <c r="F8" s="232"/>
      <c r="G8" s="233"/>
      <c r="H8" s="123"/>
      <c r="I8" s="132"/>
      <c r="J8" s="181"/>
      <c r="K8" s="234"/>
      <c r="L8" s="123"/>
      <c r="M8" s="23"/>
    </row>
    <row r="9" spans="1:15" ht="15.6" x14ac:dyDescent="0.25">
      <c r="A9" s="18" t="s">
        <v>170</v>
      </c>
      <c r="B9" s="228">
        <v>17874</v>
      </c>
      <c r="C9" s="229">
        <v>18547</v>
      </c>
      <c r="D9" s="123">
        <f t="shared" ref="D9:D10" si="1">IF(B9=0, "    ---- ", IF(ABS(ROUND(100/B9*C9-100,1))&lt;999,ROUND(100/B9*C9-100,1),IF(ROUND(100/B9*C9-100,1)&gt;999,999,-999)))</f>
        <v>3.8</v>
      </c>
      <c r="E9" s="23">
        <f>IFERROR(100/'Skjema total MA'!C9*C9,0)</f>
        <v>1.715087276200314</v>
      </c>
      <c r="F9" s="232"/>
      <c r="G9" s="233"/>
      <c r="H9" s="123"/>
      <c r="I9" s="132"/>
      <c r="J9" s="181">
        <f t="shared" si="0"/>
        <v>17874</v>
      </c>
      <c r="K9" s="234">
        <f t="shared" si="0"/>
        <v>18547</v>
      </c>
      <c r="L9" s="123">
        <f t="shared" ref="L9:L10" si="2">IF(J9=0, "    ---- ", IF(ABS(ROUND(100/J9*K9-100,1))&lt;999,ROUND(100/J9*K9-100,1),IF(ROUND(100/J9*K9-100,1)&gt;999,999,-999)))</f>
        <v>3.8</v>
      </c>
      <c r="M9" s="23">
        <f>IFERROR(100/'Skjema total MA'!I9*K9,0)</f>
        <v>1.715087276200314</v>
      </c>
    </row>
    <row r="10" spans="1:15" ht="15.6" x14ac:dyDescent="0.25">
      <c r="A10" s="10" t="s">
        <v>171</v>
      </c>
      <c r="B10" s="255">
        <v>12104</v>
      </c>
      <c r="C10" s="256">
        <v>10968</v>
      </c>
      <c r="D10" s="127">
        <f t="shared" si="1"/>
        <v>-9.4</v>
      </c>
      <c r="E10" s="8">
        <f>IFERROR(100/'Skjema total MA'!C10*C10,0)</f>
        <v>7.0593786884924209E-2</v>
      </c>
      <c r="F10" s="255"/>
      <c r="G10" s="256"/>
      <c r="H10" s="127"/>
      <c r="I10" s="119"/>
      <c r="J10" s="253">
        <f t="shared" si="0"/>
        <v>12104</v>
      </c>
      <c r="K10" s="254">
        <f t="shared" si="0"/>
        <v>10968</v>
      </c>
      <c r="L10" s="349">
        <f t="shared" si="2"/>
        <v>-9.4</v>
      </c>
      <c r="M10" s="8">
        <f>IFERROR(100/'Skjema total MA'!I10*K10,0)</f>
        <v>8.8118194135466191E-3</v>
      </c>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30029</v>
      </c>
      <c r="C47" s="256">
        <v>34113</v>
      </c>
      <c r="D47" s="348">
        <f t="shared" ref="D47:D48" si="3">IF(B47=0, "    ---- ", IF(ABS(ROUND(100/B47*C47-100,1))&lt;999,ROUND(100/B47*C47-100,1),IF(ROUND(100/B47*C47-100,1)&gt;999,999,-999)))</f>
        <v>13.6</v>
      </c>
      <c r="E47" s="8">
        <f>IFERROR(100/'Skjema total MA'!C47*C47,0)</f>
        <v>0.47645985911496935</v>
      </c>
      <c r="F47" s="109"/>
      <c r="G47" s="27"/>
      <c r="H47" s="118"/>
      <c r="I47" s="118"/>
      <c r="J47" s="31"/>
      <c r="K47" s="31"/>
      <c r="L47" s="118"/>
      <c r="M47" s="118"/>
    </row>
    <row r="48" spans="1:13" ht="15.6" x14ac:dyDescent="0.25">
      <c r="A48" s="18" t="s">
        <v>189</v>
      </c>
      <c r="B48" s="228">
        <v>30029</v>
      </c>
      <c r="C48" s="229">
        <v>34113</v>
      </c>
      <c r="D48" s="206">
        <f t="shared" si="3"/>
        <v>13.6</v>
      </c>
      <c r="E48" s="23">
        <f>IFERROR(100/'Skjema total MA'!C48*C48,0)</f>
        <v>0.83519205891604764</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69:A74">
    <cfRule type="expression" dxfId="1062" priority="6">
      <formula>kvartal &lt; 4</formula>
    </cfRule>
  </conditionalFormatting>
  <conditionalFormatting sqref="A80:A85">
    <cfRule type="expression" dxfId="1061" priority="5">
      <formula>kvartal &lt; 4</formula>
    </cfRule>
  </conditionalFormatting>
  <conditionalFormatting sqref="A90:A95">
    <cfRule type="expression" dxfId="1060" priority="4">
      <formula>kvartal &lt; 4</formula>
    </cfRule>
  </conditionalFormatting>
  <conditionalFormatting sqref="A101:A106">
    <cfRule type="expression" dxfId="1059" priority="3">
      <formula>kvartal &lt; 4</formula>
    </cfRule>
  </conditionalFormatting>
  <conditionalFormatting sqref="A50:C52">
    <cfRule type="expression" dxfId="1058" priority="7">
      <formula>kvartal &lt; 4</formula>
    </cfRule>
  </conditionalFormatting>
  <conditionalFormatting sqref="A115:C115">
    <cfRule type="expression" dxfId="1057" priority="2">
      <formula>kvartal &lt; 4</formula>
    </cfRule>
  </conditionalFormatting>
  <conditionalFormatting sqref="A123:C123">
    <cfRule type="expression" dxfId="1056" priority="1">
      <formula>kvartal &lt; 4</formula>
    </cfRule>
  </conditionalFormatting>
  <conditionalFormatting sqref="B69:C69">
    <cfRule type="expression" dxfId="1055" priority="57">
      <formula>kvartal &lt; 4</formula>
    </cfRule>
  </conditionalFormatting>
  <conditionalFormatting sqref="B72:C72">
    <cfRule type="expression" dxfId="1054" priority="55">
      <formula>kvartal &lt; 4</formula>
    </cfRule>
  </conditionalFormatting>
  <conditionalFormatting sqref="B80:C80">
    <cfRule type="expression" dxfId="1053" priority="53">
      <formula>kvartal &lt; 4</formula>
    </cfRule>
  </conditionalFormatting>
  <conditionalFormatting sqref="B83:C83">
    <cfRule type="expression" dxfId="1052" priority="51">
      <formula>kvartal &lt; 4</formula>
    </cfRule>
  </conditionalFormatting>
  <conditionalFormatting sqref="B90:C90">
    <cfRule type="expression" dxfId="1051" priority="49">
      <formula>kvartal &lt; 4</formula>
    </cfRule>
  </conditionalFormatting>
  <conditionalFormatting sqref="B93:C93">
    <cfRule type="expression" dxfId="1050" priority="47">
      <formula>kvartal &lt; 4</formula>
    </cfRule>
  </conditionalFormatting>
  <conditionalFormatting sqref="B101:C101">
    <cfRule type="expression" dxfId="1049" priority="45">
      <formula>kvartal &lt; 4</formula>
    </cfRule>
  </conditionalFormatting>
  <conditionalFormatting sqref="B104:C104">
    <cfRule type="expression" dxfId="1048" priority="43">
      <formula>kvartal &lt; 4</formula>
    </cfRule>
  </conditionalFormatting>
  <conditionalFormatting sqref="F69:G74">
    <cfRule type="expression" dxfId="1047" priority="24">
      <formula>kvartal &lt; 4</formula>
    </cfRule>
  </conditionalFormatting>
  <conditionalFormatting sqref="F80:G85">
    <cfRule type="expression" dxfId="1046" priority="22">
      <formula>kvartal &lt; 4</formula>
    </cfRule>
  </conditionalFormatting>
  <conditionalFormatting sqref="F90:G95">
    <cfRule type="expression" dxfId="1045" priority="19">
      <formula>kvartal &lt; 4</formula>
    </cfRule>
  </conditionalFormatting>
  <conditionalFormatting sqref="F101:G106">
    <cfRule type="expression" dxfId="1044" priority="15">
      <formula>kvartal &lt; 4</formula>
    </cfRule>
  </conditionalFormatting>
  <conditionalFormatting sqref="F115:G115">
    <cfRule type="expression" dxfId="1043" priority="27">
      <formula>kvartal &lt; 4</formula>
    </cfRule>
  </conditionalFormatting>
  <conditionalFormatting sqref="F123:G123">
    <cfRule type="expression" dxfId="1042" priority="26">
      <formula>kvartal &lt; 4</formula>
    </cfRule>
  </conditionalFormatting>
  <conditionalFormatting sqref="J69:K71 J73:K73">
    <cfRule type="expression" dxfId="1041" priority="14">
      <formula>kvartal &lt; 4</formula>
    </cfRule>
  </conditionalFormatting>
  <conditionalFormatting sqref="J80:K82 J84:K84">
    <cfRule type="expression" dxfId="1040" priority="12">
      <formula>kvartal &lt; 4</formula>
    </cfRule>
  </conditionalFormatting>
  <conditionalFormatting sqref="J92:K92 J94:K94">
    <cfRule type="expression" dxfId="1039" priority="11">
      <formula>kvartal &lt; 4</formula>
    </cfRule>
  </conditionalFormatting>
  <conditionalFormatting sqref="J101:K103 J105:K105">
    <cfRule type="expression" dxfId="1038" priority="10">
      <formula>kvartal &lt; 4</formula>
    </cfRule>
  </conditionalFormatting>
  <conditionalFormatting sqref="J115:K115">
    <cfRule type="expression" dxfId="1037" priority="9">
      <formula>kvartal &lt; 4</formula>
    </cfRule>
  </conditionalFormatting>
  <conditionalFormatting sqref="J123:K123">
    <cfRule type="expression" dxfId="1036" priority="8">
      <formula>kvartal &lt; 4</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3"/>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106</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c r="G7" s="252"/>
      <c r="H7" s="288"/>
      <c r="I7" s="119"/>
      <c r="J7" s="253"/>
      <c r="K7" s="254"/>
      <c r="L7" s="348"/>
      <c r="M7" s="8"/>
    </row>
    <row r="8" spans="1:15" ht="15.6" x14ac:dyDescent="0.25">
      <c r="A8" s="18" t="s">
        <v>169</v>
      </c>
      <c r="B8" s="228"/>
      <c r="C8" s="229"/>
      <c r="D8" s="123"/>
      <c r="E8" s="23"/>
      <c r="F8" s="232"/>
      <c r="G8" s="233"/>
      <c r="H8" s="123"/>
      <c r="I8" s="132"/>
      <c r="J8" s="181"/>
      <c r="K8" s="234"/>
      <c r="L8" s="123"/>
      <c r="M8" s="23"/>
    </row>
    <row r="9" spans="1:15" ht="15.6" x14ac:dyDescent="0.25">
      <c r="A9" s="18" t="s">
        <v>170</v>
      </c>
      <c r="B9" s="228"/>
      <c r="C9" s="229"/>
      <c r="D9" s="123"/>
      <c r="E9" s="23"/>
      <c r="F9" s="232"/>
      <c r="G9" s="233"/>
      <c r="H9" s="123"/>
      <c r="I9" s="132"/>
      <c r="J9" s="181"/>
      <c r="K9" s="234"/>
      <c r="L9" s="123"/>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112297</v>
      </c>
      <c r="C47" s="256">
        <v>177161</v>
      </c>
      <c r="D47" s="348">
        <f t="shared" ref="D47:D57" si="0">IF(B47=0, "    ---- ", IF(ABS(ROUND(100/B47*C47-100,1))&lt;999,ROUND(100/B47*C47-100,1),IF(ROUND(100/B47*C47-100,1)&gt;999,999,-999)))</f>
        <v>57.8</v>
      </c>
      <c r="E47" s="8">
        <f>IFERROR(100/'Skjema total MA'!C47*C47,0)</f>
        <v>2.4744263213633242</v>
      </c>
      <c r="F47" s="109"/>
      <c r="G47" s="27"/>
      <c r="H47" s="118"/>
      <c r="I47" s="118"/>
      <c r="J47" s="31"/>
      <c r="K47" s="31"/>
      <c r="L47" s="118"/>
      <c r="M47" s="118"/>
    </row>
    <row r="48" spans="1:13" ht="15.6" x14ac:dyDescent="0.25">
      <c r="A48" s="18" t="s">
        <v>189</v>
      </c>
      <c r="B48" s="228">
        <v>112297</v>
      </c>
      <c r="C48" s="229">
        <v>177161</v>
      </c>
      <c r="D48" s="206">
        <f t="shared" si="0"/>
        <v>57.8</v>
      </c>
      <c r="E48" s="23">
        <f>IFERROR(100/'Skjema total MA'!C48*C48,0)</f>
        <v>4.3374508354476564</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v>3780</v>
      </c>
      <c r="C53" s="256">
        <v>59351</v>
      </c>
      <c r="D53" s="349">
        <f t="shared" si="0"/>
        <v>999</v>
      </c>
      <c r="E53" s="8">
        <f>IFERROR(100/'Skjema total MA'!C53*C53,0)</f>
        <v>18.235844095799184</v>
      </c>
      <c r="F53" s="109"/>
      <c r="G53" s="27"/>
      <c r="H53" s="109"/>
      <c r="I53" s="109"/>
      <c r="J53" s="27"/>
      <c r="K53" s="27"/>
      <c r="L53" s="118"/>
      <c r="M53" s="118"/>
    </row>
    <row r="54" spans="1:13" ht="15.6" x14ac:dyDescent="0.25">
      <c r="A54" s="18" t="s">
        <v>189</v>
      </c>
      <c r="B54" s="228">
        <v>3780</v>
      </c>
      <c r="C54" s="229">
        <v>59351</v>
      </c>
      <c r="D54" s="206">
        <f t="shared" si="0"/>
        <v>999</v>
      </c>
      <c r="E54" s="23">
        <f>IFERROR(100/'Skjema total MA'!C54*C54,0)</f>
        <v>18.635394365562025</v>
      </c>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v>954</v>
      </c>
      <c r="C56" s="256">
        <v>529</v>
      </c>
      <c r="D56" s="349">
        <f t="shared" si="0"/>
        <v>-44.5</v>
      </c>
      <c r="E56" s="8">
        <f>IFERROR(100/'Skjema total MA'!C56*C56,0)</f>
        <v>0.19314099797793791</v>
      </c>
      <c r="F56" s="109"/>
      <c r="G56" s="27"/>
      <c r="H56" s="109"/>
      <c r="I56" s="109"/>
      <c r="J56" s="27"/>
      <c r="K56" s="27"/>
      <c r="L56" s="118"/>
      <c r="M56" s="118"/>
    </row>
    <row r="57" spans="1:13" ht="15.6" x14ac:dyDescent="0.25">
      <c r="A57" s="18" t="s">
        <v>189</v>
      </c>
      <c r="B57" s="228">
        <v>954</v>
      </c>
      <c r="C57" s="229">
        <v>529</v>
      </c>
      <c r="D57" s="206">
        <f t="shared" si="0"/>
        <v>-44.5</v>
      </c>
      <c r="E57" s="23">
        <f>IFERROR(100/'Skjema total MA'!C57*C57,0)</f>
        <v>0.244876606238357</v>
      </c>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1035" priority="10">
      <formula>kvartal &lt; 4</formula>
    </cfRule>
  </conditionalFormatting>
  <conditionalFormatting sqref="A80:A85">
    <cfRule type="expression" dxfId="1034" priority="9">
      <formula>kvartal &lt; 4</formula>
    </cfRule>
  </conditionalFormatting>
  <conditionalFormatting sqref="A90:A95">
    <cfRule type="expression" dxfId="1033" priority="6">
      <formula>kvartal &lt; 4</formula>
    </cfRule>
  </conditionalFormatting>
  <conditionalFormatting sqref="A101:A106">
    <cfRule type="expression" dxfId="1032" priority="5">
      <formula>kvartal &lt; 4</formula>
    </cfRule>
  </conditionalFormatting>
  <conditionalFormatting sqref="A50:C52">
    <cfRule type="expression" dxfId="1031" priority="12">
      <formula>kvartal &lt; 4</formula>
    </cfRule>
  </conditionalFormatting>
  <conditionalFormatting sqref="A115:C115">
    <cfRule type="expression" dxfId="1030" priority="4">
      <formula>kvartal &lt; 4</formula>
    </cfRule>
  </conditionalFormatting>
  <conditionalFormatting sqref="A123:C123">
    <cfRule type="expression" dxfId="1029" priority="3">
      <formula>kvartal &lt; 4</formula>
    </cfRule>
  </conditionalFormatting>
  <conditionalFormatting sqref="B69:C69">
    <cfRule type="expression" dxfId="1028" priority="99">
      <formula>kvartal &lt; 4</formula>
    </cfRule>
  </conditionalFormatting>
  <conditionalFormatting sqref="B72:C72">
    <cfRule type="expression" dxfId="1027" priority="97">
      <formula>kvartal &lt; 4</formula>
    </cfRule>
  </conditionalFormatting>
  <conditionalFormatting sqref="B80:C80">
    <cfRule type="expression" dxfId="1026" priority="95">
      <formula>kvartal &lt; 4</formula>
    </cfRule>
  </conditionalFormatting>
  <conditionalFormatting sqref="B83:C83">
    <cfRule type="expression" dxfId="1025" priority="93">
      <formula>kvartal &lt; 4</formula>
    </cfRule>
  </conditionalFormatting>
  <conditionalFormatting sqref="B90:C90">
    <cfRule type="expression" dxfId="1024" priority="83">
      <formula>kvartal &lt; 4</formula>
    </cfRule>
  </conditionalFormatting>
  <conditionalFormatting sqref="B93:C93">
    <cfRule type="expression" dxfId="1023" priority="81">
      <formula>kvartal &lt; 4</formula>
    </cfRule>
  </conditionalFormatting>
  <conditionalFormatting sqref="B101:C101">
    <cfRule type="expression" dxfId="1022" priority="79">
      <formula>kvartal &lt; 4</formula>
    </cfRule>
  </conditionalFormatting>
  <conditionalFormatting sqref="B104:C104">
    <cfRule type="expression" dxfId="1021" priority="77">
      <formula>kvartal &lt; 4</formula>
    </cfRule>
  </conditionalFormatting>
  <conditionalFormatting sqref="F69:G74">
    <cfRule type="expression" dxfId="1020" priority="54">
      <formula>kvartal &lt; 4</formula>
    </cfRule>
  </conditionalFormatting>
  <conditionalFormatting sqref="F80:G85">
    <cfRule type="expression" dxfId="1019" priority="52">
      <formula>kvartal &lt; 4</formula>
    </cfRule>
  </conditionalFormatting>
  <conditionalFormatting sqref="F90:G95">
    <cfRule type="expression" dxfId="1018" priority="44">
      <formula>kvartal &lt; 4</formula>
    </cfRule>
  </conditionalFormatting>
  <conditionalFormatting sqref="F101:G106">
    <cfRule type="expression" dxfId="1017" priority="40">
      <formula>kvartal &lt; 4</formula>
    </cfRule>
  </conditionalFormatting>
  <conditionalFormatting sqref="F115:G115">
    <cfRule type="expression" dxfId="1016" priority="57">
      <formula>kvartal &lt; 4</formula>
    </cfRule>
  </conditionalFormatting>
  <conditionalFormatting sqref="F123:G123">
    <cfRule type="expression" dxfId="1015" priority="56">
      <formula>kvartal &lt; 4</formula>
    </cfRule>
  </conditionalFormatting>
  <conditionalFormatting sqref="J69:K71 J73:K73">
    <cfRule type="expression" dxfId="1014" priority="39">
      <formula>kvartal &lt; 4</formula>
    </cfRule>
  </conditionalFormatting>
  <conditionalFormatting sqref="J80:K82 J84:K84">
    <cfRule type="expression" dxfId="1013" priority="37">
      <formula>kvartal &lt; 4</formula>
    </cfRule>
  </conditionalFormatting>
  <conditionalFormatting sqref="J92:K92 J94:K94">
    <cfRule type="expression" dxfId="1012" priority="34">
      <formula>kvartal &lt; 4</formula>
    </cfRule>
  </conditionalFormatting>
  <conditionalFormatting sqref="J101:K103 J105:K105">
    <cfRule type="expression" dxfId="1011" priority="33">
      <formula>kvartal &lt; 4</formula>
    </cfRule>
  </conditionalFormatting>
  <conditionalFormatting sqref="J115:K115">
    <cfRule type="expression" dxfId="1010" priority="32">
      <formula>kvartal &lt; 4</formula>
    </cfRule>
  </conditionalFormatting>
  <conditionalFormatting sqref="J123:K123">
    <cfRule type="expression" dxfId="1009" priority="31">
      <formula>kvartal &lt; 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N58"/>
  <sheetViews>
    <sheetView showGridLines="0" tabSelected="1" zoomScale="70" zoomScaleNormal="70" workbookViewId="0"/>
  </sheetViews>
  <sheetFormatPr baseColWidth="10" defaultColWidth="11.44140625" defaultRowHeight="24.6" x14ac:dyDescent="0.4"/>
  <cols>
    <col min="1" max="1" width="11.44140625" style="41"/>
    <col min="2" max="2" width="25" style="41" customWidth="1"/>
    <col min="3" max="3" width="141.6640625" style="41" customWidth="1"/>
    <col min="4" max="16384" width="11.44140625" style="41"/>
  </cols>
  <sheetData>
    <row r="1" spans="1:14" ht="20.100000000000001" customHeight="1" x14ac:dyDescent="0.4">
      <c r="C1" s="42"/>
      <c r="D1" s="43"/>
      <c r="E1" s="43"/>
      <c r="F1" s="43"/>
      <c r="G1" s="43"/>
      <c r="H1" s="43"/>
      <c r="I1" s="43"/>
      <c r="J1" s="43"/>
      <c r="K1" s="43"/>
      <c r="L1" s="43"/>
      <c r="M1" s="43"/>
      <c r="N1" s="43"/>
    </row>
    <row r="2" spans="1:14" ht="20.100000000000001" customHeight="1" x14ac:dyDescent="0.4">
      <c r="C2" s="222" t="s">
        <v>0</v>
      </c>
      <c r="D2" s="43"/>
      <c r="E2" s="43"/>
      <c r="F2" s="43"/>
      <c r="G2" s="43"/>
      <c r="H2" s="43"/>
      <c r="I2" s="43"/>
      <c r="J2" s="43"/>
      <c r="K2" s="43"/>
      <c r="L2" s="43"/>
      <c r="M2" s="43"/>
      <c r="N2" s="43"/>
    </row>
    <row r="3" spans="1:14" ht="20.100000000000001" customHeight="1" x14ac:dyDescent="0.4">
      <c r="C3" s="44"/>
      <c r="D3" s="43"/>
      <c r="E3" s="43"/>
      <c r="F3" s="43"/>
      <c r="G3" s="43"/>
      <c r="H3" s="43"/>
      <c r="I3" s="43"/>
      <c r="J3" s="43"/>
      <c r="K3" s="43"/>
      <c r="L3" s="43"/>
      <c r="M3" s="43"/>
      <c r="N3" s="43"/>
    </row>
    <row r="4" spans="1:14" ht="20.100000000000001" customHeight="1" x14ac:dyDescent="0.4">
      <c r="C4" s="44"/>
      <c r="D4" s="43"/>
      <c r="E4" s="43"/>
      <c r="F4" s="43"/>
      <c r="G4" s="43"/>
      <c r="H4" s="43"/>
      <c r="I4" s="43"/>
      <c r="J4" s="43"/>
      <c r="K4" s="43"/>
      <c r="L4" s="43"/>
      <c r="M4" s="43"/>
      <c r="N4" s="43"/>
    </row>
    <row r="5" spans="1:14" ht="20.100000000000001" customHeight="1" x14ac:dyDescent="0.4">
      <c r="A5" s="44"/>
      <c r="B5" s="44"/>
      <c r="C5" s="44"/>
      <c r="D5" s="43"/>
      <c r="E5" s="43"/>
      <c r="F5" s="43"/>
      <c r="G5" s="43"/>
      <c r="H5" s="43"/>
      <c r="I5" s="43"/>
      <c r="J5" s="43"/>
      <c r="K5" s="43"/>
      <c r="L5" s="43"/>
      <c r="M5" s="43"/>
      <c r="N5" s="43"/>
    </row>
    <row r="6" spans="1:14" ht="20.100000000000001" customHeight="1" x14ac:dyDescent="0.4">
      <c r="A6" s="45" t="s">
        <v>1</v>
      </c>
      <c r="B6" s="45"/>
      <c r="C6" s="44"/>
      <c r="D6" s="43"/>
      <c r="E6" s="43"/>
      <c r="F6" s="43"/>
      <c r="G6" s="43"/>
      <c r="H6" s="43"/>
      <c r="I6" s="43"/>
      <c r="J6" s="43"/>
      <c r="K6" s="43"/>
      <c r="L6" s="43"/>
      <c r="M6" s="43"/>
      <c r="N6" s="43"/>
    </row>
    <row r="7" spans="1:14" ht="20.100000000000001" customHeight="1" x14ac:dyDescent="0.4">
      <c r="A7" s="44"/>
      <c r="B7" s="44" t="s">
        <v>2</v>
      </c>
      <c r="C7" s="44" t="s">
        <v>3</v>
      </c>
      <c r="D7" s="43"/>
      <c r="E7" s="43"/>
      <c r="F7" s="43"/>
      <c r="G7" s="43"/>
      <c r="H7" s="43"/>
      <c r="I7" s="43"/>
      <c r="J7" s="43"/>
      <c r="K7" s="43"/>
      <c r="L7" s="43"/>
      <c r="M7" s="43"/>
      <c r="N7" s="43"/>
    </row>
    <row r="8" spans="1:14" ht="20.100000000000001" customHeight="1" x14ac:dyDescent="0.4">
      <c r="A8" s="44"/>
      <c r="B8" s="44" t="s">
        <v>4</v>
      </c>
      <c r="C8" s="44" t="s">
        <v>5</v>
      </c>
      <c r="D8" s="43"/>
      <c r="E8" s="43"/>
      <c r="F8" s="43"/>
      <c r="G8" s="43"/>
      <c r="H8" s="43"/>
      <c r="I8" s="43"/>
      <c r="J8" s="43"/>
      <c r="K8" s="43"/>
      <c r="L8" s="43"/>
      <c r="M8" s="43"/>
      <c r="N8" s="43"/>
    </row>
    <row r="9" spans="1:14" ht="20.100000000000001" customHeight="1" x14ac:dyDescent="0.4">
      <c r="A9" s="44"/>
      <c r="B9" s="44" t="s">
        <v>6</v>
      </c>
      <c r="C9" s="44" t="s">
        <v>7</v>
      </c>
      <c r="D9" s="43"/>
      <c r="E9" s="43"/>
      <c r="F9" s="43"/>
      <c r="G9" s="43"/>
      <c r="H9" s="43"/>
      <c r="I9" s="43"/>
      <c r="J9" s="43"/>
      <c r="K9" s="43"/>
      <c r="L9" s="43"/>
      <c r="M9" s="43"/>
      <c r="N9" s="43"/>
    </row>
    <row r="10" spans="1:14" ht="20.100000000000001" customHeight="1" x14ac:dyDescent="0.4">
      <c r="A10" s="44"/>
      <c r="B10" s="44" t="s">
        <v>8</v>
      </c>
      <c r="C10" s="44" t="s">
        <v>9</v>
      </c>
      <c r="D10" s="43"/>
      <c r="E10" s="43"/>
      <c r="F10" s="43"/>
      <c r="G10" s="43"/>
      <c r="H10" s="43"/>
      <c r="I10" s="43"/>
      <c r="J10" s="43"/>
      <c r="K10" s="43"/>
      <c r="L10" s="43"/>
      <c r="M10" s="43"/>
      <c r="N10" s="43"/>
    </row>
    <row r="11" spans="1:14" ht="20.100000000000001" customHeight="1" x14ac:dyDescent="0.4">
      <c r="A11" s="44"/>
      <c r="B11" s="44" t="s">
        <v>10</v>
      </c>
      <c r="C11" s="44" t="s">
        <v>11</v>
      </c>
      <c r="D11" s="43"/>
      <c r="E11" s="43"/>
      <c r="F11" s="43"/>
      <c r="G11" s="43"/>
      <c r="H11" s="43"/>
      <c r="I11" s="43"/>
      <c r="J11" s="43"/>
      <c r="K11" s="43"/>
      <c r="L11" s="43"/>
      <c r="M11" s="43"/>
      <c r="N11" s="43"/>
    </row>
    <row r="12" spans="1:14" ht="20.100000000000001" customHeight="1" x14ac:dyDescent="0.4">
      <c r="A12" s="44"/>
      <c r="B12" s="44" t="s">
        <v>12</v>
      </c>
      <c r="C12" s="44" t="s">
        <v>13</v>
      </c>
      <c r="D12" s="43"/>
      <c r="E12" s="43"/>
      <c r="F12" s="43"/>
      <c r="G12" s="43"/>
      <c r="H12" s="43"/>
      <c r="I12" s="43"/>
      <c r="J12" s="43"/>
      <c r="K12" s="43"/>
      <c r="L12" s="43"/>
      <c r="M12" s="43"/>
      <c r="N12" s="43"/>
    </row>
    <row r="13" spans="1:14" ht="18.75" customHeight="1" x14ac:dyDescent="0.4">
      <c r="A13" s="44"/>
      <c r="B13" s="44"/>
      <c r="C13" s="44"/>
      <c r="D13" s="43"/>
      <c r="E13" s="43"/>
      <c r="F13" s="43"/>
      <c r="G13" s="43"/>
      <c r="H13" s="43"/>
      <c r="I13" s="43"/>
      <c r="J13" s="43"/>
      <c r="K13" s="43"/>
      <c r="L13" s="43"/>
      <c r="M13" s="43"/>
      <c r="N13" s="43"/>
    </row>
    <row r="14" spans="1:14" ht="20.100000000000001" customHeight="1" x14ac:dyDescent="0.4">
      <c r="A14" s="221" t="s">
        <v>14</v>
      </c>
      <c r="B14" s="45"/>
      <c r="C14" s="44"/>
      <c r="D14" s="43"/>
      <c r="E14" s="43"/>
      <c r="F14" s="43"/>
      <c r="G14" s="43"/>
      <c r="H14" s="43"/>
      <c r="I14" s="43"/>
      <c r="J14" s="43"/>
      <c r="K14" s="43"/>
      <c r="L14" s="43"/>
      <c r="M14" s="43"/>
      <c r="N14" s="43"/>
    </row>
    <row r="15" spans="1:14" ht="20.100000000000001" customHeight="1" x14ac:dyDescent="0.4">
      <c r="A15" s="44"/>
      <c r="B15" s="44" t="s">
        <v>15</v>
      </c>
      <c r="C15" s="44"/>
      <c r="D15" s="43"/>
      <c r="E15" s="43"/>
      <c r="F15" s="43"/>
      <c r="G15" s="43"/>
      <c r="H15" s="43"/>
      <c r="I15" s="43"/>
      <c r="J15" s="43"/>
      <c r="K15" s="43"/>
      <c r="L15" s="43"/>
      <c r="M15" s="43"/>
      <c r="N15" s="43"/>
    </row>
    <row r="16" spans="1:14" ht="20.100000000000001" customHeight="1" x14ac:dyDescent="0.4">
      <c r="A16" s="44"/>
      <c r="B16" s="45" t="s">
        <v>16</v>
      </c>
      <c r="C16" s="44" t="s">
        <v>17</v>
      </c>
      <c r="D16" s="43"/>
      <c r="E16" s="43"/>
      <c r="F16" s="43"/>
      <c r="G16" s="43"/>
      <c r="H16" s="43"/>
      <c r="I16" s="43"/>
      <c r="J16" s="43"/>
      <c r="K16" s="43"/>
      <c r="L16" s="43"/>
      <c r="M16" s="43"/>
      <c r="N16" s="43"/>
    </row>
    <row r="17" spans="1:14" ht="20.100000000000001" customHeight="1" x14ac:dyDescent="0.4">
      <c r="A17" s="44"/>
      <c r="B17" s="45" t="s">
        <v>18</v>
      </c>
      <c r="C17" s="44" t="s">
        <v>19</v>
      </c>
      <c r="D17" s="43"/>
      <c r="E17" s="43"/>
      <c r="F17" s="43"/>
      <c r="G17" s="43"/>
      <c r="H17" s="43"/>
      <c r="I17" s="43"/>
      <c r="J17" s="43"/>
      <c r="K17" s="43"/>
      <c r="L17" s="43"/>
      <c r="M17" s="43"/>
      <c r="N17" s="43"/>
    </row>
    <row r="18" spans="1:14" ht="20.100000000000001" customHeight="1" x14ac:dyDescent="0.4">
      <c r="A18" s="44"/>
      <c r="B18" s="45" t="s">
        <v>20</v>
      </c>
      <c r="C18" s="44" t="s">
        <v>21</v>
      </c>
      <c r="D18" s="43"/>
      <c r="E18" s="43"/>
      <c r="F18" s="43"/>
      <c r="G18" s="43"/>
      <c r="H18" s="43"/>
      <c r="I18" s="43"/>
      <c r="J18" s="43"/>
      <c r="K18" s="43"/>
      <c r="L18" s="43"/>
      <c r="M18" s="43"/>
      <c r="N18" s="43"/>
    </row>
    <row r="19" spans="1:14" ht="20.100000000000001" customHeight="1" x14ac:dyDescent="0.4">
      <c r="A19" s="44"/>
      <c r="B19" s="44" t="s">
        <v>22</v>
      </c>
      <c r="C19" s="44" t="s">
        <v>23</v>
      </c>
      <c r="D19" s="43"/>
      <c r="E19" s="43"/>
      <c r="F19" s="43"/>
      <c r="G19" s="43"/>
      <c r="H19" s="43"/>
      <c r="I19" s="43"/>
      <c r="J19" s="43"/>
      <c r="K19" s="43"/>
      <c r="L19" s="43"/>
      <c r="M19" s="43"/>
      <c r="N19" s="43"/>
    </row>
    <row r="20" spans="1:14" ht="20.100000000000001" customHeight="1" x14ac:dyDescent="0.4">
      <c r="A20" s="44"/>
      <c r="B20" s="44" t="s">
        <v>24</v>
      </c>
      <c r="C20" s="44" t="s">
        <v>25</v>
      </c>
      <c r="D20" s="43"/>
      <c r="E20" s="43"/>
      <c r="F20" s="43"/>
      <c r="G20" s="43"/>
      <c r="H20" s="43"/>
      <c r="I20" s="43"/>
      <c r="J20" s="43"/>
      <c r="K20" s="43"/>
      <c r="L20" s="43"/>
      <c r="M20" s="43"/>
      <c r="N20" s="43"/>
    </row>
    <row r="21" spans="1:14" ht="20.100000000000001" customHeight="1" x14ac:dyDescent="0.4">
      <c r="A21" s="44"/>
      <c r="B21" s="44"/>
      <c r="C21" s="44"/>
    </row>
    <row r="22" spans="1:14" ht="18.75" customHeight="1" x14ac:dyDescent="0.4">
      <c r="A22" s="44"/>
      <c r="B22" s="44" t="s">
        <v>26</v>
      </c>
      <c r="C22" s="44"/>
    </row>
    <row r="23" spans="1:14" ht="20.100000000000001" customHeight="1" x14ac:dyDescent="0.4">
      <c r="A23" s="44"/>
      <c r="B23" s="287" t="s">
        <v>27</v>
      </c>
      <c r="C23" s="44" t="s">
        <v>28</v>
      </c>
    </row>
    <row r="24" spans="1:14" ht="20.100000000000001" hidden="1" customHeight="1" x14ac:dyDescent="0.4">
      <c r="A24" s="44"/>
      <c r="B24" s="287" t="s">
        <v>29</v>
      </c>
      <c r="C24" s="44" t="s">
        <v>30</v>
      </c>
    </row>
    <row r="25" spans="1:14" ht="20.100000000000001" hidden="1" customHeight="1" x14ac:dyDescent="0.4">
      <c r="A25" s="44"/>
      <c r="B25" s="287" t="s">
        <v>31</v>
      </c>
      <c r="C25" s="44" t="s">
        <v>32</v>
      </c>
    </row>
    <row r="26" spans="1:14" ht="20.100000000000001" hidden="1" customHeight="1" x14ac:dyDescent="0.4">
      <c r="A26" s="44"/>
      <c r="B26" s="287" t="s">
        <v>33</v>
      </c>
      <c r="C26" s="44" t="s">
        <v>34</v>
      </c>
    </row>
    <row r="27" spans="1:14" ht="20.100000000000001" customHeight="1" x14ac:dyDescent="0.4">
      <c r="A27" s="44"/>
      <c r="B27" s="287" t="s">
        <v>35</v>
      </c>
      <c r="C27" s="44" t="s">
        <v>36</v>
      </c>
    </row>
    <row r="28" spans="1:14" ht="20.100000000000001" hidden="1" customHeight="1" x14ac:dyDescent="0.4">
      <c r="A28" s="44"/>
      <c r="B28" s="284" t="s">
        <v>37</v>
      </c>
      <c r="C28" s="220" t="s">
        <v>38</v>
      </c>
    </row>
    <row r="29" spans="1:14" ht="20.100000000000001" hidden="1" customHeight="1" x14ac:dyDescent="0.4">
      <c r="A29" s="44"/>
      <c r="B29" s="284" t="s">
        <v>39</v>
      </c>
      <c r="C29" s="220" t="s">
        <v>40</v>
      </c>
    </row>
    <row r="30" spans="1:14" ht="18.75" customHeight="1" x14ac:dyDescent="0.4">
      <c r="A30" s="44"/>
      <c r="B30" s="287" t="s">
        <v>41</v>
      </c>
      <c r="C30" s="44" t="s">
        <v>42</v>
      </c>
    </row>
    <row r="31" spans="1:14" ht="18.75" customHeight="1" x14ac:dyDescent="0.4">
      <c r="A31" s="44"/>
      <c r="B31" s="287"/>
      <c r="C31" s="44"/>
    </row>
    <row r="32" spans="1:14" ht="20.100000000000001" customHeight="1" x14ac:dyDescent="0.4">
      <c r="A32" s="44"/>
      <c r="B32" s="44"/>
      <c r="C32" s="44"/>
    </row>
    <row r="33" spans="1:4" x14ac:dyDescent="0.4">
      <c r="A33" s="45" t="s">
        <v>43</v>
      </c>
      <c r="B33" s="44"/>
      <c r="C33" s="44"/>
    </row>
    <row r="34" spans="1:4" ht="26.25" hidden="1" customHeight="1" x14ac:dyDescent="0.45">
      <c r="C34" s="46"/>
    </row>
    <row r="35" spans="1:4" ht="26.25" hidden="1" customHeight="1" x14ac:dyDescent="0.45">
      <c r="C35" s="46"/>
    </row>
    <row r="36" spans="1:4" ht="18.75" customHeight="1" x14ac:dyDescent="0.45">
      <c r="C36" s="285"/>
      <c r="D36" s="286"/>
    </row>
    <row r="37" spans="1:4" ht="25.2" x14ac:dyDescent="0.45">
      <c r="C37" s="46"/>
    </row>
    <row r="38" spans="1:4" ht="25.2" x14ac:dyDescent="0.45">
      <c r="C38" s="46"/>
    </row>
    <row r="39" spans="1:4" ht="25.2" x14ac:dyDescent="0.45">
      <c r="C39" s="285"/>
    </row>
    <row r="40" spans="1:4" ht="25.2" x14ac:dyDescent="0.45">
      <c r="C40" s="46"/>
    </row>
    <row r="41" spans="1:4" ht="25.2" x14ac:dyDescent="0.45">
      <c r="C41" s="46"/>
    </row>
    <row r="42" spans="1:4" ht="25.2" x14ac:dyDescent="0.45">
      <c r="C42" s="46"/>
    </row>
    <row r="43" spans="1:4" ht="25.2" x14ac:dyDescent="0.45">
      <c r="C43" s="46"/>
    </row>
    <row r="44" spans="1:4" ht="25.2" x14ac:dyDescent="0.45">
      <c r="C44" s="46"/>
    </row>
    <row r="45" spans="1:4" ht="25.2" x14ac:dyDescent="0.45">
      <c r="C45" s="46"/>
    </row>
    <row r="46" spans="1:4" ht="25.2" x14ac:dyDescent="0.45">
      <c r="C46" s="46"/>
    </row>
    <row r="47" spans="1:4" ht="25.2" x14ac:dyDescent="0.45">
      <c r="C47" s="46"/>
    </row>
    <row r="48" spans="1:4" ht="25.2" x14ac:dyDescent="0.45">
      <c r="C48" s="46"/>
    </row>
    <row r="49" spans="3:3" ht="25.2" x14ac:dyDescent="0.45">
      <c r="C49" s="46"/>
    </row>
    <row r="50" spans="3:3" ht="25.2" x14ac:dyDescent="0.45">
      <c r="C50" s="46"/>
    </row>
    <row r="51" spans="3:3" ht="25.2" x14ac:dyDescent="0.45">
      <c r="C51" s="46"/>
    </row>
    <row r="52" spans="3:3" ht="25.2" x14ac:dyDescent="0.45">
      <c r="C52" s="46"/>
    </row>
    <row r="53" spans="3:3" ht="25.2" x14ac:dyDescent="0.45">
      <c r="C53" s="46"/>
    </row>
    <row r="54" spans="3:3" ht="25.2" x14ac:dyDescent="0.45">
      <c r="C54" s="46"/>
    </row>
    <row r="55" spans="3:3" ht="25.2" x14ac:dyDescent="0.45">
      <c r="C55" s="46"/>
    </row>
    <row r="56" spans="3:3" ht="25.2" x14ac:dyDescent="0.45">
      <c r="C56" s="46"/>
    </row>
    <row r="57" spans="3:3" ht="25.2" x14ac:dyDescent="0.45">
      <c r="C57" s="46"/>
    </row>
    <row r="58" spans="3:3" ht="25.2" x14ac:dyDescent="0.45">
      <c r="C58" s="46"/>
    </row>
  </sheetData>
  <hyperlinks>
    <hyperlink ref="A6" location="Figurer!A1" display="FIGURER" xr:uid="{00000000-0004-0000-0100-000000000000}"/>
    <hyperlink ref="A14" location="'Tabel 1.1'!A1" display="TABELLER" xr:uid="{00000000-0004-0000-0100-000001000000}"/>
    <hyperlink ref="B16" location="'Tabell 1.1'!A1" display="Tabell 1.1" xr:uid="{00000000-0004-0000-0100-000002000000}"/>
    <hyperlink ref="B17" location="'Tabell 1.2'!A1" display="Tabell 1.2" xr:uid="{00000000-0004-0000-0100-000003000000}"/>
    <hyperlink ref="A33" location="'Noter og kommentarer'!A1" display="NOTER OG KOMMENTARER" xr:uid="{00000000-0004-0000-0100-000004000000}"/>
    <hyperlink ref="B23" location="'Tabell 4'!A1" display="Tabell 4" xr:uid="{00000000-0004-0000-0100-000005000000}"/>
    <hyperlink ref="B27" location="'Tabell 6'!A1" display="Tabell 6" xr:uid="{00000000-0004-0000-0100-000006000000}"/>
    <hyperlink ref="B30" location="'Tabell 8'!A1" display="Tabell 8" xr:uid="{00000000-0004-0000-0100-000007000000}"/>
    <hyperlink ref="B24" location="'Tabell 5.1'!A1" display="Tabell 5.1" xr:uid="{00000000-0004-0000-0100-000008000000}"/>
    <hyperlink ref="B25" location="'Tabell 5.2'!A1" display="Tabell 5.2" xr:uid="{00000000-0004-0000-0100-000009000000}"/>
    <hyperlink ref="B26" location="'Tabell 5.3'!A1" display="Tabell 5.3" xr:uid="{00000000-0004-0000-0100-00000A000000}"/>
    <hyperlink ref="B28" location="'Tabell 7a'!A1" display="Tabell 7a" xr:uid="{00000000-0004-0000-0100-00000B000000}"/>
    <hyperlink ref="B29" location="'Tabell 7b'!A1" display="Tabell 7b" xr:uid="{00000000-0004-0000-0100-00000C000000}"/>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D853-0DF0-4C61-8584-51A962037551}">
  <sheetPr codeName="Ark21"/>
  <dimension ref="A1:O144"/>
  <sheetViews>
    <sheetView showGridLines="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59</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c r="G7" s="252"/>
      <c r="H7" s="288"/>
      <c r="I7" s="119"/>
      <c r="J7" s="253"/>
      <c r="K7" s="254"/>
      <c r="L7" s="348"/>
      <c r="M7" s="8"/>
    </row>
    <row r="8" spans="1:15" ht="15.6" x14ac:dyDescent="0.25">
      <c r="A8" s="18" t="s">
        <v>169</v>
      </c>
      <c r="B8" s="228"/>
      <c r="C8" s="229"/>
      <c r="D8" s="123"/>
      <c r="E8" s="23"/>
      <c r="F8" s="232"/>
      <c r="G8" s="233"/>
      <c r="H8" s="123"/>
      <c r="I8" s="132"/>
      <c r="J8" s="181"/>
      <c r="K8" s="234"/>
      <c r="L8" s="123"/>
      <c r="M8" s="23"/>
    </row>
    <row r="9" spans="1:15" ht="15.6" x14ac:dyDescent="0.25">
      <c r="A9" s="18" t="s">
        <v>170</v>
      </c>
      <c r="B9" s="228"/>
      <c r="C9" s="229"/>
      <c r="D9" s="123"/>
      <c r="E9" s="23"/>
      <c r="F9" s="232"/>
      <c r="G9" s="233"/>
      <c r="H9" s="123"/>
      <c r="I9" s="132"/>
      <c r="J9" s="181"/>
      <c r="K9" s="234"/>
      <c r="L9" s="123"/>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32229.312999999998</v>
      </c>
      <c r="C47" s="256">
        <v>35801</v>
      </c>
      <c r="D47" s="348">
        <f t="shared" ref="D47:D57" si="0">IF(B47=0, "    ---- ", IF(ABS(ROUND(100/B47*C47-100,1))&lt;999,ROUND(100/B47*C47-100,1),IF(ROUND(100/B47*C47-100,1)&gt;999,999,-999)))</f>
        <v>11.1</v>
      </c>
      <c r="E47" s="8">
        <f>IFERROR(100/'Skjema total MA'!C47*C47,0)</f>
        <v>0.50003633266423408</v>
      </c>
      <c r="F47" s="109"/>
      <c r="G47" s="27"/>
      <c r="H47" s="118"/>
      <c r="I47" s="118"/>
      <c r="J47" s="31"/>
      <c r="K47" s="31"/>
      <c r="L47" s="118"/>
      <c r="M47" s="118"/>
    </row>
    <row r="48" spans="1:13" ht="15.6" x14ac:dyDescent="0.25">
      <c r="A48" s="18" t="s">
        <v>189</v>
      </c>
      <c r="B48" s="228">
        <v>32229.312999999998</v>
      </c>
      <c r="C48" s="229">
        <v>35801</v>
      </c>
      <c r="D48" s="206">
        <f t="shared" si="0"/>
        <v>11.1</v>
      </c>
      <c r="E48" s="23">
        <f>IFERROR(100/'Skjema total MA'!C48*C48,0)</f>
        <v>0.87651953511134817</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v>7229.9740000000002</v>
      </c>
      <c r="C53" s="256">
        <v>7437</v>
      </c>
      <c r="D53" s="349">
        <f t="shared" si="0"/>
        <v>2.9</v>
      </c>
      <c r="E53" s="8">
        <f>IFERROR(100/'Skjema total MA'!C53*C53,0)</f>
        <v>2.2850494943717634</v>
      </c>
      <c r="F53" s="109"/>
      <c r="G53" s="27"/>
      <c r="H53" s="109"/>
      <c r="I53" s="109"/>
      <c r="J53" s="27"/>
      <c r="K53" s="27"/>
      <c r="L53" s="118"/>
      <c r="M53" s="118"/>
    </row>
    <row r="54" spans="1:13" ht="15.6" x14ac:dyDescent="0.25">
      <c r="A54" s="18" t="s">
        <v>189</v>
      </c>
      <c r="B54" s="228">
        <v>7229.9740000000002</v>
      </c>
      <c r="C54" s="229">
        <v>7437</v>
      </c>
      <c r="D54" s="206">
        <f t="shared" si="0"/>
        <v>2.9</v>
      </c>
      <c r="E54" s="23">
        <f>IFERROR(100/'Skjema total MA'!C54*C54,0)</f>
        <v>2.3351152953898802</v>
      </c>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v>3534.0010000000002</v>
      </c>
      <c r="C56" s="256">
        <v>7951</v>
      </c>
      <c r="D56" s="349">
        <f t="shared" si="0"/>
        <v>125</v>
      </c>
      <c r="E56" s="8">
        <f>IFERROR(100/'Skjema total MA'!C56*C56,0)</f>
        <v>2.9029566633697246</v>
      </c>
      <c r="F56" s="109"/>
      <c r="G56" s="27"/>
      <c r="H56" s="109"/>
      <c r="I56" s="109"/>
      <c r="J56" s="27"/>
      <c r="K56" s="27"/>
      <c r="L56" s="118"/>
      <c r="M56" s="118"/>
    </row>
    <row r="57" spans="1:13" ht="15.6" x14ac:dyDescent="0.25">
      <c r="A57" s="18" t="s">
        <v>189</v>
      </c>
      <c r="B57" s="228">
        <v>3534.0010000000002</v>
      </c>
      <c r="C57" s="229">
        <v>7951</v>
      </c>
      <c r="D57" s="206">
        <f t="shared" si="0"/>
        <v>125</v>
      </c>
      <c r="E57" s="23">
        <f>IFERROR(100/'Skjema total MA'!C57*C57,0)</f>
        <v>3.6805555693784053</v>
      </c>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69:A74">
    <cfRule type="expression" dxfId="1008" priority="6">
      <formula>kvartal &lt; 4</formula>
    </cfRule>
  </conditionalFormatting>
  <conditionalFormatting sqref="A80:A85">
    <cfRule type="expression" dxfId="1007" priority="5">
      <formula>kvartal &lt; 4</formula>
    </cfRule>
  </conditionalFormatting>
  <conditionalFormatting sqref="A90:A95">
    <cfRule type="expression" dxfId="1006" priority="4">
      <formula>kvartal &lt; 4</formula>
    </cfRule>
  </conditionalFormatting>
  <conditionalFormatting sqref="A101:A106">
    <cfRule type="expression" dxfId="1005" priority="3">
      <formula>kvartal &lt; 4</formula>
    </cfRule>
  </conditionalFormatting>
  <conditionalFormatting sqref="A50:C52">
    <cfRule type="expression" dxfId="1004" priority="7">
      <formula>kvartal &lt; 4</formula>
    </cfRule>
  </conditionalFormatting>
  <conditionalFormatting sqref="A115:C115">
    <cfRule type="expression" dxfId="1003" priority="2">
      <formula>kvartal &lt; 4</formula>
    </cfRule>
  </conditionalFormatting>
  <conditionalFormatting sqref="A123:C123">
    <cfRule type="expression" dxfId="1002" priority="1">
      <formula>kvartal &lt; 4</formula>
    </cfRule>
  </conditionalFormatting>
  <conditionalFormatting sqref="B69:C69">
    <cfRule type="expression" dxfId="1001" priority="57">
      <formula>kvartal &lt; 4</formula>
    </cfRule>
  </conditionalFormatting>
  <conditionalFormatting sqref="B72:C72">
    <cfRule type="expression" dxfId="1000" priority="55">
      <formula>kvartal &lt; 4</formula>
    </cfRule>
  </conditionalFormatting>
  <conditionalFormatting sqref="B80:C80">
    <cfRule type="expression" dxfId="999" priority="53">
      <formula>kvartal &lt; 4</formula>
    </cfRule>
  </conditionalFormatting>
  <conditionalFormatting sqref="B83:C83">
    <cfRule type="expression" dxfId="998" priority="51">
      <formula>kvartal &lt; 4</formula>
    </cfRule>
  </conditionalFormatting>
  <conditionalFormatting sqref="B90:C90">
    <cfRule type="expression" dxfId="997" priority="49">
      <formula>kvartal &lt; 4</formula>
    </cfRule>
  </conditionalFormatting>
  <conditionalFormatting sqref="B93:C93">
    <cfRule type="expression" dxfId="996" priority="47">
      <formula>kvartal &lt; 4</formula>
    </cfRule>
  </conditionalFormatting>
  <conditionalFormatting sqref="B101:C101">
    <cfRule type="expression" dxfId="995" priority="45">
      <formula>kvartal &lt; 4</formula>
    </cfRule>
  </conditionalFormatting>
  <conditionalFormatting sqref="B104:C104">
    <cfRule type="expression" dxfId="994" priority="43">
      <formula>kvartal &lt; 4</formula>
    </cfRule>
  </conditionalFormatting>
  <conditionalFormatting sqref="F69:G74">
    <cfRule type="expression" dxfId="993" priority="24">
      <formula>kvartal &lt; 4</formula>
    </cfRule>
  </conditionalFormatting>
  <conditionalFormatting sqref="F80:G85">
    <cfRule type="expression" dxfId="992" priority="22">
      <formula>kvartal &lt; 4</formula>
    </cfRule>
  </conditionalFormatting>
  <conditionalFormatting sqref="F90:G95">
    <cfRule type="expression" dxfId="991" priority="19">
      <formula>kvartal &lt; 4</formula>
    </cfRule>
  </conditionalFormatting>
  <conditionalFormatting sqref="F101:G106">
    <cfRule type="expression" dxfId="990" priority="15">
      <formula>kvartal &lt; 4</formula>
    </cfRule>
  </conditionalFormatting>
  <conditionalFormatting sqref="F115:G115">
    <cfRule type="expression" dxfId="989" priority="27">
      <formula>kvartal &lt; 4</formula>
    </cfRule>
  </conditionalFormatting>
  <conditionalFormatting sqref="F123:G123">
    <cfRule type="expression" dxfId="988" priority="26">
      <formula>kvartal &lt; 4</formula>
    </cfRule>
  </conditionalFormatting>
  <conditionalFormatting sqref="J69:K71 J73:K73">
    <cfRule type="expression" dxfId="987" priority="14">
      <formula>kvartal &lt; 4</formula>
    </cfRule>
  </conditionalFormatting>
  <conditionalFormatting sqref="J80:K82 J84:K84">
    <cfRule type="expression" dxfId="986" priority="12">
      <formula>kvartal &lt; 4</formula>
    </cfRule>
  </conditionalFormatting>
  <conditionalFormatting sqref="J92:K92 J94:K94">
    <cfRule type="expression" dxfId="985" priority="11">
      <formula>kvartal &lt; 4</formula>
    </cfRule>
  </conditionalFormatting>
  <conditionalFormatting sqref="J101:K103 J105:K105">
    <cfRule type="expression" dxfId="984" priority="10">
      <formula>kvartal &lt; 4</formula>
    </cfRule>
  </conditionalFormatting>
  <conditionalFormatting sqref="J115:K115">
    <cfRule type="expression" dxfId="983" priority="9">
      <formula>kvartal &lt; 4</formula>
    </cfRule>
  </conditionalFormatting>
  <conditionalFormatting sqref="J123:K123">
    <cfRule type="expression" dxfId="982" priority="8">
      <formula>kvartal &lt; 4</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5"/>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229</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562613.34382557904</v>
      </c>
      <c r="C7" s="252">
        <v>589829.46746406704</v>
      </c>
      <c r="D7" s="288">
        <f>IF(B7=0, "    ---- ", IF(ABS(ROUND(100/B7*C7-100,1))&lt;999,ROUND(100/B7*C7-100,1),IF(ROUND(100/B7*C7-100,1)&gt;999,999,-999)))</f>
        <v>4.8</v>
      </c>
      <c r="E7" s="8">
        <f>IFERROR(100/'Skjema total MA'!C7*C7,0)</f>
        <v>10.133593047204688</v>
      </c>
      <c r="F7" s="251">
        <v>11473707.11569</v>
      </c>
      <c r="G7" s="252">
        <v>9498402.04711999</v>
      </c>
      <c r="H7" s="288">
        <f>IF(F7=0, "    ---- ", IF(ABS(ROUND(100/F7*G7-100,1))&lt;999,ROUND(100/F7*G7-100,1),IF(ROUND(100/F7*G7-100,1)&gt;999,999,-999)))</f>
        <v>-17.2</v>
      </c>
      <c r="I7" s="119">
        <f>IFERROR(100/'Skjema total MA'!F7*G7,0)</f>
        <v>79.086342277983391</v>
      </c>
      <c r="J7" s="253">
        <f t="shared" ref="J7:K12" si="0">SUM(B7,F7)</f>
        <v>12036320.459515579</v>
      </c>
      <c r="K7" s="254">
        <f t="shared" si="0"/>
        <v>10088231.514584057</v>
      </c>
      <c r="L7" s="348">
        <f>IF(J7=0, "    ---- ", IF(ABS(ROUND(100/J7*K7-100,1))&lt;999,ROUND(100/J7*K7-100,1),IF(ROUND(100/J7*K7-100,1)&gt;999,999,-999)))</f>
        <v>-16.2</v>
      </c>
      <c r="M7" s="8">
        <f>IFERROR(100/'Skjema total MA'!I7*K7,0)</f>
        <v>56.57786528910588</v>
      </c>
    </row>
    <row r="8" spans="1:15" ht="15.6" x14ac:dyDescent="0.25">
      <c r="A8" s="18" t="s">
        <v>169</v>
      </c>
      <c r="B8" s="228">
        <v>492805.73881018802</v>
      </c>
      <c r="C8" s="229">
        <v>522732.17893458199</v>
      </c>
      <c r="D8" s="123">
        <f t="shared" ref="D8:D10" si="1">IF(B8=0, "    ---- ", IF(ABS(ROUND(100/B8*C8-100,1))&lt;999,ROUND(100/B8*C8-100,1),IF(ROUND(100/B8*C8-100,1)&gt;999,999,-999)))</f>
        <v>6.1</v>
      </c>
      <c r="E8" s="23">
        <f>IFERROR(100/'Skjema total MA'!C8*C8,0)</f>
        <v>13.28836085425516</v>
      </c>
      <c r="F8" s="232"/>
      <c r="G8" s="233"/>
      <c r="H8" s="123"/>
      <c r="I8" s="132"/>
      <c r="J8" s="181">
        <f t="shared" si="0"/>
        <v>492805.73881018802</v>
      </c>
      <c r="K8" s="234">
        <f t="shared" si="0"/>
        <v>522732.17893458199</v>
      </c>
      <c r="L8" s="123">
        <f t="shared" ref="L8:L9" si="2">IF(J8=0, "    ---- ", IF(ABS(ROUND(100/J8*K8-100,1))&lt;999,ROUND(100/J8*K8-100,1),IF(ROUND(100/J8*K8-100,1)&gt;999,999,-999)))</f>
        <v>6.1</v>
      </c>
      <c r="M8" s="23">
        <f>IFERROR(100/'Skjema total MA'!I8*K8,0)</f>
        <v>13.28836085425516</v>
      </c>
    </row>
    <row r="9" spans="1:15" ht="15.6" x14ac:dyDescent="0.25">
      <c r="A9" s="18" t="s">
        <v>170</v>
      </c>
      <c r="B9" s="228">
        <v>64785.383859631198</v>
      </c>
      <c r="C9" s="229">
        <v>62424.255685550401</v>
      </c>
      <c r="D9" s="123">
        <f t="shared" si="1"/>
        <v>-3.6</v>
      </c>
      <c r="E9" s="23">
        <f>IFERROR(100/'Skjema total MA'!C9*C9,0)</f>
        <v>5.7725263736756673</v>
      </c>
      <c r="F9" s="232"/>
      <c r="G9" s="233"/>
      <c r="H9" s="123"/>
      <c r="I9" s="132"/>
      <c r="J9" s="181">
        <f t="shared" si="0"/>
        <v>64785.383859631198</v>
      </c>
      <c r="K9" s="234">
        <f t="shared" si="0"/>
        <v>62424.255685550401</v>
      </c>
      <c r="L9" s="123">
        <f t="shared" si="2"/>
        <v>-3.6</v>
      </c>
      <c r="M9" s="23">
        <f>IFERROR(100/'Skjema total MA'!I9*K9,0)</f>
        <v>5.7725263736756673</v>
      </c>
    </row>
    <row r="10" spans="1:15" ht="15.6" x14ac:dyDescent="0.25">
      <c r="A10" s="10" t="s">
        <v>171</v>
      </c>
      <c r="B10" s="255">
        <v>569525.62451697397</v>
      </c>
      <c r="C10" s="256">
        <v>519325.42575075902</v>
      </c>
      <c r="D10" s="127">
        <f t="shared" si="1"/>
        <v>-8.8000000000000007</v>
      </c>
      <c r="E10" s="8">
        <f>IFERROR(100/'Skjema total MA'!C10*C10,0)</f>
        <v>3.3425554731374558</v>
      </c>
      <c r="F10" s="255">
        <v>66715794.531769998</v>
      </c>
      <c r="G10" s="256">
        <v>70703180.392395005</v>
      </c>
      <c r="H10" s="127">
        <f t="shared" ref="H10:H12" si="3">IF(F10=0, "    ---- ", IF(ABS(ROUND(100/F10*G10-100,1))&lt;999,ROUND(100/F10*G10-100,1),IF(ROUND(100/F10*G10-100,1)&gt;999,999,-999)))</f>
        <v>6</v>
      </c>
      <c r="I10" s="119">
        <f>IFERROR(100/'Skjema total MA'!F10*G10,0)</f>
        <v>64.905551037660459</v>
      </c>
      <c r="J10" s="253">
        <f t="shared" si="0"/>
        <v>67285320.15628697</v>
      </c>
      <c r="K10" s="254">
        <f t="shared" si="0"/>
        <v>71222505.818145767</v>
      </c>
      <c r="L10" s="349">
        <f t="shared" ref="L10:L12" si="4">IF(J10=0, "    ---- ", IF(ABS(ROUND(100/J10*K10-100,1))&lt;999,ROUND(100/J10*K10-100,1),IF(ROUND(100/J10*K10-100,1)&gt;999,999,-999)))</f>
        <v>5.9</v>
      </c>
      <c r="M10" s="8">
        <f>IFERROR(100/'Skjema total MA'!I10*K10,0)</f>
        <v>57.220993749979392</v>
      </c>
    </row>
    <row r="11" spans="1:15" s="35" customFormat="1" ht="15.6" x14ac:dyDescent="0.25">
      <c r="A11" s="10" t="s">
        <v>172</v>
      </c>
      <c r="B11" s="255"/>
      <c r="C11" s="256"/>
      <c r="D11" s="127"/>
      <c r="E11" s="8"/>
      <c r="F11" s="255">
        <v>122041.28401</v>
      </c>
      <c r="G11" s="256">
        <v>422572.09623999998</v>
      </c>
      <c r="H11" s="127">
        <f t="shared" si="3"/>
        <v>246.3</v>
      </c>
      <c r="I11" s="119">
        <f>IFERROR(100/'Skjema total MA'!F11*G11,0)</f>
        <v>65.043054403507099</v>
      </c>
      <c r="J11" s="253">
        <f t="shared" si="0"/>
        <v>122041.28401</v>
      </c>
      <c r="K11" s="254">
        <f t="shared" si="0"/>
        <v>422572.09623999998</v>
      </c>
      <c r="L11" s="349">
        <f t="shared" si="4"/>
        <v>246.3</v>
      </c>
      <c r="M11" s="8">
        <f>IFERROR(100/'Skjema total MA'!I11*K11,0)</f>
        <v>65.009733042812726</v>
      </c>
      <c r="N11" s="107"/>
      <c r="O11" s="22"/>
    </row>
    <row r="12" spans="1:15" s="35" customFormat="1" ht="15.6" x14ac:dyDescent="0.25">
      <c r="A12" s="33" t="s">
        <v>173</v>
      </c>
      <c r="B12" s="257"/>
      <c r="C12" s="258"/>
      <c r="D12" s="125"/>
      <c r="E12" s="30"/>
      <c r="F12" s="257">
        <v>88930.62444</v>
      </c>
      <c r="G12" s="258">
        <v>94715.14443</v>
      </c>
      <c r="H12" s="125">
        <f t="shared" si="3"/>
        <v>6.5</v>
      </c>
      <c r="I12" s="125">
        <f>IFERROR(100/'Skjema total MA'!F12*G12,0)</f>
        <v>14.817594675886324</v>
      </c>
      <c r="J12" s="259">
        <f t="shared" si="0"/>
        <v>88930.62444</v>
      </c>
      <c r="K12" s="260">
        <f t="shared" si="0"/>
        <v>94715.14443</v>
      </c>
      <c r="L12" s="350">
        <f t="shared" si="4"/>
        <v>6.5</v>
      </c>
      <c r="M12" s="30">
        <f>IFERROR(100/'Skjema total MA'!I12*K12,0)</f>
        <v>14.809670943488047</v>
      </c>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v>246502.124024716</v>
      </c>
      <c r="C22" s="255">
        <v>283605.06894835603</v>
      </c>
      <c r="D22" s="288">
        <f t="shared" ref="D22:D34" si="5">IF(B22=0, "    ---- ", IF(ABS(ROUND(100/B22*C22-100,1))&lt;999,ROUND(100/B22*C22-100,1),IF(ROUND(100/B22*C22-100,1)&gt;999,999,-999)))</f>
        <v>15.1</v>
      </c>
      <c r="E22" s="8">
        <f>IFERROR(100/'Skjema total MA'!C22*C22,0)</f>
        <v>10.5554344220816</v>
      </c>
      <c r="F22" s="263">
        <v>261737.20783999999</v>
      </c>
      <c r="G22" s="263">
        <v>315943.55106999999</v>
      </c>
      <c r="H22" s="288">
        <f t="shared" ref="H22:H35" si="6">IF(F22=0, "    ---- ", IF(ABS(ROUND(100/F22*G22-100,1))&lt;999,ROUND(100/F22*G22-100,1),IF(ROUND(100/F22*G22-100,1)&gt;999,999,-999)))</f>
        <v>20.7</v>
      </c>
      <c r="I22" s="8">
        <f>IFERROR(100/'Skjema total MA'!F22*G22,0)</f>
        <v>26.855080490051858</v>
      </c>
      <c r="J22" s="261">
        <f t="shared" ref="J22:K35" si="7">SUM(B22,F22)</f>
        <v>508239.33186471602</v>
      </c>
      <c r="K22" s="261">
        <f t="shared" si="7"/>
        <v>599548.62001835601</v>
      </c>
      <c r="L22" s="348">
        <f t="shared" ref="L22:L35" si="8">IF(J22=0, "    ---- ", IF(ABS(ROUND(100/J22*K22-100,1))&lt;999,ROUND(100/J22*K22-100,1),IF(ROUND(100/J22*K22-100,1)&gt;999,999,-999)))</f>
        <v>18</v>
      </c>
      <c r="M22" s="21">
        <f>IFERROR(100/'Skjema total MA'!I22*K22,0)</f>
        <v>15.519113798940992</v>
      </c>
    </row>
    <row r="23" spans="1:13" ht="15.6" x14ac:dyDescent="0.25">
      <c r="A23" s="389" t="s">
        <v>177</v>
      </c>
      <c r="B23" s="228">
        <v>246343.85702471601</v>
      </c>
      <c r="C23" s="228">
        <v>283472.03094835603</v>
      </c>
      <c r="D23" s="123">
        <f t="shared" si="5"/>
        <v>15.1</v>
      </c>
      <c r="E23" s="8">
        <f>IFERROR(100/'Skjema total MA'!C23*C23,0)</f>
        <v>17.494948115247798</v>
      </c>
      <c r="F23" s="237">
        <v>1879.8749399999999</v>
      </c>
      <c r="G23" s="237">
        <v>1481.36</v>
      </c>
      <c r="H23" s="123">
        <f t="shared" si="6"/>
        <v>-21.2</v>
      </c>
      <c r="I23" s="341">
        <f>IFERROR(100/'Skjema total MA'!F23*G23,0)</f>
        <v>3.2768146512493574</v>
      </c>
      <c r="J23" s="237">
        <f t="shared" ref="J23:J26" si="9">SUM(B23,F23)</f>
        <v>248223.73196471602</v>
      </c>
      <c r="K23" s="237">
        <f t="shared" ref="K23:K26" si="10">SUM(C23,G23)</f>
        <v>284953.39094835601</v>
      </c>
      <c r="L23" s="123">
        <f t="shared" si="8"/>
        <v>14.8</v>
      </c>
      <c r="M23" s="20">
        <f>IFERROR(100/'Skjema total MA'!I23*K23,0)</f>
        <v>17.10902329413468</v>
      </c>
    </row>
    <row r="24" spans="1:13" ht="15.6" x14ac:dyDescent="0.25">
      <c r="A24" s="389" t="s">
        <v>178</v>
      </c>
      <c r="B24" s="228">
        <v>158.267</v>
      </c>
      <c r="C24" s="228">
        <v>133.03800000000001</v>
      </c>
      <c r="D24" s="123">
        <f t="shared" si="5"/>
        <v>-15.9</v>
      </c>
      <c r="E24" s="8">
        <f>IFERROR(100/'Skjema total MA'!C24*C24,0)</f>
        <v>1.0475087109286578</v>
      </c>
      <c r="F24" s="237"/>
      <c r="G24" s="237"/>
      <c r="H24" s="123"/>
      <c r="I24" s="341"/>
      <c r="J24" s="237">
        <f t="shared" si="9"/>
        <v>158.267</v>
      </c>
      <c r="K24" s="237">
        <f t="shared" si="10"/>
        <v>133.03800000000001</v>
      </c>
      <c r="L24" s="123">
        <f t="shared" si="8"/>
        <v>-15.9</v>
      </c>
      <c r="M24" s="20">
        <f>IFERROR(100/'Skjema total MA'!I24*K24,0)</f>
        <v>0.99952854931746948</v>
      </c>
    </row>
    <row r="25" spans="1:13" ht="15.6" x14ac:dyDescent="0.25">
      <c r="A25" s="389" t="s">
        <v>179</v>
      </c>
      <c r="B25" s="228"/>
      <c r="C25" s="228"/>
      <c r="D25" s="123"/>
      <c r="E25" s="8"/>
      <c r="F25" s="237">
        <v>785.71500000000003</v>
      </c>
      <c r="G25" s="237">
        <v>715.1</v>
      </c>
      <c r="H25" s="123">
        <f t="shared" si="6"/>
        <v>-9</v>
      </c>
      <c r="I25" s="341">
        <f>IFERROR(100/'Skjema total MA'!F25*G25,0)</f>
        <v>4.746774760709183</v>
      </c>
      <c r="J25" s="237">
        <f t="shared" si="9"/>
        <v>785.71500000000003</v>
      </c>
      <c r="K25" s="237">
        <f t="shared" si="10"/>
        <v>715.1</v>
      </c>
      <c r="L25" s="123">
        <f t="shared" si="8"/>
        <v>-9</v>
      </c>
      <c r="M25" s="20">
        <f>IFERROR(100/'Skjema total MA'!I25*K25,0)</f>
        <v>2.0906789514217059</v>
      </c>
    </row>
    <row r="26" spans="1:13" ht="15.6" x14ac:dyDescent="0.25">
      <c r="A26" s="389" t="s">
        <v>180</v>
      </c>
      <c r="B26" s="228"/>
      <c r="C26" s="228"/>
      <c r="D26" s="123"/>
      <c r="E26" s="8"/>
      <c r="F26" s="237">
        <v>259071.61790000001</v>
      </c>
      <c r="G26" s="237">
        <v>313747.09107000002</v>
      </c>
      <c r="H26" s="123">
        <f t="shared" si="6"/>
        <v>21.1</v>
      </c>
      <c r="I26" s="341">
        <f>IFERROR(100/'Skjema total MA'!F26*G26,0)</f>
        <v>28.123770904212289</v>
      </c>
      <c r="J26" s="237">
        <f t="shared" si="9"/>
        <v>259071.61790000001</v>
      </c>
      <c r="K26" s="237">
        <f t="shared" si="10"/>
        <v>313747.09107000002</v>
      </c>
      <c r="L26" s="123">
        <f t="shared" si="8"/>
        <v>21.1</v>
      </c>
      <c r="M26" s="20">
        <f>IFERROR(100/'Skjema total MA'!I26*K26,0)</f>
        <v>28.123770904212289</v>
      </c>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v>255267.208642502</v>
      </c>
      <c r="C28" s="234">
        <v>293524.25529430201</v>
      </c>
      <c r="D28" s="123">
        <f t="shared" si="5"/>
        <v>15</v>
      </c>
      <c r="E28" s="8">
        <f>IFERROR(100/'Skjema total MA'!C28*C28,0)</f>
        <v>8.6673670315188467</v>
      </c>
      <c r="F28" s="181"/>
      <c r="G28" s="234"/>
      <c r="H28" s="123"/>
      <c r="I28" s="23"/>
      <c r="J28" s="36">
        <f t="shared" si="7"/>
        <v>255267.208642502</v>
      </c>
      <c r="K28" s="36">
        <f t="shared" si="7"/>
        <v>293524.25529430201</v>
      </c>
      <c r="L28" s="206">
        <f t="shared" si="8"/>
        <v>15</v>
      </c>
      <c r="M28" s="20">
        <f>IFERROR(100/'Skjema total MA'!I28*K28,0)</f>
        <v>8.6673670315188467</v>
      </c>
    </row>
    <row r="29" spans="1:13" ht="15.6" x14ac:dyDescent="0.25">
      <c r="A29" s="10" t="s">
        <v>171</v>
      </c>
      <c r="B29" s="183">
        <v>4074426.3478846201</v>
      </c>
      <c r="C29" s="183">
        <v>4346136.2809291901</v>
      </c>
      <c r="D29" s="127">
        <f t="shared" si="5"/>
        <v>6.7</v>
      </c>
      <c r="E29" s="8">
        <f>IFERROR(100/'Skjema total MA'!C29*C29,0)</f>
        <v>9.8530637958372989</v>
      </c>
      <c r="F29" s="253">
        <v>7001668.0599999996</v>
      </c>
      <c r="G29" s="253">
        <v>7694055.3600000003</v>
      </c>
      <c r="H29" s="127">
        <f t="shared" si="6"/>
        <v>9.9</v>
      </c>
      <c r="I29" s="8">
        <f>IFERROR(100/'Skjema total MA'!F29*G29,0)</f>
        <v>24.09765300002103</v>
      </c>
      <c r="J29" s="183">
        <f t="shared" si="7"/>
        <v>11076094.40788462</v>
      </c>
      <c r="K29" s="183">
        <f t="shared" si="7"/>
        <v>12040191.64092919</v>
      </c>
      <c r="L29" s="349">
        <f t="shared" si="8"/>
        <v>8.6999999999999993</v>
      </c>
      <c r="M29" s="21">
        <f>IFERROR(100/'Skjema total MA'!I29*K29,0)</f>
        <v>15.834410790161321</v>
      </c>
    </row>
    <row r="30" spans="1:13" ht="15.6" x14ac:dyDescent="0.25">
      <c r="A30" s="389" t="s">
        <v>177</v>
      </c>
      <c r="B30" s="228">
        <v>440654.20196842198</v>
      </c>
      <c r="C30" s="228">
        <v>428219.38237476302</v>
      </c>
      <c r="D30" s="123">
        <f t="shared" si="5"/>
        <v>-2.8</v>
      </c>
      <c r="E30" s="8">
        <f>IFERROR(100/'Skjema total MA'!C30*C30,0)</f>
        <v>2.234053456063362</v>
      </c>
      <c r="F30" s="237">
        <v>385446.01113067201</v>
      </c>
      <c r="G30" s="237">
        <v>367993.35049092601</v>
      </c>
      <c r="H30" s="123">
        <f t="shared" si="6"/>
        <v>-4.5</v>
      </c>
      <c r="I30" s="341">
        <f>IFERROR(100/'Skjema total MA'!F30*G30,0)</f>
        <v>9.847836877849014</v>
      </c>
      <c r="J30" s="237">
        <f t="shared" ref="J30:J33" si="11">SUM(B30,F30)</f>
        <v>826100.21309909399</v>
      </c>
      <c r="K30" s="237">
        <f t="shared" ref="K30:K33" si="12">SUM(C30,G30)</f>
        <v>796212.73286568909</v>
      </c>
      <c r="L30" s="123">
        <f t="shared" si="8"/>
        <v>-3.6</v>
      </c>
      <c r="M30" s="20">
        <f>IFERROR(100/'Skjema total MA'!I30*K30,0)</f>
        <v>3.4762108827719951</v>
      </c>
    </row>
    <row r="31" spans="1:13" ht="15.6" x14ac:dyDescent="0.25">
      <c r="A31" s="389" t="s">
        <v>178</v>
      </c>
      <c r="B31" s="228">
        <v>2686045.2317179199</v>
      </c>
      <c r="C31" s="228">
        <v>2773498.7750816001</v>
      </c>
      <c r="D31" s="123">
        <f t="shared" si="5"/>
        <v>3.3</v>
      </c>
      <c r="E31" s="8">
        <f>IFERROR(100/'Skjema total MA'!C31*C31,0)</f>
        <v>12.615814354394676</v>
      </c>
      <c r="F31" s="237">
        <v>676003.30259985896</v>
      </c>
      <c r="G31" s="237">
        <v>642865.10636747302</v>
      </c>
      <c r="H31" s="123">
        <f t="shared" si="6"/>
        <v>-4.9000000000000004</v>
      </c>
      <c r="I31" s="341">
        <f>IFERROR(100/'Skjema total MA'!F31*G31,0)</f>
        <v>8.7258742576821007</v>
      </c>
      <c r="J31" s="237">
        <f t="shared" si="11"/>
        <v>3362048.5343177789</v>
      </c>
      <c r="K31" s="237">
        <f t="shared" si="12"/>
        <v>3416363.8814490731</v>
      </c>
      <c r="L31" s="123">
        <f t="shared" si="8"/>
        <v>1.6</v>
      </c>
      <c r="M31" s="20">
        <f>IFERROR(100/'Skjema total MA'!I31*K31,0)</f>
        <v>11.639428763645643</v>
      </c>
    </row>
    <row r="32" spans="1:13" ht="15.6" x14ac:dyDescent="0.25">
      <c r="A32" s="389" t="s">
        <v>179</v>
      </c>
      <c r="B32" s="228">
        <v>947726.91419827798</v>
      </c>
      <c r="C32" s="228">
        <v>1144418.12347282</v>
      </c>
      <c r="D32" s="123">
        <f t="shared" si="5"/>
        <v>20.8</v>
      </c>
      <c r="E32" s="8">
        <f>IFERROR(100/'Skjema total MA'!C32*C32,0)</f>
        <v>41.898807887043247</v>
      </c>
      <c r="F32" s="237">
        <v>2799374.7994632702</v>
      </c>
      <c r="G32" s="237">
        <v>2929394.5529157599</v>
      </c>
      <c r="H32" s="123">
        <f t="shared" si="6"/>
        <v>4.5999999999999996</v>
      </c>
      <c r="I32" s="341">
        <f>IFERROR(100/'Skjema total MA'!F32*G32,0)</f>
        <v>39.248571325398316</v>
      </c>
      <c r="J32" s="237">
        <f t="shared" si="11"/>
        <v>3747101.7136615482</v>
      </c>
      <c r="K32" s="237">
        <f t="shared" si="12"/>
        <v>4073812.6763885799</v>
      </c>
      <c r="L32" s="123">
        <f t="shared" si="8"/>
        <v>8.6999999999999993</v>
      </c>
      <c r="M32" s="20">
        <f>IFERROR(100/'Skjema total MA'!I32*K32,0)</f>
        <v>39.958601700777415</v>
      </c>
    </row>
    <row r="33" spans="1:13" ht="15.6" x14ac:dyDescent="0.25">
      <c r="A33" s="389" t="s">
        <v>180</v>
      </c>
      <c r="B33" s="228"/>
      <c r="C33" s="228"/>
      <c r="D33" s="123"/>
      <c r="E33" s="8"/>
      <c r="F33" s="237">
        <v>3140843.9468061998</v>
      </c>
      <c r="G33" s="237">
        <v>3753802.3502258402</v>
      </c>
      <c r="H33" s="123">
        <f t="shared" si="6"/>
        <v>19.5</v>
      </c>
      <c r="I33" s="341">
        <f>IFERROR(100/'Skjema total MA'!F34*G33,0)</f>
        <v>1395.3683053580257</v>
      </c>
      <c r="J33" s="237">
        <f t="shared" si="11"/>
        <v>3140843.9468061998</v>
      </c>
      <c r="K33" s="237">
        <f t="shared" si="12"/>
        <v>3753802.3502258402</v>
      </c>
      <c r="L33" s="123">
        <f t="shared" si="8"/>
        <v>19.5</v>
      </c>
      <c r="M33" s="20">
        <f>IFERROR(100/'Skjema total MA'!I34*K33,0)</f>
        <v>936.7114609333297</v>
      </c>
    </row>
    <row r="34" spans="1:13" ht="15.6" x14ac:dyDescent="0.25">
      <c r="A34" s="10" t="s">
        <v>172</v>
      </c>
      <c r="B34" s="183">
        <v>33238.263740000002</v>
      </c>
      <c r="C34" s="254">
        <v>6543.9640300000001</v>
      </c>
      <c r="D34" s="127">
        <f t="shared" si="5"/>
        <v>-80.3</v>
      </c>
      <c r="E34" s="8">
        <f>IFERROR(100/'Skjema total MA'!C34*C34,0)</f>
        <v>4.9679396443371298</v>
      </c>
      <c r="F34" s="253">
        <v>54751.551339999998</v>
      </c>
      <c r="G34" s="254">
        <v>94457.816120000003</v>
      </c>
      <c r="H34" s="127">
        <f t="shared" si="6"/>
        <v>72.5</v>
      </c>
      <c r="I34" s="8">
        <f>IFERROR(100/'Skjema total MA'!F34*G34,0)</f>
        <v>35.111982600590231</v>
      </c>
      <c r="J34" s="183">
        <f t="shared" si="7"/>
        <v>87989.81508</v>
      </c>
      <c r="K34" s="183">
        <f t="shared" si="7"/>
        <v>101001.78015000001</v>
      </c>
      <c r="L34" s="349">
        <f t="shared" si="8"/>
        <v>14.8</v>
      </c>
      <c r="M34" s="21">
        <f>IFERROR(100/'Skjema total MA'!I34*K34,0)</f>
        <v>25.203651181975921</v>
      </c>
    </row>
    <row r="35" spans="1:13" ht="15.6" x14ac:dyDescent="0.25">
      <c r="A35" s="10" t="s">
        <v>173</v>
      </c>
      <c r="B35" s="183"/>
      <c r="C35" s="254"/>
      <c r="D35" s="127"/>
      <c r="E35" s="8"/>
      <c r="F35" s="253">
        <v>52959.443270000003</v>
      </c>
      <c r="G35" s="254">
        <v>56119.205119999999</v>
      </c>
      <c r="H35" s="127">
        <f t="shared" si="6"/>
        <v>6</v>
      </c>
      <c r="I35" s="8">
        <f>IFERROR(100/'Skjema total MA'!F35*G35,0)</f>
        <v>22.550757776878928</v>
      </c>
      <c r="J35" s="183">
        <f t="shared" si="7"/>
        <v>52959.443270000003</v>
      </c>
      <c r="K35" s="183">
        <f t="shared" si="7"/>
        <v>56119.205119999999</v>
      </c>
      <c r="L35" s="349">
        <f t="shared" si="8"/>
        <v>6</v>
      </c>
      <c r="M35" s="21">
        <f>IFERROR(100/'Skjema total MA'!I35*K35,0)</f>
        <v>20.486516759422877</v>
      </c>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c r="C47" s="256"/>
      <c r="D47" s="348"/>
      <c r="E47" s="8"/>
      <c r="F47" s="109"/>
      <c r="G47" s="27"/>
      <c r="H47" s="118"/>
      <c r="I47" s="118"/>
      <c r="J47" s="31"/>
      <c r="K47" s="31"/>
      <c r="L47" s="118"/>
      <c r="M47" s="118"/>
    </row>
    <row r="48" spans="1:13" ht="15.6" x14ac:dyDescent="0.25">
      <c r="A48" s="18" t="s">
        <v>189</v>
      </c>
      <c r="B48" s="228"/>
      <c r="C48" s="229"/>
      <c r="D48" s="206"/>
      <c r="E48" s="23"/>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v>990522</v>
      </c>
      <c r="C66" s="291">
        <v>1118615</v>
      </c>
      <c r="D66" s="288">
        <f t="shared" ref="D66:D109" si="13">IF(B66=0, "    ---- ", IF(ABS(ROUND(100/B66*C66-100,1))&lt;999,ROUND(100/B66*C66-100,1),IF(ROUND(100/B66*C66-100,1)&gt;999,999,-999)))</f>
        <v>12.9</v>
      </c>
      <c r="E66" s="8">
        <f>IFERROR(100/'Skjema total MA'!C66*C66,0)</f>
        <v>11.907564170941903</v>
      </c>
      <c r="F66" s="290">
        <v>8688430.5370000005</v>
      </c>
      <c r="G66" s="290">
        <v>9785873.8819999993</v>
      </c>
      <c r="H66" s="288">
        <f t="shared" ref="H66:H111" si="14">IF(F66=0, "    ---- ", IF(ABS(ROUND(100/F66*G66-100,1))&lt;999,ROUND(100/F66*G66-100,1),IF(ROUND(100/F66*G66-100,1)&gt;999,999,-999)))</f>
        <v>12.6</v>
      </c>
      <c r="I66" s="8">
        <f>IFERROR(100/'Skjema total MA'!F66*G66,0)</f>
        <v>16.478087245950267</v>
      </c>
      <c r="J66" s="254">
        <f t="shared" ref="J66:K86" si="15">SUM(B66,F66)</f>
        <v>9678952.5370000005</v>
      </c>
      <c r="K66" s="261">
        <f t="shared" si="15"/>
        <v>10904488.881999999</v>
      </c>
      <c r="L66" s="349">
        <f t="shared" ref="L66:L111" si="16">IF(J66=0, "    ---- ", IF(ABS(ROUND(100/J66*K66-100,1))&lt;999,ROUND(100/J66*K66-100,1),IF(ROUND(100/J66*K66-100,1)&gt;999,999,-999)))</f>
        <v>12.7</v>
      </c>
      <c r="M66" s="8">
        <f>IFERROR(100/'Skjema total MA'!I66*K66,0)</f>
        <v>15.853845343922258</v>
      </c>
    </row>
    <row r="67" spans="1:13" x14ac:dyDescent="0.25">
      <c r="A67" s="39" t="s">
        <v>197</v>
      </c>
      <c r="B67" s="36">
        <v>501506.25526459003</v>
      </c>
      <c r="C67" s="109">
        <v>561681.97035166004</v>
      </c>
      <c r="D67" s="123">
        <f t="shared" si="13"/>
        <v>12</v>
      </c>
      <c r="E67" s="23">
        <f>IFERROR(100/'Skjema total MA'!C67*C67,0)</f>
        <v>13.356605291983966</v>
      </c>
      <c r="F67" s="181"/>
      <c r="G67" s="109"/>
      <c r="H67" s="123"/>
      <c r="I67" s="23"/>
      <c r="J67" s="234">
        <f t="shared" si="15"/>
        <v>501506.25526459003</v>
      </c>
      <c r="K67" s="36">
        <f t="shared" si="15"/>
        <v>561681.97035166004</v>
      </c>
      <c r="L67" s="206">
        <f t="shared" si="16"/>
        <v>12</v>
      </c>
      <c r="M67" s="23">
        <f>IFERROR(100/'Skjema total MA'!I67*K67,0)</f>
        <v>13.356605291983966</v>
      </c>
    </row>
    <row r="68" spans="1:13" x14ac:dyDescent="0.25">
      <c r="A68" s="18" t="s">
        <v>198</v>
      </c>
      <c r="B68" s="239">
        <v>651</v>
      </c>
      <c r="C68" s="240">
        <v>1885</v>
      </c>
      <c r="D68" s="123">
        <f t="shared" si="13"/>
        <v>189.6</v>
      </c>
      <c r="E68" s="23">
        <f>IFERROR(100/'Skjema total MA'!C68*C68,0)</f>
        <v>7.7903051243024821</v>
      </c>
      <c r="F68" s="239">
        <v>8688430.5370000005</v>
      </c>
      <c r="G68" s="240">
        <v>9785873.8819999993</v>
      </c>
      <c r="H68" s="123">
        <f t="shared" si="14"/>
        <v>12.6</v>
      </c>
      <c r="I68" s="23">
        <f>IFERROR(100/'Skjema total MA'!F68*G68,0)</f>
        <v>17.111673585919732</v>
      </c>
      <c r="J68" s="234">
        <f t="shared" si="15"/>
        <v>8689081.5370000005</v>
      </c>
      <c r="K68" s="36">
        <f t="shared" si="15"/>
        <v>9787758.8819999993</v>
      </c>
      <c r="L68" s="206">
        <f t="shared" si="16"/>
        <v>12.6</v>
      </c>
      <c r="M68" s="23">
        <f>IFERROR(100/'Skjema total MA'!I68*K68,0)</f>
        <v>17.107731321768981</v>
      </c>
    </row>
    <row r="69" spans="1:13" ht="15.6" x14ac:dyDescent="0.25">
      <c r="A69" s="243" t="s">
        <v>199</v>
      </c>
      <c r="B69" s="228">
        <v>318</v>
      </c>
      <c r="C69" s="228">
        <v>236</v>
      </c>
      <c r="D69" s="123">
        <f t="shared" ref="D69" si="17">IF(B69=0, "    ---- ", IF(ABS(ROUND(100/B69*C69-100,1))&lt;999,ROUND(100/B69*C69-100,1),IF(ROUND(100/B69*C69-100,1)&gt;999,999,-999)))</f>
        <v>-25.8</v>
      </c>
      <c r="E69" s="23">
        <f>IFERROR(100/'Skjema total MA'!C69*C69,0)</f>
        <v>100</v>
      </c>
      <c r="F69" s="228">
        <v>2524.7269999999999</v>
      </c>
      <c r="G69" s="228">
        <v>2508.4879999999998</v>
      </c>
      <c r="H69" s="123">
        <f t="shared" ref="H69" si="18">IF(F69=0, "    ---- ", IF(ABS(ROUND(100/F69*G69-100,1))&lt;999,ROUND(100/F69*G69-100,1),IF(ROUND(100/F69*G69-100,1)&gt;999,999,-999)))</f>
        <v>-0.6</v>
      </c>
      <c r="I69" s="23">
        <f>IFERROR(100/'Skjema total MA'!F69*G69,0)</f>
        <v>100.00000000000001</v>
      </c>
      <c r="J69" s="234">
        <f t="shared" ref="J69" si="19">SUM(B69,F69)</f>
        <v>2842.7269999999999</v>
      </c>
      <c r="K69" s="36">
        <f t="shared" ref="K69" si="20">SUM(C69,G69)</f>
        <v>2744.4879999999998</v>
      </c>
      <c r="L69" s="206">
        <f t="shared" ref="L69" si="21">IF(J69=0, "    ---- ", IF(ABS(ROUND(100/J69*K69-100,1))&lt;999,ROUND(100/J69*K69-100,1),IF(ROUND(100/J69*K69-100,1)&gt;999,999,-999)))</f>
        <v>-3.5</v>
      </c>
      <c r="M69" s="23">
        <f>IFERROR(100/'Skjema total MA'!I69*K69,0)</f>
        <v>99.999999999999986</v>
      </c>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v>2524.7269999999999</v>
      </c>
      <c r="G71" s="228">
        <v>2508.4879999999998</v>
      </c>
      <c r="H71" s="123">
        <f t="shared" ref="H71" si="22">IF(F71=0, "    ---- ", IF(ABS(ROUND(100/F71*G71-100,1))&lt;999,ROUND(100/F71*G71-100,1),IF(ROUND(100/F71*G71-100,1)&gt;999,999,-999)))</f>
        <v>-0.6</v>
      </c>
      <c r="I71" s="23">
        <f>IFERROR(100/'Skjema total MA'!F71*G71,0)</f>
        <v>100.00000000000001</v>
      </c>
      <c r="J71" s="234">
        <f t="shared" ref="J71" si="23">SUM(B71,F71)</f>
        <v>2524.7269999999999</v>
      </c>
      <c r="K71" s="36">
        <f t="shared" ref="K71" si="24">SUM(C71,G71)</f>
        <v>2508.4879999999998</v>
      </c>
      <c r="L71" s="206">
        <f t="shared" ref="L71" si="25">IF(J71=0, "    ---- ", IF(ABS(ROUND(100/J71*K71-100,1))&lt;999,ROUND(100/J71*K71-100,1),IF(ROUND(100/J71*K71-100,1)&gt;999,999,-999)))</f>
        <v>-0.6</v>
      </c>
      <c r="M71" s="23">
        <f>IFERROR(100/'Skjema total MA'!I71*K71,0)</f>
        <v>100.00000000000001</v>
      </c>
    </row>
    <row r="72" spans="1:13" ht="15.6" x14ac:dyDescent="0.25">
      <c r="A72" s="243" t="s">
        <v>202</v>
      </c>
      <c r="B72" s="228">
        <v>333</v>
      </c>
      <c r="C72" s="228">
        <v>1649</v>
      </c>
      <c r="D72" s="123">
        <f t="shared" ref="D72" si="26">IF(B72=0, "    ---- ", IF(ABS(ROUND(100/B72*C72-100,1))&lt;999,ROUND(100/B72*C72-100,1),IF(ROUND(100/B72*C72-100,1)&gt;999,999,-999)))</f>
        <v>395.2</v>
      </c>
      <c r="E72" s="23">
        <f>IFERROR(100/'Skjema total MA'!C72*C72,0)</f>
        <v>6.8820908309791591</v>
      </c>
      <c r="F72" s="228">
        <v>8685905.8100000005</v>
      </c>
      <c r="G72" s="228">
        <v>9783365.3939999994</v>
      </c>
      <c r="H72" s="123">
        <f t="shared" si="14"/>
        <v>12.6</v>
      </c>
      <c r="I72" s="341">
        <f>IFERROR(100/'Skjema total MA'!F72*G72,0)</f>
        <v>17.108037640780285</v>
      </c>
      <c r="J72" s="234">
        <f t="shared" ref="J72" si="27">SUM(B72,F72)</f>
        <v>8686238.8100000005</v>
      </c>
      <c r="K72" s="36">
        <f t="shared" ref="K72" si="28">SUM(C72,G72)</f>
        <v>9785014.3939999994</v>
      </c>
      <c r="L72" s="206">
        <f t="shared" si="16"/>
        <v>12.6</v>
      </c>
      <c r="M72" s="20">
        <f>IFERROR(100/'Skjema total MA'!I72*K72,0)</f>
        <v>17.103754781774729</v>
      </c>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v>8685905.8100000005</v>
      </c>
      <c r="G74" s="228">
        <v>9783365.3939999994</v>
      </c>
      <c r="H74" s="123">
        <f t="shared" si="14"/>
        <v>12.6</v>
      </c>
      <c r="I74" s="341">
        <f>IFERROR(100/'Skjema total MA'!F74*G74,0)</f>
        <v>17.108037640780285</v>
      </c>
      <c r="J74" s="234">
        <f t="shared" ref="J74" si="29">SUM(B74,F74)</f>
        <v>8685905.8100000005</v>
      </c>
      <c r="K74" s="36">
        <f t="shared" ref="K74" si="30">SUM(C74,G74)</f>
        <v>9783365.3939999994</v>
      </c>
      <c r="L74" s="206">
        <f t="shared" si="16"/>
        <v>12.6</v>
      </c>
      <c r="M74" s="20">
        <f>IFERROR(100/'Skjema total MA'!I74*K74,0)</f>
        <v>17.108037640780285</v>
      </c>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v>488364.74473540997</v>
      </c>
      <c r="C76" s="109">
        <v>555048.02964833996</v>
      </c>
      <c r="D76" s="123">
        <f t="shared" ref="D76" si="31">IF(B76=0, "    ---- ", IF(ABS(ROUND(100/B76*C76-100,1))&lt;999,ROUND(100/B76*C76-100,1),IF(ROUND(100/B76*C76-100,1)&gt;999,999,-999)))</f>
        <v>13.7</v>
      </c>
      <c r="E76" s="23">
        <f>IFERROR(100/'Skjema total MA'!C76*C76,0)</f>
        <v>13.244844699993033</v>
      </c>
      <c r="F76" s="181"/>
      <c r="G76" s="109"/>
      <c r="H76" s="123"/>
      <c r="I76" s="23"/>
      <c r="J76" s="234">
        <f t="shared" ref="J76" si="32">SUM(B76,F76)</f>
        <v>488364.74473540997</v>
      </c>
      <c r="K76" s="36">
        <f t="shared" ref="K76" si="33">SUM(C76,G76)</f>
        <v>555048.02964833996</v>
      </c>
      <c r="L76" s="206">
        <f t="shared" ref="L76" si="34">IF(J76=0, "    ---- ", IF(ABS(ROUND(100/J76*K76-100,1))&lt;999,ROUND(100/J76*K76-100,1),IF(ROUND(100/J76*K76-100,1)&gt;999,999,-999)))</f>
        <v>13.7</v>
      </c>
      <c r="M76" s="23">
        <f>IFERROR(100/'Skjema total MA'!I76*K76,0)</f>
        <v>13.244844699993033</v>
      </c>
    </row>
    <row r="77" spans="1:13" ht="15.6" x14ac:dyDescent="0.25">
      <c r="A77" s="18" t="s">
        <v>205</v>
      </c>
      <c r="B77" s="181">
        <v>495380.69026459003</v>
      </c>
      <c r="C77" s="181">
        <v>557575.56335166004</v>
      </c>
      <c r="D77" s="123">
        <f t="shared" si="13"/>
        <v>12.6</v>
      </c>
      <c r="E77" s="23">
        <f>IFERROR(100/'Skjema total MA'!C77*C77,0)</f>
        <v>13.496773816715743</v>
      </c>
      <c r="F77" s="181">
        <v>8685905.8100000005</v>
      </c>
      <c r="G77" s="109">
        <v>9783365.3939999994</v>
      </c>
      <c r="H77" s="123">
        <f t="shared" si="14"/>
        <v>12.6</v>
      </c>
      <c r="I77" s="23">
        <f>IFERROR(100/'Skjema total MA'!F77*G77,0)</f>
        <v>17.111527721309187</v>
      </c>
      <c r="J77" s="234">
        <f t="shared" si="15"/>
        <v>9181286.5002645906</v>
      </c>
      <c r="K77" s="36">
        <f t="shared" si="15"/>
        <v>10340940.957351658</v>
      </c>
      <c r="L77" s="206">
        <f t="shared" si="16"/>
        <v>12.6</v>
      </c>
      <c r="M77" s="23">
        <f>IFERROR(100/'Skjema total MA'!I77*K77,0)</f>
        <v>16.867940501044867</v>
      </c>
    </row>
    <row r="78" spans="1:13" x14ac:dyDescent="0.25">
      <c r="A78" s="18" t="s">
        <v>197</v>
      </c>
      <c r="B78" s="181">
        <v>494729.69026459003</v>
      </c>
      <c r="C78" s="109">
        <v>555690.56335166004</v>
      </c>
      <c r="D78" s="123">
        <f t="shared" si="13"/>
        <v>12.3</v>
      </c>
      <c r="E78" s="23">
        <f>IFERROR(100/'Skjema total MA'!C78*C78,0)</f>
        <v>13.530394129618026</v>
      </c>
      <c r="F78" s="181"/>
      <c r="G78" s="109"/>
      <c r="H78" s="123"/>
      <c r="I78" s="23"/>
      <c r="J78" s="234">
        <f t="shared" si="15"/>
        <v>494729.69026459003</v>
      </c>
      <c r="K78" s="36">
        <f t="shared" si="15"/>
        <v>555690.56335166004</v>
      </c>
      <c r="L78" s="206">
        <f t="shared" si="16"/>
        <v>12.3</v>
      </c>
      <c r="M78" s="23">
        <f>IFERROR(100/'Skjema total MA'!I78*K78,0)</f>
        <v>13.530394129618026</v>
      </c>
    </row>
    <row r="79" spans="1:13" x14ac:dyDescent="0.25">
      <c r="A79" s="18" t="s">
        <v>206</v>
      </c>
      <c r="B79" s="239">
        <v>651</v>
      </c>
      <c r="C79" s="240">
        <v>1885</v>
      </c>
      <c r="D79" s="123">
        <f t="shared" si="13"/>
        <v>189.6</v>
      </c>
      <c r="E79" s="23">
        <f>IFERROR(100/'Skjema total MA'!C79*C79,0)</f>
        <v>7.7903051243024821</v>
      </c>
      <c r="F79" s="239">
        <v>8685905.8100000005</v>
      </c>
      <c r="G79" s="240">
        <v>9783365.3939999994</v>
      </c>
      <c r="H79" s="123">
        <f t="shared" si="14"/>
        <v>12.6</v>
      </c>
      <c r="I79" s="23">
        <f>IFERROR(100/'Skjema total MA'!F79*G79,0)</f>
        <v>17.111527721309187</v>
      </c>
      <c r="J79" s="234">
        <f t="shared" si="15"/>
        <v>8686556.8100000005</v>
      </c>
      <c r="K79" s="36">
        <f t="shared" si="15"/>
        <v>9785250.3939999994</v>
      </c>
      <c r="L79" s="206">
        <f t="shared" si="16"/>
        <v>12.6</v>
      </c>
      <c r="M79" s="23">
        <f>IFERROR(100/'Skjema total MA'!I79*K79,0)</f>
        <v>17.107584542080971</v>
      </c>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v>651</v>
      </c>
      <c r="C83" s="228">
        <v>1885</v>
      </c>
      <c r="D83" s="123">
        <f t="shared" ref="D83" si="35">IF(B83=0, "    ---- ", IF(ABS(ROUND(100/B83*C83-100,1))&lt;999,ROUND(100/B83*C83-100,1),IF(ROUND(100/B83*C83-100,1)&gt;999,999,-999)))</f>
        <v>189.6</v>
      </c>
      <c r="E83" s="23">
        <f>IFERROR(100/'Skjema total MA'!C83*C83,0)</f>
        <v>7.7903051243024821</v>
      </c>
      <c r="F83" s="228">
        <v>8685905.8100000005</v>
      </c>
      <c r="G83" s="228">
        <v>9783365.3939999994</v>
      </c>
      <c r="H83" s="123">
        <f t="shared" si="14"/>
        <v>12.6</v>
      </c>
      <c r="I83" s="341">
        <f>IFERROR(100/'Skjema total MA'!F83*G83,0)</f>
        <v>17.111527721309187</v>
      </c>
      <c r="J83" s="234">
        <f t="shared" ref="J83" si="36">SUM(B83,F83)</f>
        <v>8686556.8100000005</v>
      </c>
      <c r="K83" s="36">
        <f t="shared" ref="K83" si="37">SUM(C83,G83)</f>
        <v>9785250.3939999994</v>
      </c>
      <c r="L83" s="206">
        <f t="shared" si="16"/>
        <v>12.6</v>
      </c>
      <c r="M83" s="20">
        <f>IFERROR(100/'Skjema total MA'!I83*K83,0)</f>
        <v>17.107584542080971</v>
      </c>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v>8685905.8100000005</v>
      </c>
      <c r="G85" s="228">
        <v>9783365.3939999994</v>
      </c>
      <c r="H85" s="123">
        <f t="shared" si="14"/>
        <v>12.6</v>
      </c>
      <c r="I85" s="341">
        <f>IFERROR(100/'Skjema total MA'!F85*G85,0)</f>
        <v>17.111527721309187</v>
      </c>
      <c r="J85" s="234">
        <f t="shared" ref="J85" si="38">SUM(B85,F85)</f>
        <v>8685905.8100000005</v>
      </c>
      <c r="K85" s="36">
        <f t="shared" ref="K85" si="39">SUM(C85,G85)</f>
        <v>9783365.3939999994</v>
      </c>
      <c r="L85" s="206">
        <f t="shared" si="16"/>
        <v>12.6</v>
      </c>
      <c r="M85" s="20">
        <f>IFERROR(100/'Skjema total MA'!I85*K85,0)</f>
        <v>17.111527721309187</v>
      </c>
    </row>
    <row r="86" spans="1:13" ht="15.6" x14ac:dyDescent="0.25">
      <c r="A86" s="18" t="s">
        <v>207</v>
      </c>
      <c r="B86" s="181">
        <v>6776.6689999999999</v>
      </c>
      <c r="C86" s="109">
        <v>5991.4070000000002</v>
      </c>
      <c r="D86" s="123">
        <f t="shared" si="13"/>
        <v>-11.6</v>
      </c>
      <c r="E86" s="23">
        <f>IFERROR(100/'Skjema total MA'!C86*C86,0)</f>
        <v>6.095330371372885</v>
      </c>
      <c r="F86" s="181">
        <v>2524.7269999999999</v>
      </c>
      <c r="G86" s="109">
        <v>2508.4879999999998</v>
      </c>
      <c r="H86" s="123">
        <f t="shared" si="14"/>
        <v>-0.6</v>
      </c>
      <c r="I86" s="23">
        <f>IFERROR(100/'Skjema total MA'!F86*G86,0)</f>
        <v>17.700129373499919</v>
      </c>
      <c r="J86" s="234">
        <f t="shared" si="15"/>
        <v>9301.3960000000006</v>
      </c>
      <c r="K86" s="36">
        <f t="shared" si="15"/>
        <v>8499.8950000000004</v>
      </c>
      <c r="L86" s="206">
        <f t="shared" si="16"/>
        <v>-8.6</v>
      </c>
      <c r="M86" s="23">
        <f>IFERROR(100/'Skjema total MA'!I86*K86,0)</f>
        <v>7.5576671800194006</v>
      </c>
    </row>
    <row r="87" spans="1:13" ht="15.6" x14ac:dyDescent="0.25">
      <c r="A87" s="10" t="s">
        <v>171</v>
      </c>
      <c r="B87" s="291">
        <v>50104398.027597606</v>
      </c>
      <c r="C87" s="291">
        <v>51332068.293319702</v>
      </c>
      <c r="D87" s="127">
        <f t="shared" si="13"/>
        <v>2.5</v>
      </c>
      <c r="E87" s="8">
        <f>IFERROR(100/'Skjema total MA'!C87*C87,0)</f>
        <v>12.352206316795208</v>
      </c>
      <c r="F87" s="290">
        <v>110326577.40823001</v>
      </c>
      <c r="G87" s="290">
        <v>137247254.247605</v>
      </c>
      <c r="H87" s="127">
        <f t="shared" si="14"/>
        <v>24.4</v>
      </c>
      <c r="I87" s="8">
        <f>IFERROR(100/'Skjema total MA'!F87*G87,0)</f>
        <v>17.322078012345475</v>
      </c>
      <c r="J87" s="254">
        <f t="shared" ref="J87:K111" si="40">SUM(B87,F87)</f>
        <v>160430975.43582761</v>
      </c>
      <c r="K87" s="183">
        <f t="shared" si="40"/>
        <v>188579322.5409247</v>
      </c>
      <c r="L87" s="349">
        <f t="shared" si="16"/>
        <v>17.5</v>
      </c>
      <c r="M87" s="8">
        <f>IFERROR(100/'Skjema total MA'!I87*K87,0)</f>
        <v>15.612220188738039</v>
      </c>
    </row>
    <row r="88" spans="1:13" x14ac:dyDescent="0.25">
      <c r="A88" s="18" t="s">
        <v>197</v>
      </c>
      <c r="B88" s="181">
        <v>48098565.558597602</v>
      </c>
      <c r="C88" s="109">
        <v>49166132.7703197</v>
      </c>
      <c r="D88" s="123">
        <f t="shared" si="13"/>
        <v>2.2000000000000002</v>
      </c>
      <c r="E88" s="23">
        <f>IFERROR(100/'Skjema total MA'!C88*C88,0)</f>
        <v>12.65971084776305</v>
      </c>
      <c r="F88" s="181"/>
      <c r="G88" s="109"/>
      <c r="H88" s="123"/>
      <c r="I88" s="23"/>
      <c r="J88" s="234">
        <f t="shared" si="40"/>
        <v>48098565.558597602</v>
      </c>
      <c r="K88" s="36">
        <f t="shared" si="40"/>
        <v>49166132.7703197</v>
      </c>
      <c r="L88" s="206">
        <f t="shared" si="16"/>
        <v>2.2000000000000002</v>
      </c>
      <c r="M88" s="23">
        <f>IFERROR(100/'Skjema total MA'!I88*K88,0)</f>
        <v>12.65971084776305</v>
      </c>
    </row>
    <row r="89" spans="1:13" x14ac:dyDescent="0.25">
      <c r="A89" s="18" t="s">
        <v>198</v>
      </c>
      <c r="B89" s="181">
        <v>1649067.35</v>
      </c>
      <c r="C89" s="109">
        <v>1777769.365</v>
      </c>
      <c r="D89" s="123">
        <f t="shared" si="13"/>
        <v>7.8</v>
      </c>
      <c r="E89" s="23">
        <f>IFERROR(100/'Skjema total MA'!C89*C89,0)</f>
        <v>41.660421707808808</v>
      </c>
      <c r="F89" s="181">
        <v>110326577.40823001</v>
      </c>
      <c r="G89" s="109">
        <v>137247254.247605</v>
      </c>
      <c r="H89" s="123">
        <f t="shared" si="14"/>
        <v>24.4</v>
      </c>
      <c r="I89" s="23">
        <f>IFERROR(100/'Skjema total MA'!F89*G89,0)</f>
        <v>17.603146366191151</v>
      </c>
      <c r="J89" s="234">
        <f t="shared" si="40"/>
        <v>111975644.75823</v>
      </c>
      <c r="K89" s="36">
        <f t="shared" si="40"/>
        <v>139025023.61260501</v>
      </c>
      <c r="L89" s="206">
        <f t="shared" si="16"/>
        <v>24.2</v>
      </c>
      <c r="M89" s="23">
        <f>IFERROR(100/'Skjema total MA'!I89*K89,0)</f>
        <v>17.734099032954319</v>
      </c>
    </row>
    <row r="90" spans="1:13" ht="15.6" x14ac:dyDescent="0.25">
      <c r="A90" s="243" t="s">
        <v>199</v>
      </c>
      <c r="B90" s="228"/>
      <c r="C90" s="228"/>
      <c r="D90" s="123"/>
      <c r="E90" s="341"/>
      <c r="F90" s="228">
        <v>17190.906999999999</v>
      </c>
      <c r="G90" s="228">
        <v>22104.882000000001</v>
      </c>
      <c r="H90" s="123">
        <f t="shared" si="14"/>
        <v>28.6</v>
      </c>
      <c r="I90" s="341">
        <f>IFERROR(100/'Skjema total MA'!F90*G90,0)</f>
        <v>6.5554426848240137</v>
      </c>
      <c r="J90" s="234">
        <f t="shared" si="40"/>
        <v>17190.906999999999</v>
      </c>
      <c r="K90" s="36">
        <f t="shared" si="40"/>
        <v>22104.882000000001</v>
      </c>
      <c r="L90" s="206">
        <f t="shared" si="16"/>
        <v>28.6</v>
      </c>
      <c r="M90" s="20">
        <f>IFERROR(100/'Skjema total MA'!I90*K90,0)</f>
        <v>6.5554426848240137</v>
      </c>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v>17190.906999999999</v>
      </c>
      <c r="G92" s="228">
        <v>22104.882000000001</v>
      </c>
      <c r="H92" s="123">
        <f t="shared" ref="H92" si="41">IF(F92=0, "    ---- ", IF(ABS(ROUND(100/F92*G92-100,1))&lt;999,ROUND(100/F92*G92-100,1),IF(ROUND(100/F92*G92-100,1)&gt;999,999,-999)))</f>
        <v>28.6</v>
      </c>
      <c r="I92" s="341">
        <f>IFERROR(100/'Skjema total MA'!F92*G92,0)</f>
        <v>100</v>
      </c>
      <c r="J92" s="234">
        <f t="shared" ref="J92" si="42">SUM(B92,F92)</f>
        <v>17190.906999999999</v>
      </c>
      <c r="K92" s="36">
        <f t="shared" ref="K92" si="43">SUM(C92,G92)</f>
        <v>22104.882000000001</v>
      </c>
      <c r="L92" s="206">
        <f t="shared" ref="L92" si="44">IF(J92=0, "    ---- ", IF(ABS(ROUND(100/J92*K92-100,1))&lt;999,ROUND(100/J92*K92-100,1),IF(ROUND(100/J92*K92-100,1)&gt;999,999,-999)))</f>
        <v>28.6</v>
      </c>
      <c r="M92" s="23">
        <f>IFERROR(100/'Skjema total MA'!I92*K92,0)</f>
        <v>100</v>
      </c>
    </row>
    <row r="93" spans="1:13" ht="15.6" x14ac:dyDescent="0.25">
      <c r="A93" s="243" t="s">
        <v>202</v>
      </c>
      <c r="B93" s="228">
        <v>1649067.35</v>
      </c>
      <c r="C93" s="228">
        <v>1777769.365</v>
      </c>
      <c r="D93" s="123">
        <f t="shared" si="13"/>
        <v>7.8</v>
      </c>
      <c r="E93" s="23">
        <f>IFERROR(100/'Skjema total MA'!C94*C93,0)</f>
        <v>0</v>
      </c>
      <c r="F93" s="228">
        <v>110309386.50123</v>
      </c>
      <c r="G93" s="228">
        <v>137225149.365605</v>
      </c>
      <c r="H93" s="123">
        <f t="shared" si="14"/>
        <v>24.4</v>
      </c>
      <c r="I93" s="341">
        <f>IFERROR(100/'Skjema total MA'!F93*G93,0)</f>
        <v>17.607926419014966</v>
      </c>
      <c r="J93" s="234">
        <f t="shared" ref="J93" si="45">SUM(B93,F93)</f>
        <v>111958453.85123</v>
      </c>
      <c r="K93" s="36">
        <f t="shared" ref="K93" si="46">SUM(C93,G93)</f>
        <v>139002918.73060501</v>
      </c>
      <c r="L93" s="206">
        <f t="shared" si="16"/>
        <v>24.2</v>
      </c>
      <c r="M93" s="20">
        <f>IFERROR(100/'Skjema total MA'!I93*K93,0)</f>
        <v>17.738909406227648</v>
      </c>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v>110309386.50123</v>
      </c>
      <c r="G95" s="228">
        <v>137225149.365605</v>
      </c>
      <c r="H95" s="123">
        <f t="shared" si="14"/>
        <v>24.4</v>
      </c>
      <c r="I95" s="341">
        <f>IFERROR(100/'Skjema total MA'!F95*G95,0)</f>
        <v>17.607926419014966</v>
      </c>
      <c r="J95" s="234">
        <f t="shared" ref="J95" si="47">SUM(B95,F95)</f>
        <v>110309386.50123</v>
      </c>
      <c r="K95" s="36">
        <f t="shared" ref="K95" si="48">SUM(C95,G95)</f>
        <v>137225149.365605</v>
      </c>
      <c r="L95" s="206">
        <f t="shared" si="16"/>
        <v>24.4</v>
      </c>
      <c r="M95" s="20">
        <f>IFERROR(100/'Skjema total MA'!I95*K95,0)</f>
        <v>17.607926419014966</v>
      </c>
    </row>
    <row r="96" spans="1:13" x14ac:dyDescent="0.25">
      <c r="A96" s="18" t="s">
        <v>221</v>
      </c>
      <c r="B96" s="181"/>
      <c r="C96" s="109"/>
      <c r="D96" s="123"/>
      <c r="E96" s="23"/>
      <c r="F96" s="181"/>
      <c r="G96" s="109"/>
      <c r="H96" s="123"/>
      <c r="I96" s="23"/>
      <c r="J96" s="234"/>
      <c r="K96" s="36"/>
      <c r="L96" s="206"/>
      <c r="M96" s="23"/>
    </row>
    <row r="97" spans="1:13" x14ac:dyDescent="0.25">
      <c r="A97" s="18" t="s">
        <v>222</v>
      </c>
      <c r="B97" s="181">
        <v>356765.11900000001</v>
      </c>
      <c r="C97" s="109">
        <v>388166.158</v>
      </c>
      <c r="D97" s="123">
        <f t="shared" ref="D97" si="49">IF(B97=0, "    ---- ", IF(ABS(ROUND(100/B97*C97-100,1))&lt;999,ROUND(100/B97*C97-100,1),IF(ROUND(100/B97*C97-100,1)&gt;999,999,-999)))</f>
        <v>8.8000000000000007</v>
      </c>
      <c r="E97" s="23">
        <f>IFERROR(100/'Skjema total MA'!C98*C97,0)</f>
        <v>9.9902907946141831E-2</v>
      </c>
      <c r="F97" s="181"/>
      <c r="G97" s="109"/>
      <c r="H97" s="123"/>
      <c r="I97" s="23"/>
      <c r="J97" s="234">
        <f t="shared" ref="J97" si="50">SUM(B97,F97)</f>
        <v>356765.11900000001</v>
      </c>
      <c r="K97" s="36">
        <f t="shared" ref="K97" si="51">SUM(C97,G97)</f>
        <v>388166.158</v>
      </c>
      <c r="L97" s="206">
        <f t="shared" ref="L97" si="52">IF(J97=0, "    ---- ", IF(ABS(ROUND(100/J97*K97-100,1))&lt;999,ROUND(100/J97*K97-100,1),IF(ROUND(100/J97*K97-100,1)&gt;999,999,-999)))</f>
        <v>8.8000000000000007</v>
      </c>
      <c r="M97" s="23">
        <f>IFERROR(100/'Skjema total MA'!I98*K97,0)</f>
        <v>3.3239330056778496E-2</v>
      </c>
    </row>
    <row r="98" spans="1:13" ht="15.6" x14ac:dyDescent="0.25">
      <c r="A98" s="18" t="s">
        <v>205</v>
      </c>
      <c r="B98" s="181">
        <v>49716191.894597605</v>
      </c>
      <c r="C98" s="181">
        <v>50910765.162319705</v>
      </c>
      <c r="D98" s="123">
        <f t="shared" si="13"/>
        <v>2.4</v>
      </c>
      <c r="E98" s="23">
        <f>IFERROR(100/'Skjema total MA'!C98*C98,0)</f>
        <v>13.102980207457627</v>
      </c>
      <c r="F98" s="239">
        <v>110309386.50123</v>
      </c>
      <c r="G98" s="239">
        <v>137225149.365605</v>
      </c>
      <c r="H98" s="123">
        <f t="shared" si="14"/>
        <v>24.4</v>
      </c>
      <c r="I98" s="23">
        <f>IFERROR(100/'Skjema total MA'!F98*G98,0)</f>
        <v>17.609937553039686</v>
      </c>
      <c r="J98" s="234">
        <f t="shared" si="40"/>
        <v>160025578.39582759</v>
      </c>
      <c r="K98" s="36">
        <f t="shared" si="40"/>
        <v>188135914.52792472</v>
      </c>
      <c r="L98" s="206">
        <f t="shared" si="16"/>
        <v>17.600000000000001</v>
      </c>
      <c r="M98" s="23">
        <f>IFERROR(100/'Skjema total MA'!I98*K98,0)</f>
        <v>16.110399192831125</v>
      </c>
    </row>
    <row r="99" spans="1:13" x14ac:dyDescent="0.25">
      <c r="A99" s="18" t="s">
        <v>197</v>
      </c>
      <c r="B99" s="239">
        <v>48067124.544597603</v>
      </c>
      <c r="C99" s="240">
        <v>49132995.797319703</v>
      </c>
      <c r="D99" s="123">
        <f t="shared" si="13"/>
        <v>2.2000000000000002</v>
      </c>
      <c r="E99" s="23">
        <f>IFERROR(100/'Skjema total MA'!C99*C99,0)</f>
        <v>12.785857267697558</v>
      </c>
      <c r="F99" s="181"/>
      <c r="G99" s="109"/>
      <c r="H99" s="123"/>
      <c r="I99" s="23"/>
      <c r="J99" s="234">
        <f t="shared" si="40"/>
        <v>48067124.544597603</v>
      </c>
      <c r="K99" s="36">
        <f t="shared" si="40"/>
        <v>49132995.797319703</v>
      </c>
      <c r="L99" s="206">
        <f t="shared" si="16"/>
        <v>2.2000000000000002</v>
      </c>
      <c r="M99" s="23">
        <f>IFERROR(100/'Skjema total MA'!I99*K99,0)</f>
        <v>12.785857267697558</v>
      </c>
    </row>
    <row r="100" spans="1:13" x14ac:dyDescent="0.25">
      <c r="A100" s="18" t="s">
        <v>206</v>
      </c>
      <c r="B100" s="239">
        <v>1649067.35</v>
      </c>
      <c r="C100" s="240">
        <v>1777769.365</v>
      </c>
      <c r="D100" s="123">
        <f t="shared" si="13"/>
        <v>7.8</v>
      </c>
      <c r="E100" s="23">
        <f>IFERROR(100/'Skjema total MA'!C100*C100,0)</f>
        <v>41.660421707808808</v>
      </c>
      <c r="F100" s="181">
        <v>110309386.50123</v>
      </c>
      <c r="G100" s="181">
        <v>137225149.365605</v>
      </c>
      <c r="H100" s="123">
        <f t="shared" si="14"/>
        <v>24.4</v>
      </c>
      <c r="I100" s="23">
        <f>IFERROR(100/'Skjema total MA'!F100*G100,0)</f>
        <v>17.609937553039686</v>
      </c>
      <c r="J100" s="234">
        <f t="shared" si="40"/>
        <v>111958453.85123</v>
      </c>
      <c r="K100" s="36">
        <f t="shared" si="40"/>
        <v>139002918.73060501</v>
      </c>
      <c r="L100" s="206">
        <f t="shared" si="16"/>
        <v>24.2</v>
      </c>
      <c r="M100" s="23">
        <f>IFERROR(100/'Skjema total MA'!I100*K100,0)</f>
        <v>17.740924466023809</v>
      </c>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v>1649067.35</v>
      </c>
      <c r="C104" s="228">
        <v>1777769.365</v>
      </c>
      <c r="D104" s="123">
        <f t="shared" si="13"/>
        <v>7.8</v>
      </c>
      <c r="E104" s="23">
        <f>IFERROR(100/'Skjema total MA'!C104*C104,0)</f>
        <v>41.660421707808808</v>
      </c>
      <c r="F104" s="228">
        <v>110309386.50123</v>
      </c>
      <c r="G104" s="228">
        <v>137225149.365605</v>
      </c>
      <c r="H104" s="123">
        <f t="shared" si="14"/>
        <v>24.4</v>
      </c>
      <c r="I104" s="341">
        <f>IFERROR(100/'Skjema total MA'!F104*G104,0)</f>
        <v>17.609937553039686</v>
      </c>
      <c r="J104" s="234">
        <f t="shared" ref="J104" si="53">SUM(B104,F104)</f>
        <v>111958453.85123</v>
      </c>
      <c r="K104" s="36">
        <f t="shared" ref="K104" si="54">SUM(C104,G104)</f>
        <v>139002918.73060501</v>
      </c>
      <c r="L104" s="206">
        <f t="shared" si="16"/>
        <v>24.2</v>
      </c>
      <c r="M104" s="20">
        <f>IFERROR(100/'Skjema total MA'!I104*K104,0)</f>
        <v>17.740924466023809</v>
      </c>
    </row>
    <row r="105" spans="1:13" x14ac:dyDescent="0.25">
      <c r="A105" s="243" t="s">
        <v>200</v>
      </c>
      <c r="B105" s="182"/>
      <c r="C105" s="236"/>
      <c r="D105" s="123"/>
      <c r="E105" s="23">
        <f>IFERROR(100/'Skjema total MA'!C105*C105,0)</f>
        <v>0</v>
      </c>
      <c r="F105" s="228"/>
      <c r="G105" s="228"/>
      <c r="H105" s="123"/>
      <c r="I105" s="341"/>
      <c r="J105" s="237"/>
      <c r="K105" s="237"/>
      <c r="L105" s="123"/>
      <c r="M105" s="20"/>
    </row>
    <row r="106" spans="1:13" x14ac:dyDescent="0.25">
      <c r="A106" s="243" t="s">
        <v>201</v>
      </c>
      <c r="B106" s="182"/>
      <c r="C106" s="236"/>
      <c r="D106" s="123"/>
      <c r="E106" s="23">
        <f>IFERROR(100/'Skjema total MA'!C106*C106,0)</f>
        <v>0</v>
      </c>
      <c r="F106" s="228">
        <v>110309386.50123</v>
      </c>
      <c r="G106" s="228">
        <v>137225149.365605</v>
      </c>
      <c r="H106" s="123">
        <f t="shared" si="14"/>
        <v>24.4</v>
      </c>
      <c r="I106" s="341">
        <f>IFERROR(100/'Skjema total MA'!F106*G106,0)</f>
        <v>17.609937553039686</v>
      </c>
      <c r="J106" s="234">
        <f t="shared" ref="J106" si="55">SUM(B106,F106)</f>
        <v>110309386.50123</v>
      </c>
      <c r="K106" s="36">
        <f t="shared" ref="K106" si="56">SUM(C106,G106)</f>
        <v>137225149.365605</v>
      </c>
      <c r="L106" s="206">
        <f t="shared" si="16"/>
        <v>24.4</v>
      </c>
      <c r="M106" s="20">
        <f>IFERROR(100/'Skjema total MA'!I106*K106,0)</f>
        <v>17.609937553039686</v>
      </c>
    </row>
    <row r="107" spans="1:13" ht="15.6" x14ac:dyDescent="0.25">
      <c r="A107" s="18" t="s">
        <v>207</v>
      </c>
      <c r="B107" s="181">
        <v>31441.013999999999</v>
      </c>
      <c r="C107" s="109">
        <v>33136.972999999998</v>
      </c>
      <c r="D107" s="123">
        <f t="shared" si="13"/>
        <v>5.4</v>
      </c>
      <c r="E107" s="23">
        <f>IFERROR(100/'Skjema total MA'!C107*C107,0)</f>
        <v>0.81003018626137291</v>
      </c>
      <c r="F107" s="181">
        <v>17190.906999999999</v>
      </c>
      <c r="G107" s="109">
        <v>22104.882000000001</v>
      </c>
      <c r="H107" s="123">
        <f t="shared" si="14"/>
        <v>28.6</v>
      </c>
      <c r="I107" s="23">
        <f>IFERROR(100/'Skjema total MA'!F107*G107,0)</f>
        <v>5.1864709818984318</v>
      </c>
      <c r="J107" s="234">
        <f t="shared" si="40"/>
        <v>48631.921000000002</v>
      </c>
      <c r="K107" s="36">
        <f t="shared" si="40"/>
        <v>55241.854999999996</v>
      </c>
      <c r="L107" s="206">
        <f t="shared" si="16"/>
        <v>13.6</v>
      </c>
      <c r="M107" s="23">
        <f>IFERROR(100/'Skjema total MA'!I107*K107,0)</f>
        <v>1.2229672708005577</v>
      </c>
    </row>
    <row r="108" spans="1:13" ht="15.6" x14ac:dyDescent="0.25">
      <c r="A108" s="18" t="s">
        <v>208</v>
      </c>
      <c r="B108" s="181">
        <v>40392253.437575601</v>
      </c>
      <c r="C108" s="181">
        <v>41023934.336972103</v>
      </c>
      <c r="D108" s="123">
        <f t="shared" si="13"/>
        <v>1.6</v>
      </c>
      <c r="E108" s="23">
        <f>IFERROR(100/'Skjema total MA'!C108*C108,0)</f>
        <v>12.332802964477937</v>
      </c>
      <c r="F108" s="181"/>
      <c r="G108" s="181"/>
      <c r="H108" s="123"/>
      <c r="I108" s="23"/>
      <c r="J108" s="234">
        <f t="shared" si="40"/>
        <v>40392253.437575601</v>
      </c>
      <c r="K108" s="36">
        <f t="shared" si="40"/>
        <v>41023934.336972103</v>
      </c>
      <c r="L108" s="206">
        <f t="shared" si="16"/>
        <v>1.6</v>
      </c>
      <c r="M108" s="23">
        <f>IFERROR(100/'Skjema total MA'!I108*K108,0)</f>
        <v>11.435134832160191</v>
      </c>
    </row>
    <row r="109" spans="1:13" ht="15.6" x14ac:dyDescent="0.25">
      <c r="A109" s="18" t="s">
        <v>209</v>
      </c>
      <c r="B109" s="181">
        <v>1001168.11384817</v>
      </c>
      <c r="C109" s="181">
        <v>1184426.0743832299</v>
      </c>
      <c r="D109" s="123">
        <f t="shared" si="13"/>
        <v>18.3</v>
      </c>
      <c r="E109" s="23">
        <f>IFERROR(100/'Skjema total MA'!C109*C109,0)</f>
        <v>45.611968912649175</v>
      </c>
      <c r="F109" s="181">
        <v>47619747.299010001</v>
      </c>
      <c r="G109" s="181">
        <v>61333288.708870001</v>
      </c>
      <c r="H109" s="123">
        <f t="shared" si="14"/>
        <v>28.8</v>
      </c>
      <c r="I109" s="23">
        <f>IFERROR(100/'Skjema total MA'!F109*G109,0)</f>
        <v>20.049676191805077</v>
      </c>
      <c r="J109" s="234">
        <f t="shared" si="40"/>
        <v>48620915.412858173</v>
      </c>
      <c r="K109" s="36">
        <f t="shared" si="40"/>
        <v>62517714.78325323</v>
      </c>
      <c r="L109" s="206">
        <f t="shared" si="16"/>
        <v>28.6</v>
      </c>
      <c r="M109" s="23">
        <f>IFERROR(100/'Skjema total MA'!I109*K109,0)</f>
        <v>20.264839902699325</v>
      </c>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v>12052738.021</v>
      </c>
      <c r="G111" s="118">
        <v>14159858.661</v>
      </c>
      <c r="H111" s="127">
        <f t="shared" si="14"/>
        <v>17.5</v>
      </c>
      <c r="I111" s="8">
        <f>IFERROR(100/'Skjema total MA'!F111*G111,0)</f>
        <v>20.549351978445277</v>
      </c>
      <c r="J111" s="254">
        <f t="shared" si="40"/>
        <v>12052738.021</v>
      </c>
      <c r="K111" s="183">
        <f t="shared" si="40"/>
        <v>14159858.661</v>
      </c>
      <c r="L111" s="349">
        <f t="shared" si="16"/>
        <v>17.5</v>
      </c>
      <c r="M111" s="8">
        <f>IFERROR(100/'Skjema total MA'!I111*K111,0)</f>
        <v>19.83852603105381</v>
      </c>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v>12052738.021</v>
      </c>
      <c r="G113" s="109">
        <v>14159858.661</v>
      </c>
      <c r="H113" s="123">
        <f t="shared" ref="H113:H125" si="57">IF(F113=0, "    ---- ", IF(ABS(ROUND(100/F113*G113-100,1))&lt;999,ROUND(100/F113*G113-100,1),IF(ROUND(100/F113*G113-100,1)&gt;999,999,-999)))</f>
        <v>17.5</v>
      </c>
      <c r="I113" s="23">
        <f>IFERROR(100/'Skjema total MA'!F113*G113,0)</f>
        <v>20.693240005565087</v>
      </c>
      <c r="J113" s="234">
        <f t="shared" ref="J113:K125" si="58">SUM(B113,F113)</f>
        <v>12052738.021</v>
      </c>
      <c r="K113" s="36">
        <f t="shared" si="58"/>
        <v>14159858.661</v>
      </c>
      <c r="L113" s="206">
        <f t="shared" ref="L113:L125" si="59">IF(J113=0, "    ---- ", IF(ABS(ROUND(100/J113*K113-100,1))&lt;999,ROUND(100/J113*K113-100,1),IF(ROUND(100/J113*K113-100,1)&gt;999,999,-999)))</f>
        <v>17.5</v>
      </c>
      <c r="M113" s="23">
        <f>IFERROR(100/'Skjema total MA'!I113*K113,0)</f>
        <v>20.682095410075053</v>
      </c>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v>7202635.517</v>
      </c>
      <c r="G117" s="181">
        <v>8501941.2170000002</v>
      </c>
      <c r="H117" s="123">
        <f t="shared" si="57"/>
        <v>18</v>
      </c>
      <c r="I117" s="23">
        <f>IFERROR(100/'Skjema total MA'!F117*G117,0)</f>
        <v>20.069391807322202</v>
      </c>
      <c r="J117" s="234">
        <f t="shared" si="58"/>
        <v>7202635.517</v>
      </c>
      <c r="K117" s="36">
        <f t="shared" si="58"/>
        <v>8501941.2170000002</v>
      </c>
      <c r="L117" s="206">
        <f t="shared" si="59"/>
        <v>18</v>
      </c>
      <c r="M117" s="23">
        <f>IFERROR(100/'Skjema total MA'!I117*K117,0)</f>
        <v>20.069391807322202</v>
      </c>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v>15216.7122900002</v>
      </c>
      <c r="C119" s="118">
        <v>10778.969450000701</v>
      </c>
      <c r="D119" s="127">
        <f t="shared" ref="D119:D120" si="60">IF(B119=0, "    ---- ", IF(ABS(ROUND(100/B119*C119-100,1))&lt;999,ROUND(100/B119*C119-100,1),IF(ROUND(100/B119*C119-100,1)&gt;999,999,-999)))</f>
        <v>-29.2</v>
      </c>
      <c r="E119" s="8">
        <f>IFERROR(100/'Skjema total MA'!C119*C119,0)</f>
        <v>4.8020259071879305</v>
      </c>
      <c r="F119" s="253">
        <v>10851893.220000001</v>
      </c>
      <c r="G119" s="118">
        <v>12460386.681</v>
      </c>
      <c r="H119" s="127">
        <f t="shared" si="57"/>
        <v>14.8</v>
      </c>
      <c r="I119" s="8">
        <f>IFERROR(100/'Skjema total MA'!F119*G119,0)</f>
        <v>17.019693103725015</v>
      </c>
      <c r="J119" s="254">
        <f t="shared" si="58"/>
        <v>10867109.932290001</v>
      </c>
      <c r="K119" s="183">
        <f t="shared" si="58"/>
        <v>12471165.650450001</v>
      </c>
      <c r="L119" s="349">
        <f t="shared" si="59"/>
        <v>14.8</v>
      </c>
      <c r="M119" s="8">
        <f>IFERROR(100/'Skjema total MA'!I119*K119,0)</f>
        <v>16.982348167182625</v>
      </c>
    </row>
    <row r="120" spans="1:13" x14ac:dyDescent="0.25">
      <c r="A120" s="18" t="s">
        <v>197</v>
      </c>
      <c r="B120" s="181">
        <v>15216.7122900002</v>
      </c>
      <c r="C120" s="109">
        <v>10778.969450000701</v>
      </c>
      <c r="D120" s="123">
        <f t="shared" si="60"/>
        <v>-29.2</v>
      </c>
      <c r="E120" s="23">
        <f>IFERROR(100/'Skjema total MA'!C120*C120,0)</f>
        <v>-3.8442644338135512</v>
      </c>
      <c r="F120" s="181"/>
      <c r="G120" s="109"/>
      <c r="H120" s="123"/>
      <c r="I120" s="23"/>
      <c r="J120" s="234">
        <f t="shared" si="58"/>
        <v>15216.7122900002</v>
      </c>
      <c r="K120" s="36">
        <f t="shared" si="58"/>
        <v>10778.969450000701</v>
      </c>
      <c r="L120" s="206">
        <f t="shared" si="59"/>
        <v>-29.2</v>
      </c>
      <c r="M120" s="23">
        <f>IFERROR(100/'Skjema total MA'!I120*K120,0)</f>
        <v>-3.8442644338135512</v>
      </c>
    </row>
    <row r="121" spans="1:13" x14ac:dyDescent="0.25">
      <c r="A121" s="18" t="s">
        <v>198</v>
      </c>
      <c r="B121" s="181"/>
      <c r="C121" s="109"/>
      <c r="D121" s="123"/>
      <c r="E121" s="23"/>
      <c r="F121" s="181">
        <v>10851893.220000001</v>
      </c>
      <c r="G121" s="109">
        <v>12460386.681</v>
      </c>
      <c r="H121" s="123">
        <f t="shared" si="57"/>
        <v>14.8</v>
      </c>
      <c r="I121" s="23">
        <f>IFERROR(100/'Skjema total MA'!F121*G121,0)</f>
        <v>17.019693103725015</v>
      </c>
      <c r="J121" s="234">
        <f t="shared" si="58"/>
        <v>10851893.220000001</v>
      </c>
      <c r="K121" s="36">
        <f t="shared" si="58"/>
        <v>12460386.681</v>
      </c>
      <c r="L121" s="206">
        <f t="shared" si="59"/>
        <v>14.8</v>
      </c>
      <c r="M121" s="23">
        <f>IFERROR(100/'Skjema total MA'!I121*K121,0)</f>
        <v>17.006700205156914</v>
      </c>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v>6456027.3420000002</v>
      </c>
      <c r="G125" s="181">
        <v>7600526.4879999999</v>
      </c>
      <c r="H125" s="123">
        <f t="shared" si="57"/>
        <v>17.7</v>
      </c>
      <c r="I125" s="23">
        <f>IFERROR(100/'Skjema total MA'!F125*G125,0)</f>
        <v>18.486016533918505</v>
      </c>
      <c r="J125" s="234">
        <f t="shared" si="58"/>
        <v>6456027.3420000002</v>
      </c>
      <c r="K125" s="36">
        <f t="shared" si="58"/>
        <v>7600526.4879999999</v>
      </c>
      <c r="L125" s="206">
        <f t="shared" si="59"/>
        <v>17.7</v>
      </c>
      <c r="M125" s="23">
        <f>IFERROR(100/'Skjema total MA'!I125*K125,0)</f>
        <v>18.485066168667977</v>
      </c>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981" priority="10">
      <formula>kvartal &lt; 4</formula>
    </cfRule>
  </conditionalFormatting>
  <conditionalFormatting sqref="A80:A85">
    <cfRule type="expression" dxfId="980" priority="9">
      <formula>kvartal &lt; 4</formula>
    </cfRule>
  </conditionalFormatting>
  <conditionalFormatting sqref="A90:A95">
    <cfRule type="expression" dxfId="979" priority="6">
      <formula>kvartal &lt; 4</formula>
    </cfRule>
  </conditionalFormatting>
  <conditionalFormatting sqref="A101:A106">
    <cfRule type="expression" dxfId="978" priority="5">
      <formula>kvartal &lt; 4</formula>
    </cfRule>
  </conditionalFormatting>
  <conditionalFormatting sqref="A50:C52">
    <cfRule type="expression" dxfId="977" priority="12">
      <formula>kvartal &lt; 4</formula>
    </cfRule>
  </conditionalFormatting>
  <conditionalFormatting sqref="A115:C115">
    <cfRule type="expression" dxfId="976" priority="4">
      <formula>kvartal &lt; 4</formula>
    </cfRule>
  </conditionalFormatting>
  <conditionalFormatting sqref="A123:C123">
    <cfRule type="expression" dxfId="975" priority="3">
      <formula>kvartal &lt; 4</formula>
    </cfRule>
  </conditionalFormatting>
  <conditionalFormatting sqref="B69:C69">
    <cfRule type="expression" dxfId="974" priority="99">
      <formula>kvartal &lt; 4</formula>
    </cfRule>
  </conditionalFormatting>
  <conditionalFormatting sqref="B72:C72">
    <cfRule type="expression" dxfId="973" priority="97">
      <formula>kvartal &lt; 4</formula>
    </cfRule>
  </conditionalFormatting>
  <conditionalFormatting sqref="B80:C80">
    <cfRule type="expression" dxfId="972" priority="95">
      <formula>kvartal &lt; 4</formula>
    </cfRule>
  </conditionalFormatting>
  <conditionalFormatting sqref="B83:C83">
    <cfRule type="expression" dxfId="971" priority="93">
      <formula>kvartal &lt; 4</formula>
    </cfRule>
  </conditionalFormatting>
  <conditionalFormatting sqref="B90:C90">
    <cfRule type="expression" dxfId="970" priority="83">
      <formula>kvartal &lt; 4</formula>
    </cfRule>
  </conditionalFormatting>
  <conditionalFormatting sqref="B93:C93">
    <cfRule type="expression" dxfId="969" priority="81">
      <formula>kvartal &lt; 4</formula>
    </cfRule>
  </conditionalFormatting>
  <conditionalFormatting sqref="B101:C101">
    <cfRule type="expression" dxfId="968" priority="79">
      <formula>kvartal &lt; 4</formula>
    </cfRule>
  </conditionalFormatting>
  <conditionalFormatting sqref="B104:C104">
    <cfRule type="expression" dxfId="967" priority="77">
      <formula>kvartal &lt; 4</formula>
    </cfRule>
  </conditionalFormatting>
  <conditionalFormatting sqref="F69:G74">
    <cfRule type="expression" dxfId="966" priority="54">
      <formula>kvartal &lt; 4</formula>
    </cfRule>
  </conditionalFormatting>
  <conditionalFormatting sqref="F80:G85">
    <cfRule type="expression" dxfId="965" priority="52">
      <formula>kvartal &lt; 4</formula>
    </cfRule>
  </conditionalFormatting>
  <conditionalFormatting sqref="F90:G95">
    <cfRule type="expression" dxfId="964" priority="44">
      <formula>kvartal &lt; 4</formula>
    </cfRule>
  </conditionalFormatting>
  <conditionalFormatting sqref="F101:G106">
    <cfRule type="expression" dxfId="963" priority="40">
      <formula>kvartal &lt; 4</formula>
    </cfRule>
  </conditionalFormatting>
  <conditionalFormatting sqref="F115:G115">
    <cfRule type="expression" dxfId="962" priority="57">
      <formula>kvartal &lt; 4</formula>
    </cfRule>
  </conditionalFormatting>
  <conditionalFormatting sqref="F123:G123">
    <cfRule type="expression" dxfId="961" priority="56">
      <formula>kvartal &lt; 4</formula>
    </cfRule>
  </conditionalFormatting>
  <conditionalFormatting sqref="J70:K70 J73:K73">
    <cfRule type="expression" dxfId="960" priority="39">
      <formula>kvartal &lt; 4</formula>
    </cfRule>
  </conditionalFormatting>
  <conditionalFormatting sqref="J80:K82 J84:K84">
    <cfRule type="expression" dxfId="959" priority="37">
      <formula>kvartal &lt; 4</formula>
    </cfRule>
  </conditionalFormatting>
  <conditionalFormatting sqref="J94:K94">
    <cfRule type="expression" dxfId="958" priority="34">
      <formula>kvartal &lt; 4</formula>
    </cfRule>
  </conditionalFormatting>
  <conditionalFormatting sqref="J101:K103 J105:K105">
    <cfRule type="expression" dxfId="957" priority="33">
      <formula>kvartal &lt; 4</formula>
    </cfRule>
  </conditionalFormatting>
  <conditionalFormatting sqref="J115:K115">
    <cfRule type="expression" dxfId="956" priority="32">
      <formula>kvartal &lt; 4</formula>
    </cfRule>
  </conditionalFormatting>
  <conditionalFormatting sqref="J123:K123">
    <cfRule type="expression" dxfId="955" priority="31">
      <formula>kvartal &lt; 4</formula>
    </cfRule>
  </conditionalFormatting>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CAE9-D5F2-4A61-80DB-C3B7691ABF8D}">
  <sheetPr codeName="Ark24"/>
  <dimension ref="A1:O144"/>
  <sheetViews>
    <sheetView showGridLines="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61</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c r="G7" s="252"/>
      <c r="H7" s="288"/>
      <c r="I7" s="119"/>
      <c r="J7" s="253"/>
      <c r="K7" s="254"/>
      <c r="L7" s="348"/>
      <c r="M7" s="8"/>
    </row>
    <row r="8" spans="1:15" ht="15.6" x14ac:dyDescent="0.25">
      <c r="A8" s="18" t="s">
        <v>169</v>
      </c>
      <c r="B8" s="228"/>
      <c r="C8" s="229"/>
      <c r="D8" s="123"/>
      <c r="E8" s="23"/>
      <c r="F8" s="232"/>
      <c r="G8" s="233"/>
      <c r="H8" s="123"/>
      <c r="I8" s="132"/>
      <c r="J8" s="181"/>
      <c r="K8" s="234"/>
      <c r="L8" s="123"/>
      <c r="M8" s="23"/>
    </row>
    <row r="9" spans="1:15" ht="15.6" x14ac:dyDescent="0.25">
      <c r="A9" s="18" t="s">
        <v>170</v>
      </c>
      <c r="B9" s="228"/>
      <c r="C9" s="229"/>
      <c r="D9" s="123"/>
      <c r="E9" s="23"/>
      <c r="F9" s="232"/>
      <c r="G9" s="233"/>
      <c r="H9" s="123"/>
      <c r="I9" s="132"/>
      <c r="J9" s="181"/>
      <c r="K9" s="234"/>
      <c r="L9" s="123"/>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33970</v>
      </c>
      <c r="C47" s="256">
        <v>36370</v>
      </c>
      <c r="D47" s="348">
        <f t="shared" ref="D47:D48" si="0">IF(B47=0, "    ---- ", IF(ABS(ROUND(100/B47*C47-100,1))&lt;999,ROUND(100/B47*C47-100,1),IF(ROUND(100/B47*C47-100,1)&gt;999,999,-999)))</f>
        <v>7.1</v>
      </c>
      <c r="E47" s="8">
        <f>IFERROR(100/'Skjema total MA'!C47*C47,0)</f>
        <v>0.5079836155134827</v>
      </c>
      <c r="F47" s="109"/>
      <c r="G47" s="27"/>
      <c r="H47" s="118"/>
      <c r="I47" s="118"/>
      <c r="J47" s="31"/>
      <c r="K47" s="31"/>
      <c r="L47" s="118"/>
      <c r="M47" s="118"/>
    </row>
    <row r="48" spans="1:13" ht="15.6" x14ac:dyDescent="0.25">
      <c r="A48" s="18" t="s">
        <v>189</v>
      </c>
      <c r="B48" s="228">
        <v>33970</v>
      </c>
      <c r="C48" s="229">
        <v>36370</v>
      </c>
      <c r="D48" s="206">
        <f t="shared" si="0"/>
        <v>7.1</v>
      </c>
      <c r="E48" s="23">
        <f>IFERROR(100/'Skjema total MA'!C48*C48,0)</f>
        <v>0.89045042015585407</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69:A74">
    <cfRule type="expression" dxfId="954" priority="6">
      <formula>kvartal &lt; 4</formula>
    </cfRule>
  </conditionalFormatting>
  <conditionalFormatting sqref="A80:A85">
    <cfRule type="expression" dxfId="953" priority="5">
      <formula>kvartal &lt; 4</formula>
    </cfRule>
  </conditionalFormatting>
  <conditionalFormatting sqref="A90:A95">
    <cfRule type="expression" dxfId="952" priority="4">
      <formula>kvartal &lt; 4</formula>
    </cfRule>
  </conditionalFormatting>
  <conditionalFormatting sqref="A101:A106">
    <cfRule type="expression" dxfId="951" priority="3">
      <formula>kvartal &lt; 4</formula>
    </cfRule>
  </conditionalFormatting>
  <conditionalFormatting sqref="A50:C52">
    <cfRule type="expression" dxfId="950" priority="7">
      <formula>kvartal &lt; 4</formula>
    </cfRule>
  </conditionalFormatting>
  <conditionalFormatting sqref="A115:C115">
    <cfRule type="expression" dxfId="949" priority="2">
      <formula>kvartal &lt; 4</formula>
    </cfRule>
  </conditionalFormatting>
  <conditionalFormatting sqref="A123:C123">
    <cfRule type="expression" dxfId="948" priority="1">
      <formula>kvartal &lt; 4</formula>
    </cfRule>
  </conditionalFormatting>
  <conditionalFormatting sqref="B69:C69">
    <cfRule type="expression" dxfId="947" priority="57">
      <formula>kvartal &lt; 4</formula>
    </cfRule>
  </conditionalFormatting>
  <conditionalFormatting sqref="B72:C72">
    <cfRule type="expression" dxfId="946" priority="55">
      <formula>kvartal &lt; 4</formula>
    </cfRule>
  </conditionalFormatting>
  <conditionalFormatting sqref="B80:C80">
    <cfRule type="expression" dxfId="945" priority="53">
      <formula>kvartal &lt; 4</formula>
    </cfRule>
  </conditionalFormatting>
  <conditionalFormatting sqref="B83:C83">
    <cfRule type="expression" dxfId="944" priority="51">
      <formula>kvartal &lt; 4</formula>
    </cfRule>
  </conditionalFormatting>
  <conditionalFormatting sqref="B90:C90">
    <cfRule type="expression" dxfId="943" priority="49">
      <formula>kvartal &lt; 4</formula>
    </cfRule>
  </conditionalFormatting>
  <conditionalFormatting sqref="B93:C93">
    <cfRule type="expression" dxfId="942" priority="47">
      <formula>kvartal &lt; 4</formula>
    </cfRule>
  </conditionalFormatting>
  <conditionalFormatting sqref="B101:C101">
    <cfRule type="expression" dxfId="941" priority="45">
      <formula>kvartal &lt; 4</formula>
    </cfRule>
  </conditionalFormatting>
  <conditionalFormatting sqref="B104:C104">
    <cfRule type="expression" dxfId="940" priority="43">
      <formula>kvartal &lt; 4</formula>
    </cfRule>
  </conditionalFormatting>
  <conditionalFormatting sqref="F69:G74">
    <cfRule type="expression" dxfId="939" priority="24">
      <formula>kvartal &lt; 4</formula>
    </cfRule>
  </conditionalFormatting>
  <conditionalFormatting sqref="F80:G85">
    <cfRule type="expression" dxfId="938" priority="22">
      <formula>kvartal &lt; 4</formula>
    </cfRule>
  </conditionalFormatting>
  <conditionalFormatting sqref="F90:G95">
    <cfRule type="expression" dxfId="937" priority="19">
      <formula>kvartal &lt; 4</formula>
    </cfRule>
  </conditionalFormatting>
  <conditionalFormatting sqref="F101:G106">
    <cfRule type="expression" dxfId="936" priority="15">
      <formula>kvartal &lt; 4</formula>
    </cfRule>
  </conditionalFormatting>
  <conditionalFormatting sqref="F115:G115">
    <cfRule type="expression" dxfId="935" priority="27">
      <formula>kvartal &lt; 4</formula>
    </cfRule>
  </conditionalFormatting>
  <conditionalFormatting sqref="F123:G123">
    <cfRule type="expression" dxfId="934" priority="26">
      <formula>kvartal &lt; 4</formula>
    </cfRule>
  </conditionalFormatting>
  <conditionalFormatting sqref="J69:K71 J73:K73">
    <cfRule type="expression" dxfId="933" priority="14">
      <formula>kvartal &lt; 4</formula>
    </cfRule>
  </conditionalFormatting>
  <conditionalFormatting sqref="J80:K82 J84:K84">
    <cfRule type="expression" dxfId="932" priority="12">
      <formula>kvartal &lt; 4</formula>
    </cfRule>
  </conditionalFormatting>
  <conditionalFormatting sqref="J92:K92 J94:K94">
    <cfRule type="expression" dxfId="931" priority="11">
      <formula>kvartal &lt; 4</formula>
    </cfRule>
  </conditionalFormatting>
  <conditionalFormatting sqref="J101:K103 J105:K105">
    <cfRule type="expression" dxfId="930" priority="10">
      <formula>kvartal &lt; 4</formula>
    </cfRule>
  </conditionalFormatting>
  <conditionalFormatting sqref="J115:K115">
    <cfRule type="expression" dxfId="929" priority="9">
      <formula>kvartal &lt; 4</formula>
    </cfRule>
  </conditionalFormatting>
  <conditionalFormatting sqref="J123:K123">
    <cfRule type="expression" dxfId="928" priority="8">
      <formula>kvartal &lt; 4</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6"/>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108</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c r="G7" s="252"/>
      <c r="H7" s="288"/>
      <c r="I7" s="119"/>
      <c r="J7" s="253"/>
      <c r="K7" s="254"/>
      <c r="L7" s="348"/>
      <c r="M7" s="8"/>
    </row>
    <row r="8" spans="1:15" ht="15.6" x14ac:dyDescent="0.25">
      <c r="A8" s="18" t="s">
        <v>169</v>
      </c>
      <c r="B8" s="228"/>
      <c r="C8" s="229"/>
      <c r="D8" s="123"/>
      <c r="E8" s="23"/>
      <c r="F8" s="232"/>
      <c r="G8" s="233"/>
      <c r="H8" s="123"/>
      <c r="I8" s="132"/>
      <c r="J8" s="181"/>
      <c r="K8" s="234"/>
      <c r="L8" s="123"/>
      <c r="M8" s="23"/>
    </row>
    <row r="9" spans="1:15" ht="15.6" x14ac:dyDescent="0.25">
      <c r="A9" s="18" t="s">
        <v>170</v>
      </c>
      <c r="B9" s="228"/>
      <c r="C9" s="229"/>
      <c r="D9" s="123"/>
      <c r="E9" s="23"/>
      <c r="F9" s="232"/>
      <c r="G9" s="233"/>
      <c r="H9" s="123"/>
      <c r="I9" s="132"/>
      <c r="J9" s="181"/>
      <c r="K9" s="234"/>
      <c r="L9" s="123"/>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c r="C47" s="256"/>
      <c r="D47" s="348"/>
      <c r="E47" s="8"/>
      <c r="F47" s="109"/>
      <c r="G47" s="27"/>
      <c r="H47" s="118"/>
      <c r="I47" s="118"/>
      <c r="J47" s="31"/>
      <c r="K47" s="31"/>
      <c r="L47" s="118"/>
      <c r="M47" s="118"/>
    </row>
    <row r="48" spans="1:13" ht="15.6" x14ac:dyDescent="0.25">
      <c r="A48" s="18" t="s">
        <v>189</v>
      </c>
      <c r="B48" s="228"/>
      <c r="C48" s="229"/>
      <c r="D48" s="206"/>
      <c r="E48" s="23"/>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v>8288469.449</v>
      </c>
      <c r="C134" s="254">
        <v>7886826</v>
      </c>
      <c r="D134" s="288">
        <f t="shared" ref="D134:D135" si="0">IF(B134=0, "    ---- ", IF(ABS(ROUND(100/B134*C134-100,1))&lt;999,ROUND(100/B134*C134-100,1),IF(ROUND(100/B134*C134-100,1)&gt;999,999,-999)))</f>
        <v>-4.8</v>
      </c>
      <c r="E134" s="8">
        <f>IFERROR(100/'Skjema total MA'!C134*C134,0)</f>
        <v>10.486766581415862</v>
      </c>
      <c r="F134" s="261"/>
      <c r="G134" s="262"/>
      <c r="H134" s="352"/>
      <c r="I134" s="21"/>
      <c r="J134" s="263">
        <f t="shared" ref="J134:K135" si="1">SUM(B134,F134)</f>
        <v>8288469.449</v>
      </c>
      <c r="K134" s="263">
        <f t="shared" si="1"/>
        <v>7886826</v>
      </c>
      <c r="L134" s="348">
        <f t="shared" ref="L134:L135" si="2">IF(J134=0, "    ---- ", IF(ABS(ROUND(100/J134*K134-100,1))&lt;999,ROUND(100/J134*K134-100,1),IF(ROUND(100/J134*K134-100,1)&gt;999,999,-999)))</f>
        <v>-4.8</v>
      </c>
      <c r="M134" s="8">
        <f>IFERROR(100/'Skjema total MA'!I134*K134,0)</f>
        <v>10.45543181394504</v>
      </c>
    </row>
    <row r="135" spans="1:15" ht="15.6" x14ac:dyDescent="0.25">
      <c r="A135" s="10" t="s">
        <v>224</v>
      </c>
      <c r="B135" s="183">
        <v>130120437</v>
      </c>
      <c r="C135" s="254">
        <v>140520533</v>
      </c>
      <c r="D135" s="127">
        <f t="shared" si="0"/>
        <v>8</v>
      </c>
      <c r="E135" s="8">
        <f>IFERROR(100/'Skjema total MA'!C135*C135,0)</f>
        <v>13.531279600815667</v>
      </c>
      <c r="F135" s="183"/>
      <c r="G135" s="254"/>
      <c r="H135" s="353"/>
      <c r="I135" s="21"/>
      <c r="J135" s="253">
        <f t="shared" si="1"/>
        <v>130120437</v>
      </c>
      <c r="K135" s="253">
        <f t="shared" si="1"/>
        <v>140520533</v>
      </c>
      <c r="L135" s="349">
        <f t="shared" si="2"/>
        <v>8</v>
      </c>
      <c r="M135" s="8">
        <f>IFERROR(100/'Skjema total MA'!I135*K135,0)</f>
        <v>13.492127968927536</v>
      </c>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927" priority="10">
      <formula>kvartal &lt; 4</formula>
    </cfRule>
  </conditionalFormatting>
  <conditionalFormatting sqref="A80:A85">
    <cfRule type="expression" dxfId="926" priority="9">
      <formula>kvartal &lt; 4</formula>
    </cfRule>
  </conditionalFormatting>
  <conditionalFormatting sqref="A90:A95">
    <cfRule type="expression" dxfId="925" priority="6">
      <formula>kvartal &lt; 4</formula>
    </cfRule>
  </conditionalFormatting>
  <conditionalFormatting sqref="A101:A106">
    <cfRule type="expression" dxfId="924" priority="5">
      <formula>kvartal &lt; 4</formula>
    </cfRule>
  </conditionalFormatting>
  <conditionalFormatting sqref="A50:C52">
    <cfRule type="expression" dxfId="923" priority="12">
      <formula>kvartal &lt; 4</formula>
    </cfRule>
  </conditionalFormatting>
  <conditionalFormatting sqref="A115:C115">
    <cfRule type="expression" dxfId="922" priority="4">
      <formula>kvartal &lt; 4</formula>
    </cfRule>
  </conditionalFormatting>
  <conditionalFormatting sqref="A123:C123">
    <cfRule type="expression" dxfId="921" priority="3">
      <formula>kvartal &lt; 4</formula>
    </cfRule>
  </conditionalFormatting>
  <conditionalFormatting sqref="B69:C69">
    <cfRule type="expression" dxfId="920" priority="99">
      <formula>kvartal &lt; 4</formula>
    </cfRule>
  </conditionalFormatting>
  <conditionalFormatting sqref="B72:C72">
    <cfRule type="expression" dxfId="919" priority="97">
      <formula>kvartal &lt; 4</formula>
    </cfRule>
  </conditionalFormatting>
  <conditionalFormatting sqref="B80:C80">
    <cfRule type="expression" dxfId="918" priority="95">
      <formula>kvartal &lt; 4</formula>
    </cfRule>
  </conditionalFormatting>
  <conditionalFormatting sqref="B83:C83">
    <cfRule type="expression" dxfId="917" priority="93">
      <formula>kvartal &lt; 4</formula>
    </cfRule>
  </conditionalFormatting>
  <conditionalFormatting sqref="B90:C90">
    <cfRule type="expression" dxfId="916" priority="83">
      <formula>kvartal &lt; 4</formula>
    </cfRule>
  </conditionalFormatting>
  <conditionalFormatting sqref="B93:C93">
    <cfRule type="expression" dxfId="915" priority="81">
      <formula>kvartal &lt; 4</formula>
    </cfRule>
  </conditionalFormatting>
  <conditionalFormatting sqref="B101:C101">
    <cfRule type="expression" dxfId="914" priority="79">
      <formula>kvartal &lt; 4</formula>
    </cfRule>
  </conditionalFormatting>
  <conditionalFormatting sqref="B104:C104">
    <cfRule type="expression" dxfId="913" priority="77">
      <formula>kvartal &lt; 4</formula>
    </cfRule>
  </conditionalFormatting>
  <conditionalFormatting sqref="F69:G74">
    <cfRule type="expression" dxfId="912" priority="54">
      <formula>kvartal &lt; 4</formula>
    </cfRule>
  </conditionalFormatting>
  <conditionalFormatting sqref="F80:G85">
    <cfRule type="expression" dxfId="911" priority="52">
      <formula>kvartal &lt; 4</formula>
    </cfRule>
  </conditionalFormatting>
  <conditionalFormatting sqref="F90:G95">
    <cfRule type="expression" dxfId="910" priority="44">
      <formula>kvartal &lt; 4</formula>
    </cfRule>
  </conditionalFormatting>
  <conditionalFormatting sqref="F101:G106">
    <cfRule type="expression" dxfId="909" priority="40">
      <formula>kvartal &lt; 4</formula>
    </cfRule>
  </conditionalFormatting>
  <conditionalFormatting sqref="F115:G115">
    <cfRule type="expression" dxfId="908" priority="57">
      <formula>kvartal &lt; 4</formula>
    </cfRule>
  </conditionalFormatting>
  <conditionalFormatting sqref="F123:G123">
    <cfRule type="expression" dxfId="907" priority="56">
      <formula>kvartal &lt; 4</formula>
    </cfRule>
  </conditionalFormatting>
  <conditionalFormatting sqref="J69:K71 J73:K73">
    <cfRule type="expression" dxfId="906" priority="39">
      <formula>kvartal &lt; 4</formula>
    </cfRule>
  </conditionalFormatting>
  <conditionalFormatting sqref="J80:K82 J84:K84">
    <cfRule type="expression" dxfId="905" priority="37">
      <formula>kvartal &lt; 4</formula>
    </cfRule>
  </conditionalFormatting>
  <conditionalFormatting sqref="J92:K92 J94:K94">
    <cfRule type="expression" dxfId="904" priority="34">
      <formula>kvartal &lt; 4</formula>
    </cfRule>
  </conditionalFormatting>
  <conditionalFormatting sqref="J101:K103 J105:K105">
    <cfRule type="expression" dxfId="903" priority="33">
      <formula>kvartal &lt; 4</formula>
    </cfRule>
  </conditionalFormatting>
  <conditionalFormatting sqref="J115:K115">
    <cfRule type="expression" dxfId="902" priority="32">
      <formula>kvartal &lt; 4</formula>
    </cfRule>
  </conditionalFormatting>
  <conditionalFormatting sqref="J123:K123">
    <cfRule type="expression" dxfId="901" priority="31">
      <formula>kvartal &lt; 4</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7"/>
  <dimension ref="A1:O144"/>
  <sheetViews>
    <sheetView showGridLines="0" zoomScaleNormal="100" workbookViewId="0">
      <selection activeCell="A82" sqref="A82"/>
    </sheetView>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109</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5042</v>
      </c>
      <c r="C7" s="252">
        <v>4271.1899999999996</v>
      </c>
      <c r="D7" s="288">
        <f>IF(B7=0, "    ---- ", IF(ABS(ROUND(100/B7*C7-100,1))&lt;999,ROUND(100/B7*C7-100,1),IF(ROUND(100/B7*C7-100,1)&gt;999,999,-999)))</f>
        <v>-15.3</v>
      </c>
      <c r="E7" s="8">
        <f>IFERROR(100/'Skjema total MA'!C7*C7,0)</f>
        <v>7.3381381695594911E-2</v>
      </c>
      <c r="F7" s="251"/>
      <c r="G7" s="252"/>
      <c r="H7" s="288"/>
      <c r="I7" s="119"/>
      <c r="J7" s="253">
        <f t="shared" ref="J7:K9" si="0">SUM(B7,F7)</f>
        <v>5042</v>
      </c>
      <c r="K7" s="254">
        <f t="shared" si="0"/>
        <v>4271.1899999999996</v>
      </c>
      <c r="L7" s="348">
        <f>IF(J7=0, "    ---- ", IF(ABS(ROUND(100/J7*K7-100,1))&lt;999,ROUND(100/J7*K7-100,1),IF(ROUND(100/J7*K7-100,1)&gt;999,999,-999)))</f>
        <v>-15.3</v>
      </c>
      <c r="M7" s="8">
        <f>IFERROR(100/'Skjema total MA'!I7*K7,0)</f>
        <v>2.3954130324510072E-2</v>
      </c>
    </row>
    <row r="8" spans="1:15" ht="15.6" x14ac:dyDescent="0.25">
      <c r="A8" s="18" t="s">
        <v>169</v>
      </c>
      <c r="B8" s="228">
        <v>4990</v>
      </c>
      <c r="C8" s="229">
        <v>4228.4781000000003</v>
      </c>
      <c r="D8" s="123">
        <f t="shared" ref="D8:D9" si="1">IF(B8=0, "    ---- ", IF(ABS(ROUND(100/B8*C8-100,1))&lt;999,ROUND(100/B8*C8-100,1),IF(ROUND(100/B8*C8-100,1)&gt;999,999,-999)))</f>
        <v>-15.3</v>
      </c>
      <c r="E8" s="23">
        <f>IFERROR(100/'Skjema total MA'!C8*C8,0)</f>
        <v>0.10749202961187349</v>
      </c>
      <c r="F8" s="232"/>
      <c r="G8" s="233"/>
      <c r="H8" s="123"/>
      <c r="I8" s="132"/>
      <c r="J8" s="181">
        <f t="shared" si="0"/>
        <v>4990</v>
      </c>
      <c r="K8" s="234">
        <f t="shared" si="0"/>
        <v>4228.4781000000003</v>
      </c>
      <c r="L8" s="123">
        <f t="shared" ref="L8:L9" si="2">IF(J8=0, "    ---- ", IF(ABS(ROUND(100/J8*K8-100,1))&lt;999,ROUND(100/J8*K8-100,1),IF(ROUND(100/J8*K8-100,1)&gt;999,999,-999)))</f>
        <v>-15.3</v>
      </c>
      <c r="M8" s="23">
        <f>IFERROR(100/'Skjema total MA'!I8*K8,0)</f>
        <v>0.10749202961187349</v>
      </c>
    </row>
    <row r="9" spans="1:15" ht="15.6" x14ac:dyDescent="0.25">
      <c r="A9" s="18" t="s">
        <v>170</v>
      </c>
      <c r="B9" s="228">
        <v>52</v>
      </c>
      <c r="C9" s="229">
        <v>42.7119</v>
      </c>
      <c r="D9" s="123">
        <f t="shared" si="1"/>
        <v>-17.899999999999999</v>
      </c>
      <c r="E9" s="23">
        <f>IFERROR(100/'Skjema total MA'!C9*C9,0)</f>
        <v>3.9496757552348188E-3</v>
      </c>
      <c r="F9" s="232"/>
      <c r="G9" s="233"/>
      <c r="H9" s="123"/>
      <c r="I9" s="132"/>
      <c r="J9" s="181">
        <f t="shared" si="0"/>
        <v>52</v>
      </c>
      <c r="K9" s="234">
        <f t="shared" si="0"/>
        <v>42.7119</v>
      </c>
      <c r="L9" s="123">
        <f t="shared" si="2"/>
        <v>-17.899999999999999</v>
      </c>
      <c r="M9" s="23">
        <f>IFERROR(100/'Skjema total MA'!I9*K9,0)</f>
        <v>3.9496757552348188E-3</v>
      </c>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393036</v>
      </c>
      <c r="C47" s="256">
        <v>417483.8</v>
      </c>
      <c r="D47" s="348">
        <f t="shared" ref="D47:D48" si="3">IF(B47=0, "    ---- ", IF(ABS(ROUND(100/B47*C47-100,1))&lt;999,ROUND(100/B47*C47-100,1),IF(ROUND(100/B47*C47-100,1)&gt;999,999,-999)))</f>
        <v>6.2</v>
      </c>
      <c r="E47" s="8">
        <f>IFERROR(100/'Skjema total MA'!C47*C47,0)</f>
        <v>5.8310401468877568</v>
      </c>
      <c r="F47" s="109"/>
      <c r="G47" s="27"/>
      <c r="H47" s="118"/>
      <c r="I47" s="118"/>
      <c r="J47" s="31"/>
      <c r="K47" s="31"/>
      <c r="L47" s="118"/>
      <c r="M47" s="118"/>
    </row>
    <row r="48" spans="1:13" ht="15.6" x14ac:dyDescent="0.25">
      <c r="A48" s="18" t="s">
        <v>189</v>
      </c>
      <c r="B48" s="228">
        <v>393036</v>
      </c>
      <c r="C48" s="229">
        <v>417483.8</v>
      </c>
      <c r="D48" s="206">
        <f t="shared" si="3"/>
        <v>6.2</v>
      </c>
      <c r="E48" s="23">
        <f>IFERROR(100/'Skjema total MA'!C48*C48,0)</f>
        <v>10.221298463521105</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69:A74">
    <cfRule type="expression" dxfId="900" priority="7">
      <formula>kvartal &lt; 4</formula>
    </cfRule>
  </conditionalFormatting>
  <conditionalFormatting sqref="A80:A85">
    <cfRule type="expression" dxfId="899" priority="6">
      <formula>kvartal &lt; 4</formula>
    </cfRule>
  </conditionalFormatting>
  <conditionalFormatting sqref="A90:A95">
    <cfRule type="expression" dxfId="898" priority="5">
      <formula>kvartal &lt; 4</formula>
    </cfRule>
  </conditionalFormatting>
  <conditionalFormatting sqref="A101:A106">
    <cfRule type="expression" dxfId="897" priority="4">
      <formula>kvartal &lt; 4</formula>
    </cfRule>
  </conditionalFormatting>
  <conditionalFormatting sqref="A50:C52">
    <cfRule type="expression" dxfId="896" priority="8">
      <formula>kvartal &lt; 4</formula>
    </cfRule>
  </conditionalFormatting>
  <conditionalFormatting sqref="A115:C115">
    <cfRule type="expression" dxfId="895" priority="3">
      <formula>kvartal &lt; 4</formula>
    </cfRule>
  </conditionalFormatting>
  <conditionalFormatting sqref="A123:C123">
    <cfRule type="expression" dxfId="894" priority="2">
      <formula>kvartal &lt; 4</formula>
    </cfRule>
  </conditionalFormatting>
  <conditionalFormatting sqref="B69:C69">
    <cfRule type="expression" dxfId="893" priority="60">
      <formula>kvartal &lt; 4</formula>
    </cfRule>
  </conditionalFormatting>
  <conditionalFormatting sqref="B72:C72">
    <cfRule type="expression" dxfId="892" priority="58">
      <formula>kvartal &lt; 4</formula>
    </cfRule>
  </conditionalFormatting>
  <conditionalFormatting sqref="B80:C80">
    <cfRule type="expression" dxfId="891" priority="56">
      <formula>kvartal &lt; 4</formula>
    </cfRule>
  </conditionalFormatting>
  <conditionalFormatting sqref="B83:C83">
    <cfRule type="expression" dxfId="890" priority="54">
      <formula>kvartal &lt; 4</formula>
    </cfRule>
  </conditionalFormatting>
  <conditionalFormatting sqref="B90:C90">
    <cfRule type="expression" dxfId="889" priority="52">
      <formula>kvartal &lt; 4</formula>
    </cfRule>
  </conditionalFormatting>
  <conditionalFormatting sqref="B93:C93">
    <cfRule type="expression" dxfId="888" priority="50">
      <formula>kvartal &lt; 4</formula>
    </cfRule>
  </conditionalFormatting>
  <conditionalFormatting sqref="B101:C101">
    <cfRule type="expression" dxfId="887" priority="48">
      <formula>kvartal &lt; 4</formula>
    </cfRule>
  </conditionalFormatting>
  <conditionalFormatting sqref="B104:C104">
    <cfRule type="expression" dxfId="886" priority="46">
      <formula>kvartal &lt; 4</formula>
    </cfRule>
  </conditionalFormatting>
  <conditionalFormatting sqref="F69:G74">
    <cfRule type="expression" dxfId="885" priority="27">
      <formula>kvartal &lt; 4</formula>
    </cfRule>
  </conditionalFormatting>
  <conditionalFormatting sqref="F80:G85">
    <cfRule type="expression" dxfId="884" priority="25">
      <formula>kvartal &lt; 4</formula>
    </cfRule>
  </conditionalFormatting>
  <conditionalFormatting sqref="F90:G95">
    <cfRule type="expression" dxfId="883" priority="22">
      <formula>kvartal &lt; 4</formula>
    </cfRule>
  </conditionalFormatting>
  <conditionalFormatting sqref="F101:G106">
    <cfRule type="expression" dxfId="882" priority="18">
      <formula>kvartal &lt; 4</formula>
    </cfRule>
  </conditionalFormatting>
  <conditionalFormatting sqref="F115:G115">
    <cfRule type="expression" dxfId="881" priority="30">
      <formula>kvartal &lt; 4</formula>
    </cfRule>
  </conditionalFormatting>
  <conditionalFormatting sqref="F123:G123">
    <cfRule type="expression" dxfId="880" priority="29">
      <formula>kvartal &lt; 4</formula>
    </cfRule>
  </conditionalFormatting>
  <conditionalFormatting sqref="J69:K71 J73:K73">
    <cfRule type="expression" dxfId="879" priority="17">
      <formula>kvartal &lt; 4</formula>
    </cfRule>
  </conditionalFormatting>
  <conditionalFormatting sqref="J80:K82 J84:K84">
    <cfRule type="expression" dxfId="878" priority="15">
      <formula>kvartal &lt; 4</formula>
    </cfRule>
  </conditionalFormatting>
  <conditionalFormatting sqref="J92:K92 J94:K94">
    <cfRule type="expression" dxfId="877" priority="14">
      <formula>kvartal &lt; 4</formula>
    </cfRule>
  </conditionalFormatting>
  <conditionalFormatting sqref="J101:K103 J105:K105">
    <cfRule type="expression" dxfId="876" priority="13">
      <formula>kvartal &lt; 4</formula>
    </cfRule>
  </conditionalFormatting>
  <conditionalFormatting sqref="J115:K115">
    <cfRule type="expression" dxfId="875" priority="12">
      <formula>kvartal &lt; 4</formula>
    </cfRule>
  </conditionalFormatting>
  <conditionalFormatting sqref="J123:K123">
    <cfRule type="expression" dxfId="874" priority="11">
      <formula>kvartal &lt; 4</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9"/>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230</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3387.2297100000001</v>
      </c>
      <c r="C7" s="252">
        <v>2660.4140499999999</v>
      </c>
      <c r="D7" s="288">
        <f>IF(B7=0, "    ---- ", IF(ABS(ROUND(100/B7*C7-100,1))&lt;999,ROUND(100/B7*C7-100,1),IF(ROUND(100/B7*C7-100,1)&gt;999,999,-999)))</f>
        <v>-21.5</v>
      </c>
      <c r="E7" s="8">
        <f>IFERROR(100/'Skjema total MA'!C7*C7,0)</f>
        <v>4.5707369344696332E-2</v>
      </c>
      <c r="F7" s="251">
        <v>769316.88699999999</v>
      </c>
      <c r="G7" s="252">
        <v>767966.04194999998</v>
      </c>
      <c r="H7" s="288">
        <f>IF(F7=0, "    ---- ", IF(ABS(ROUND(100/F7*G7-100,1))&lt;999,ROUND(100/F7*G7-100,1),IF(ROUND(100/F7*G7-100,1)&gt;999,999,-999)))</f>
        <v>-0.2</v>
      </c>
      <c r="I7" s="119">
        <f>IFERROR(100/'Skjema total MA'!F7*G7,0)</f>
        <v>6.3942992674164065</v>
      </c>
      <c r="J7" s="253">
        <f t="shared" ref="J7:K12" si="0">SUM(B7,F7)</f>
        <v>772704.11670999997</v>
      </c>
      <c r="K7" s="254">
        <f t="shared" si="0"/>
        <v>770626.45600000001</v>
      </c>
      <c r="L7" s="348">
        <f>IF(J7=0, "    ---- ", IF(ABS(ROUND(100/J7*K7-100,1))&lt;999,ROUND(100/J7*K7-100,1),IF(ROUND(100/J7*K7-100,1)&gt;999,999,-999)))</f>
        <v>-0.3</v>
      </c>
      <c r="M7" s="8">
        <f>IFERROR(100/'Skjema total MA'!I7*K7,0)</f>
        <v>4.3219071402909561</v>
      </c>
    </row>
    <row r="8" spans="1:15" ht="15.6" x14ac:dyDescent="0.25">
      <c r="A8" s="18" t="s">
        <v>169</v>
      </c>
      <c r="B8" s="228">
        <v>4144.5963899999997</v>
      </c>
      <c r="C8" s="229">
        <v>3779.3140899999999</v>
      </c>
      <c r="D8" s="123">
        <f t="shared" ref="D8:D10" si="1">IF(B8=0, "    ---- ", IF(ABS(ROUND(100/B8*C8-100,1))&lt;999,ROUND(100/B8*C8-100,1),IF(ROUND(100/B8*C8-100,1)&gt;999,999,-999)))</f>
        <v>-8.8000000000000007</v>
      </c>
      <c r="E8" s="23">
        <f>IFERROR(100/'Skjema total MA'!C8*C8,0)</f>
        <v>9.6073843228572153E-2</v>
      </c>
      <c r="F8" s="232"/>
      <c r="G8" s="233"/>
      <c r="H8" s="123"/>
      <c r="I8" s="132"/>
      <c r="J8" s="181">
        <f t="shared" si="0"/>
        <v>4144.5963899999997</v>
      </c>
      <c r="K8" s="234">
        <f t="shared" si="0"/>
        <v>3779.3140899999999</v>
      </c>
      <c r="L8" s="123">
        <f t="shared" ref="L8:L9" si="2">IF(J8=0, "    ---- ", IF(ABS(ROUND(100/J8*K8-100,1))&lt;999,ROUND(100/J8*K8-100,1),IF(ROUND(100/J8*K8-100,1)&gt;999,999,-999)))</f>
        <v>-8.8000000000000007</v>
      </c>
      <c r="M8" s="23">
        <f>IFERROR(100/'Skjema total MA'!I8*K8,0)</f>
        <v>9.6073843228572153E-2</v>
      </c>
    </row>
    <row r="9" spans="1:15" ht="15.6" x14ac:dyDescent="0.25">
      <c r="A9" s="18" t="s">
        <v>170</v>
      </c>
      <c r="B9" s="228">
        <v>1506.33502</v>
      </c>
      <c r="C9" s="229">
        <v>1258.4364399999999</v>
      </c>
      <c r="D9" s="123">
        <f t="shared" si="1"/>
        <v>-16.5</v>
      </c>
      <c r="E9" s="23">
        <f>IFERROR(100/'Skjema total MA'!C9*C9,0)</f>
        <v>0.11637075139649646</v>
      </c>
      <c r="F9" s="232"/>
      <c r="G9" s="233"/>
      <c r="H9" s="123"/>
      <c r="I9" s="132"/>
      <c r="J9" s="181">
        <f t="shared" si="0"/>
        <v>1506.33502</v>
      </c>
      <c r="K9" s="234">
        <f t="shared" si="0"/>
        <v>1258.4364399999999</v>
      </c>
      <c r="L9" s="123">
        <f t="shared" si="2"/>
        <v>-16.5</v>
      </c>
      <c r="M9" s="23">
        <f>IFERROR(100/'Skjema total MA'!I9*K9,0)</f>
        <v>0.11637075139649646</v>
      </c>
    </row>
    <row r="10" spans="1:15" ht="15.6" x14ac:dyDescent="0.25">
      <c r="A10" s="10" t="s">
        <v>171</v>
      </c>
      <c r="B10" s="255">
        <v>285915.10265999998</v>
      </c>
      <c r="C10" s="256">
        <v>250538.05535000001</v>
      </c>
      <c r="D10" s="127">
        <f t="shared" si="1"/>
        <v>-12.4</v>
      </c>
      <c r="E10" s="8">
        <f>IFERROR(100/'Skjema total MA'!C10*C10,0)</f>
        <v>1.6125483302280497</v>
      </c>
      <c r="F10" s="255">
        <v>6482486.9316400001</v>
      </c>
      <c r="G10" s="256">
        <v>7335006.7346299998</v>
      </c>
      <c r="H10" s="127">
        <f t="shared" ref="H10:H12" si="3">IF(F10=0, "    ---- ", IF(ABS(ROUND(100/F10*G10-100,1))&lt;999,ROUND(100/F10*G10-100,1),IF(ROUND(100/F10*G10-100,1)&gt;999,999,-999)))</f>
        <v>13.2</v>
      </c>
      <c r="I10" s="119">
        <f>IFERROR(100/'Skjema total MA'!F10*G10,0)</f>
        <v>6.7335394438256291</v>
      </c>
      <c r="J10" s="253">
        <f t="shared" si="0"/>
        <v>6768402.0343000004</v>
      </c>
      <c r="K10" s="254">
        <f t="shared" si="0"/>
        <v>7585544.7899799999</v>
      </c>
      <c r="L10" s="349">
        <f t="shared" ref="L10:L12" si="4">IF(J10=0, "    ---- ", IF(ABS(ROUND(100/J10*K10-100,1))&lt;999,ROUND(100/J10*K10-100,1),IF(ROUND(100/J10*K10-100,1)&gt;999,999,-999)))</f>
        <v>12.1</v>
      </c>
      <c r="M10" s="8">
        <f>IFERROR(100/'Skjema total MA'!I10*K10,0)</f>
        <v>6.0943153576470808</v>
      </c>
    </row>
    <row r="11" spans="1:15" s="35" customFormat="1" ht="15.6" x14ac:dyDescent="0.25">
      <c r="A11" s="10" t="s">
        <v>172</v>
      </c>
      <c r="B11" s="255"/>
      <c r="C11" s="256"/>
      <c r="D11" s="127"/>
      <c r="E11" s="8"/>
      <c r="F11" s="255">
        <v>72904.992549999995</v>
      </c>
      <c r="G11" s="256">
        <v>71980.343739999997</v>
      </c>
      <c r="H11" s="127">
        <f t="shared" si="3"/>
        <v>-1.3</v>
      </c>
      <c r="I11" s="119">
        <f>IFERROR(100/'Skjema total MA'!F11*G11,0)</f>
        <v>11.079343514449471</v>
      </c>
      <c r="J11" s="253">
        <f t="shared" si="0"/>
        <v>72904.992549999995</v>
      </c>
      <c r="K11" s="254">
        <f t="shared" si="0"/>
        <v>71980.343739999997</v>
      </c>
      <c r="L11" s="349">
        <f t="shared" si="4"/>
        <v>-1.3</v>
      </c>
      <c r="M11" s="8">
        <f>IFERROR(100/'Skjema total MA'!I11*K11,0)</f>
        <v>11.073667600166424</v>
      </c>
      <c r="N11" s="107"/>
      <c r="O11" s="22"/>
    </row>
    <row r="12" spans="1:15" s="35" customFormat="1" ht="15.6" x14ac:dyDescent="0.25">
      <c r="A12" s="33" t="s">
        <v>173</v>
      </c>
      <c r="B12" s="257"/>
      <c r="C12" s="258"/>
      <c r="D12" s="125"/>
      <c r="E12" s="30"/>
      <c r="F12" s="257">
        <v>24058.167389999999</v>
      </c>
      <c r="G12" s="258">
        <v>15880.458780000001</v>
      </c>
      <c r="H12" s="125">
        <f t="shared" si="3"/>
        <v>-34</v>
      </c>
      <c r="I12" s="125">
        <f>IFERROR(100/'Skjema total MA'!F12*G12,0)</f>
        <v>2.4843989088045806</v>
      </c>
      <c r="J12" s="259">
        <f t="shared" si="0"/>
        <v>24058.167389999999</v>
      </c>
      <c r="K12" s="260">
        <f t="shared" si="0"/>
        <v>15880.458780000001</v>
      </c>
      <c r="L12" s="350">
        <f t="shared" si="4"/>
        <v>-34</v>
      </c>
      <c r="M12" s="30">
        <f>IFERROR(100/'Skjema total MA'!I12*K12,0)</f>
        <v>2.4830703725235894</v>
      </c>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v>8278.51469</v>
      </c>
      <c r="C22" s="255">
        <v>26773.6682</v>
      </c>
      <c r="D22" s="288">
        <f t="shared" ref="D22:D35" si="5">IF(B22=0, "    ---- ", IF(ABS(ROUND(100/B22*C22-100,1))&lt;999,ROUND(100/B22*C22-100,1),IF(ROUND(100/B22*C22-100,1)&gt;999,999,-999)))</f>
        <v>223.4</v>
      </c>
      <c r="E22" s="8">
        <f>IFERROR(100/'Skjema total MA'!C22*C22,0)</f>
        <v>0.99648324330597171</v>
      </c>
      <c r="F22" s="263">
        <v>392332.26006</v>
      </c>
      <c r="G22" s="263">
        <v>475032.46707999997</v>
      </c>
      <c r="H22" s="288">
        <f t="shared" ref="H22:H35" si="6">IF(F22=0, "    ---- ", IF(ABS(ROUND(100/F22*G22-100,1))&lt;999,ROUND(100/F22*G22-100,1),IF(ROUND(100/F22*G22-100,1)&gt;999,999,-999)))</f>
        <v>21.1</v>
      </c>
      <c r="I22" s="8">
        <f>IFERROR(100/'Skjema total MA'!F22*G22,0)</f>
        <v>40.377577246369803</v>
      </c>
      <c r="J22" s="261">
        <f t="shared" ref="J22:K35" si="7">SUM(B22,F22)</f>
        <v>400610.77474999998</v>
      </c>
      <c r="K22" s="261">
        <f t="shared" si="7"/>
        <v>501806.13527999999</v>
      </c>
      <c r="L22" s="348">
        <f t="shared" ref="L22:L35" si="8">IF(J22=0, "    ---- ", IF(ABS(ROUND(100/J22*K22-100,1))&lt;999,ROUND(100/J22*K22-100,1),IF(ROUND(100/J22*K22-100,1)&gt;999,999,-999)))</f>
        <v>25.3</v>
      </c>
      <c r="M22" s="21">
        <f>IFERROR(100/'Skjema total MA'!I22*K22,0)</f>
        <v>12.989082550433809</v>
      </c>
    </row>
    <row r="23" spans="1:13" ht="15.6" x14ac:dyDescent="0.25">
      <c r="A23" s="389" t="s">
        <v>177</v>
      </c>
      <c r="B23" s="228">
        <v>8277.5668800000003</v>
      </c>
      <c r="C23" s="228">
        <v>26772.720389999999</v>
      </c>
      <c r="D23" s="123">
        <f t="shared" si="5"/>
        <v>223.4</v>
      </c>
      <c r="E23" s="8">
        <f>IFERROR(100/'Skjema total MA'!C23*C23,0)</f>
        <v>1.6523229913021624</v>
      </c>
      <c r="F23" s="237">
        <v>5585.1712500000003</v>
      </c>
      <c r="G23" s="237">
        <v>6556.5597600000001</v>
      </c>
      <c r="H23" s="123">
        <f t="shared" si="6"/>
        <v>17.399999999999999</v>
      </c>
      <c r="I23" s="341">
        <f>IFERROR(100/'Skjema total MA'!F23*G23,0)</f>
        <v>14.503315253118735</v>
      </c>
      <c r="J23" s="237">
        <f t="shared" ref="J23:J26" si="9">SUM(B23,F23)</f>
        <v>13862.738130000002</v>
      </c>
      <c r="K23" s="237">
        <f t="shared" ref="K23:K26" si="10">SUM(C23,G23)</f>
        <v>33329.280149999999</v>
      </c>
      <c r="L23" s="123">
        <f t="shared" si="8"/>
        <v>140.4</v>
      </c>
      <c r="M23" s="20">
        <f>IFERROR(100/'Skjema total MA'!I23*K23,0)</f>
        <v>2.0011393040991652</v>
      </c>
    </row>
    <row r="24" spans="1:13" ht="15.6" x14ac:dyDescent="0.25">
      <c r="A24" s="389" t="s">
        <v>178</v>
      </c>
      <c r="B24" s="228">
        <v>0.94781000000000004</v>
      </c>
      <c r="C24" s="228">
        <v>0.94781000000000004</v>
      </c>
      <c r="D24" s="123">
        <f t="shared" si="5"/>
        <v>0</v>
      </c>
      <c r="E24" s="8">
        <f>IFERROR(100/'Skjema total MA'!C24*C24,0)</f>
        <v>7.4628243908153391E-3</v>
      </c>
      <c r="F24" s="237">
        <v>-8.1549699999999792</v>
      </c>
      <c r="G24" s="237">
        <v>158.43469999999999</v>
      </c>
      <c r="H24" s="123">
        <f t="shared" si="6"/>
        <v>-999</v>
      </c>
      <c r="I24" s="341">
        <f>IFERROR(100/'Skjema total MA'!F24*G24,0)</f>
        <v>25.987573967991104</v>
      </c>
      <c r="J24" s="237">
        <f t="shared" si="9"/>
        <v>-7.2071599999999787</v>
      </c>
      <c r="K24" s="237">
        <f t="shared" si="10"/>
        <v>159.38251</v>
      </c>
      <c r="L24" s="123">
        <f t="shared" si="8"/>
        <v>-999</v>
      </c>
      <c r="M24" s="20">
        <f>IFERROR(100/'Skjema total MA'!I24*K24,0)</f>
        <v>1.1974576362157958</v>
      </c>
    </row>
    <row r="25" spans="1:13" ht="15.6" x14ac:dyDescent="0.25">
      <c r="A25" s="389" t="s">
        <v>179</v>
      </c>
      <c r="B25" s="228"/>
      <c r="C25" s="228"/>
      <c r="D25" s="123"/>
      <c r="E25" s="8"/>
      <c r="F25" s="237">
        <v>6325.83097</v>
      </c>
      <c r="G25" s="237">
        <v>7212.4622200000003</v>
      </c>
      <c r="H25" s="123">
        <f t="shared" si="6"/>
        <v>14</v>
      </c>
      <c r="I25" s="341">
        <f>IFERROR(100/'Skjema total MA'!F25*G25,0)</f>
        <v>47.875728749076387</v>
      </c>
      <c r="J25" s="237">
        <f t="shared" si="9"/>
        <v>6325.83097</v>
      </c>
      <c r="K25" s="237">
        <f t="shared" si="10"/>
        <v>7212.4622200000003</v>
      </c>
      <c r="L25" s="123">
        <f t="shared" si="8"/>
        <v>14</v>
      </c>
      <c r="M25" s="20">
        <f>IFERROR(100/'Skjema total MA'!I25*K25,0)</f>
        <v>21.08648154283075</v>
      </c>
    </row>
    <row r="26" spans="1:13" ht="15.6" x14ac:dyDescent="0.25">
      <c r="A26" s="389" t="s">
        <v>180</v>
      </c>
      <c r="B26" s="228"/>
      <c r="C26" s="228"/>
      <c r="D26" s="123"/>
      <c r="E26" s="8"/>
      <c r="F26" s="237">
        <v>380429.41281000001</v>
      </c>
      <c r="G26" s="237">
        <v>461105.01040000003</v>
      </c>
      <c r="H26" s="123">
        <f t="shared" si="6"/>
        <v>21.2</v>
      </c>
      <c r="I26" s="341">
        <f>IFERROR(100/'Skjema total MA'!F26*G26,0)</f>
        <v>41.332691343999542</v>
      </c>
      <c r="J26" s="237">
        <f t="shared" si="9"/>
        <v>380429.41281000001</v>
      </c>
      <c r="K26" s="237">
        <f t="shared" si="10"/>
        <v>461105.01040000003</v>
      </c>
      <c r="L26" s="123">
        <f t="shared" si="8"/>
        <v>21.2</v>
      </c>
      <c r="M26" s="20">
        <f>IFERROR(100/'Skjema total MA'!I26*K26,0)</f>
        <v>41.332691343999542</v>
      </c>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v>2472794.3513500001</v>
      </c>
      <c r="C29" s="183">
        <v>2390953.0129399998</v>
      </c>
      <c r="D29" s="127">
        <f t="shared" si="5"/>
        <v>-3.3</v>
      </c>
      <c r="E29" s="8">
        <f>IFERROR(100/'Skjema total MA'!C29*C29,0)</f>
        <v>5.420495595759494</v>
      </c>
      <c r="F29" s="253">
        <v>5264030.2826199997</v>
      </c>
      <c r="G29" s="253">
        <v>5996383.73391</v>
      </c>
      <c r="H29" s="127">
        <f t="shared" si="6"/>
        <v>13.9</v>
      </c>
      <c r="I29" s="8">
        <f>IFERROR(100/'Skjema total MA'!F29*G29,0)</f>
        <v>18.78057379544688</v>
      </c>
      <c r="J29" s="183">
        <f t="shared" si="7"/>
        <v>7736824.6339699998</v>
      </c>
      <c r="K29" s="183">
        <f t="shared" si="7"/>
        <v>8387336.7468499998</v>
      </c>
      <c r="L29" s="349">
        <f t="shared" si="8"/>
        <v>8.4</v>
      </c>
      <c r="M29" s="21">
        <f>IFERROR(100/'Skjema total MA'!I29*K29,0)</f>
        <v>11.03043368791336</v>
      </c>
    </row>
    <row r="30" spans="1:13" ht="15.6" x14ac:dyDescent="0.25">
      <c r="A30" s="389" t="s">
        <v>177</v>
      </c>
      <c r="B30" s="228">
        <v>1418622.4071266199</v>
      </c>
      <c r="C30" s="228">
        <v>1371670.6836910299</v>
      </c>
      <c r="D30" s="123">
        <f t="shared" si="5"/>
        <v>-3.3</v>
      </c>
      <c r="E30" s="8">
        <f>IFERROR(100/'Skjema total MA'!C30*C30,0)</f>
        <v>7.1561114643776076</v>
      </c>
      <c r="F30" s="237">
        <v>649254.04902999895</v>
      </c>
      <c r="G30" s="237">
        <v>629029.14130000002</v>
      </c>
      <c r="H30" s="123">
        <f t="shared" si="6"/>
        <v>-3.1</v>
      </c>
      <c r="I30" s="341">
        <f>IFERROR(100/'Skjema total MA'!F30*G30,0)</f>
        <v>16.833392143287067</v>
      </c>
      <c r="J30" s="237">
        <f t="shared" ref="J30:J33" si="11">SUM(B30,F30)</f>
        <v>2067876.4561566189</v>
      </c>
      <c r="K30" s="237">
        <f t="shared" ref="K30:K33" si="12">SUM(C30,G30)</f>
        <v>2000699.8249910299</v>
      </c>
      <c r="L30" s="123">
        <f t="shared" si="8"/>
        <v>-3.2</v>
      </c>
      <c r="M30" s="20">
        <f>IFERROR(100/'Skjema total MA'!I30*K30,0)</f>
        <v>8.734919975170806</v>
      </c>
    </row>
    <row r="31" spans="1:13" ht="15.6" x14ac:dyDescent="0.25">
      <c r="A31" s="389" t="s">
        <v>178</v>
      </c>
      <c r="B31" s="228">
        <v>1054171.9442233799</v>
      </c>
      <c r="C31" s="228">
        <v>1019282.32924897</v>
      </c>
      <c r="D31" s="123">
        <f t="shared" si="5"/>
        <v>-3.3</v>
      </c>
      <c r="E31" s="8">
        <f>IFERROR(100/'Skjema total MA'!C31*C31,0)</f>
        <v>4.6364097060550042</v>
      </c>
      <c r="F31" s="237">
        <v>809185.37264999899</v>
      </c>
      <c r="G31" s="237">
        <v>864893.95646999998</v>
      </c>
      <c r="H31" s="123">
        <f t="shared" si="6"/>
        <v>6.9</v>
      </c>
      <c r="I31" s="341">
        <f>IFERROR(100/'Skjema total MA'!F31*G31,0)</f>
        <v>11.739563767942979</v>
      </c>
      <c r="J31" s="237">
        <f t="shared" si="11"/>
        <v>1863357.3168733791</v>
      </c>
      <c r="K31" s="237">
        <f t="shared" si="12"/>
        <v>1884176.28571897</v>
      </c>
      <c r="L31" s="123">
        <f t="shared" si="8"/>
        <v>1.1000000000000001</v>
      </c>
      <c r="M31" s="20">
        <f>IFERROR(100/'Skjema total MA'!I31*K31,0)</f>
        <v>6.4193207798679586</v>
      </c>
    </row>
    <row r="32" spans="1:13" ht="15.6" x14ac:dyDescent="0.25">
      <c r="A32" s="389" t="s">
        <v>179</v>
      </c>
      <c r="B32" s="228"/>
      <c r="C32" s="228"/>
      <c r="D32" s="123"/>
      <c r="E32" s="8"/>
      <c r="F32" s="237">
        <v>715320.34276999999</v>
      </c>
      <c r="G32" s="237">
        <v>787396.25615999999</v>
      </c>
      <c r="H32" s="123">
        <f t="shared" si="6"/>
        <v>10.1</v>
      </c>
      <c r="I32" s="341">
        <f>IFERROR(100/'Skjema total MA'!F32*G32,0)</f>
        <v>10.549681022137159</v>
      </c>
      <c r="J32" s="237">
        <f t="shared" si="11"/>
        <v>715320.34276999999</v>
      </c>
      <c r="K32" s="237">
        <f t="shared" si="12"/>
        <v>787396.25615999999</v>
      </c>
      <c r="L32" s="123">
        <f t="shared" si="8"/>
        <v>10.1</v>
      </c>
      <c r="M32" s="20">
        <f>IFERROR(100/'Skjema total MA'!I32*K32,0)</f>
        <v>7.7232940932553644</v>
      </c>
    </row>
    <row r="33" spans="1:13" ht="15.6" x14ac:dyDescent="0.25">
      <c r="A33" s="389" t="s">
        <v>180</v>
      </c>
      <c r="B33" s="228"/>
      <c r="C33" s="228"/>
      <c r="D33" s="123"/>
      <c r="E33" s="8"/>
      <c r="F33" s="237">
        <v>3090270.5181700001</v>
      </c>
      <c r="G33" s="237">
        <v>3715064.3799800002</v>
      </c>
      <c r="H33" s="123">
        <f t="shared" si="6"/>
        <v>20.2</v>
      </c>
      <c r="I33" s="341">
        <f>IFERROR(100/'Skjema total MA'!F33*G33,0)</f>
        <v>27.805669653605737</v>
      </c>
      <c r="J33" s="237">
        <f t="shared" si="11"/>
        <v>3090270.5181700001</v>
      </c>
      <c r="K33" s="237">
        <f t="shared" si="12"/>
        <v>3715064.3799800002</v>
      </c>
      <c r="L33" s="123">
        <f t="shared" si="8"/>
        <v>20.2</v>
      </c>
      <c r="M33" s="20">
        <f>IFERROR(100/'Skjema total MA'!I33*K33,0)</f>
        <v>27.805669653605737</v>
      </c>
    </row>
    <row r="34" spans="1:13" ht="15.6" x14ac:dyDescent="0.25">
      <c r="A34" s="10" t="s">
        <v>172</v>
      </c>
      <c r="B34" s="183"/>
      <c r="C34" s="254">
        <v>139.09161</v>
      </c>
      <c r="D34" s="127" t="str">
        <f t="shared" si="5"/>
        <v xml:space="preserve">    ---- </v>
      </c>
      <c r="E34" s="8">
        <f>IFERROR(100/'Skjema total MA'!C34*C34,0)</f>
        <v>0.10559329488149384</v>
      </c>
      <c r="F34" s="253">
        <v>63345.972439999998</v>
      </c>
      <c r="G34" s="254">
        <v>73972.601169999994</v>
      </c>
      <c r="H34" s="127">
        <f t="shared" si="6"/>
        <v>16.8</v>
      </c>
      <c r="I34" s="8">
        <f>IFERROR(100/'Skjema total MA'!F34*G34,0)</f>
        <v>27.497191782433095</v>
      </c>
      <c r="J34" s="183">
        <f t="shared" si="7"/>
        <v>63345.972439999998</v>
      </c>
      <c r="K34" s="183">
        <f t="shared" si="7"/>
        <v>74111.692779999998</v>
      </c>
      <c r="L34" s="349">
        <f t="shared" si="8"/>
        <v>17</v>
      </c>
      <c r="M34" s="21">
        <f>IFERROR(100/'Skjema total MA'!I34*K34,0)</f>
        <v>18.493587445279132</v>
      </c>
    </row>
    <row r="35" spans="1:13" ht="15.6" x14ac:dyDescent="0.25">
      <c r="A35" s="10" t="s">
        <v>173</v>
      </c>
      <c r="B35" s="183">
        <v>907.26959999999997</v>
      </c>
      <c r="C35" s="254">
        <v>890.83677999999998</v>
      </c>
      <c r="D35" s="127">
        <f t="shared" si="5"/>
        <v>-1.8</v>
      </c>
      <c r="E35" s="8">
        <f>IFERROR(100/'Skjema total MA'!C35*C35,0)</f>
        <v>3.5526750702491445</v>
      </c>
      <c r="F35" s="253">
        <v>33341.149619999997</v>
      </c>
      <c r="G35" s="254">
        <v>43874.992400000003</v>
      </c>
      <c r="H35" s="127">
        <f t="shared" si="6"/>
        <v>31.6</v>
      </c>
      <c r="I35" s="8">
        <f>IFERROR(100/'Skjema total MA'!F35*G35,0)</f>
        <v>17.630583397593281</v>
      </c>
      <c r="J35" s="183">
        <f t="shared" si="7"/>
        <v>34248.419219999996</v>
      </c>
      <c r="K35" s="183">
        <f t="shared" si="7"/>
        <v>44765.829180000001</v>
      </c>
      <c r="L35" s="349">
        <f t="shared" si="8"/>
        <v>30.7</v>
      </c>
      <c r="M35" s="21">
        <f>IFERROR(100/'Skjema total MA'!I35*K35,0)</f>
        <v>16.341926222662998</v>
      </c>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c r="C47" s="256"/>
      <c r="D47" s="348"/>
      <c r="E47" s="8"/>
      <c r="F47" s="109"/>
      <c r="G47" s="27"/>
      <c r="H47" s="118"/>
      <c r="I47" s="118"/>
      <c r="J47" s="31"/>
      <c r="K47" s="31"/>
      <c r="L47" s="118"/>
      <c r="M47" s="118"/>
    </row>
    <row r="48" spans="1:13" ht="15.6" x14ac:dyDescent="0.25">
      <c r="A48" s="18" t="s">
        <v>189</v>
      </c>
      <c r="B48" s="228"/>
      <c r="C48" s="229"/>
      <c r="D48" s="206"/>
      <c r="E48" s="23"/>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v>905871.97238000005</v>
      </c>
      <c r="C66" s="291">
        <v>954786.31991999992</v>
      </c>
      <c r="D66" s="288">
        <f t="shared" ref="D66:D111" si="13">IF(B66=0, "    ---- ", IF(ABS(ROUND(100/B66*C66-100,1))&lt;999,ROUND(100/B66*C66-100,1),IF(ROUND(100/B66*C66-100,1)&gt;999,999,-999)))</f>
        <v>5.4</v>
      </c>
      <c r="E66" s="8">
        <f>IFERROR(100/'Skjema total MA'!C66*C66,0)</f>
        <v>10.163621419330926</v>
      </c>
      <c r="F66" s="290">
        <v>6578582.1806199998</v>
      </c>
      <c r="G66" s="290">
        <v>7191846.6977299992</v>
      </c>
      <c r="H66" s="288">
        <f t="shared" ref="H66:H111" si="14">IF(F66=0, "    ---- ", IF(ABS(ROUND(100/F66*G66-100,1))&lt;999,ROUND(100/F66*G66-100,1),IF(ROUND(100/F66*G66-100,1)&gt;999,999,-999)))</f>
        <v>9.3000000000000007</v>
      </c>
      <c r="I66" s="8">
        <f>IFERROR(100/'Skjema total MA'!F66*G66,0)</f>
        <v>12.110096530333994</v>
      </c>
      <c r="J66" s="254">
        <f t="shared" ref="J66:K86" si="15">SUM(B66,F66)</f>
        <v>7484454.1529999999</v>
      </c>
      <c r="K66" s="261">
        <f t="shared" si="15"/>
        <v>8146633.0176499989</v>
      </c>
      <c r="L66" s="349">
        <f t="shared" ref="L66:L111" si="16">IF(J66=0, "    ---- ", IF(ABS(ROUND(100/J66*K66-100,1))&lt;999,ROUND(100/J66*K66-100,1),IF(ROUND(100/J66*K66-100,1)&gt;999,999,-999)))</f>
        <v>8.8000000000000007</v>
      </c>
      <c r="M66" s="8">
        <f>IFERROR(100/'Skjema total MA'!I66*K66,0)</f>
        <v>11.844247019106986</v>
      </c>
    </row>
    <row r="67" spans="1:13" x14ac:dyDescent="0.25">
      <c r="A67" s="39" t="s">
        <v>197</v>
      </c>
      <c r="B67" s="36">
        <v>162206.08194</v>
      </c>
      <c r="C67" s="109">
        <v>147860.97901000001</v>
      </c>
      <c r="D67" s="123">
        <f t="shared" si="13"/>
        <v>-8.8000000000000007</v>
      </c>
      <c r="E67" s="23">
        <f>IFERROR(100/'Skjema total MA'!C67*C67,0)</f>
        <v>3.5160835472187761</v>
      </c>
      <c r="F67" s="181"/>
      <c r="G67" s="109"/>
      <c r="H67" s="123"/>
      <c r="I67" s="23"/>
      <c r="J67" s="234">
        <f t="shared" si="15"/>
        <v>162206.08194</v>
      </c>
      <c r="K67" s="36">
        <f t="shared" si="15"/>
        <v>147860.97901000001</v>
      </c>
      <c r="L67" s="206">
        <f t="shared" si="16"/>
        <v>-8.8000000000000007</v>
      </c>
      <c r="M67" s="23">
        <f>IFERROR(100/'Skjema total MA'!I67*K67,0)</f>
        <v>3.5160835472187761</v>
      </c>
    </row>
    <row r="68" spans="1:13" x14ac:dyDescent="0.25">
      <c r="A68" s="18" t="s">
        <v>198</v>
      </c>
      <c r="B68" s="239">
        <v>29162.744979999999</v>
      </c>
      <c r="C68" s="240">
        <v>22311.741590000001</v>
      </c>
      <c r="D68" s="123">
        <f t="shared" si="13"/>
        <v>-23.5</v>
      </c>
      <c r="E68" s="23">
        <f>IFERROR(100/'Skjema total MA'!C68*C68,0)</f>
        <v>92.209694875697522</v>
      </c>
      <c r="F68" s="239">
        <v>6155320.5406999998</v>
      </c>
      <c r="G68" s="240">
        <v>6714660.6521699997</v>
      </c>
      <c r="H68" s="123">
        <f t="shared" si="14"/>
        <v>9.1</v>
      </c>
      <c r="I68" s="23">
        <f>IFERROR(100/'Skjema total MA'!F68*G68,0)</f>
        <v>11.741320469242478</v>
      </c>
      <c r="J68" s="234">
        <f t="shared" si="15"/>
        <v>6184483.2856799997</v>
      </c>
      <c r="K68" s="36">
        <f t="shared" si="15"/>
        <v>6736972.3937599994</v>
      </c>
      <c r="L68" s="206">
        <f t="shared" si="16"/>
        <v>8.9</v>
      </c>
      <c r="M68" s="23">
        <f>IFERROR(100/'Skjema total MA'!I68*K68,0)</f>
        <v>11.775352767074926</v>
      </c>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v>29162.744979999999</v>
      </c>
      <c r="C72" s="228">
        <v>22311.741590000001</v>
      </c>
      <c r="D72" s="123">
        <f t="shared" ref="D72" si="17">IF(B72=0, "    ---- ", IF(ABS(ROUND(100/B72*C72-100,1))&lt;999,ROUND(100/B72*C72-100,1),IF(ROUND(100/B72*C72-100,1)&gt;999,999,-999)))</f>
        <v>-23.5</v>
      </c>
      <c r="E72" s="23">
        <f>IFERROR(100/'Skjema total MA'!C72*C72,0)</f>
        <v>93.117909169020848</v>
      </c>
      <c r="F72" s="228">
        <v>6155320.5406999998</v>
      </c>
      <c r="G72" s="228">
        <v>6714660.6521699997</v>
      </c>
      <c r="H72" s="123">
        <f t="shared" si="14"/>
        <v>9.1</v>
      </c>
      <c r="I72" s="341">
        <f>IFERROR(100/'Skjema total MA'!F72*G72,0)</f>
        <v>11.74183550916351</v>
      </c>
      <c r="J72" s="234">
        <f t="shared" ref="J72" si="18">SUM(B72,F72)</f>
        <v>6184483.2856799997</v>
      </c>
      <c r="K72" s="36">
        <f t="shared" ref="K72" si="19">SUM(C72,G72)</f>
        <v>6736972.3937599994</v>
      </c>
      <c r="L72" s="206">
        <f t="shared" si="16"/>
        <v>8.9</v>
      </c>
      <c r="M72" s="20">
        <f>IFERROR(100/'Skjema total MA'!I72*K72,0)</f>
        <v>11.775917658855201</v>
      </c>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v>6155320.5406999998</v>
      </c>
      <c r="G74" s="228">
        <v>6714660.6521699997</v>
      </c>
      <c r="H74" s="123">
        <f t="shared" si="14"/>
        <v>9.1</v>
      </c>
      <c r="I74" s="341">
        <f>IFERROR(100/'Skjema total MA'!F74*G74,0)</f>
        <v>11.74183550916351</v>
      </c>
      <c r="J74" s="234">
        <f t="shared" ref="J74" si="20">SUM(B74,F74)</f>
        <v>6155320.5406999998</v>
      </c>
      <c r="K74" s="36">
        <f t="shared" ref="K74" si="21">SUM(C74,G74)</f>
        <v>6714660.6521699997</v>
      </c>
      <c r="L74" s="206">
        <f t="shared" si="16"/>
        <v>9.1</v>
      </c>
      <c r="M74" s="20">
        <f>IFERROR(100/'Skjema total MA'!I74*K74,0)</f>
        <v>11.74183550916351</v>
      </c>
    </row>
    <row r="75" spans="1:13" x14ac:dyDescent="0.25">
      <c r="A75" s="18" t="s">
        <v>203</v>
      </c>
      <c r="B75" s="181">
        <v>393903.91047</v>
      </c>
      <c r="C75" s="109">
        <v>431360.07530999999</v>
      </c>
      <c r="D75" s="123">
        <f t="shared" si="13"/>
        <v>9.5</v>
      </c>
      <c r="E75" s="23">
        <f>IFERROR(100/'Skjema total MA'!C75*C75,0)</f>
        <v>44.286989892086694</v>
      </c>
      <c r="F75" s="181">
        <v>423261.63991999999</v>
      </c>
      <c r="G75" s="109">
        <v>477186.04556</v>
      </c>
      <c r="H75" s="123">
        <f t="shared" si="14"/>
        <v>12.7</v>
      </c>
      <c r="I75" s="23">
        <f>IFERROR(100/'Skjema total MA'!F75*G75,0)</f>
        <v>21.701092619638526</v>
      </c>
      <c r="J75" s="234">
        <f t="shared" si="15"/>
        <v>817165.55038999999</v>
      </c>
      <c r="K75" s="36">
        <f t="shared" si="15"/>
        <v>908546.12086999998</v>
      </c>
      <c r="L75" s="206">
        <f t="shared" si="16"/>
        <v>11.2</v>
      </c>
      <c r="M75" s="23">
        <f>IFERROR(100/'Skjema total MA'!I75*K75,0)</f>
        <v>28.634437625675428</v>
      </c>
    </row>
    <row r="76" spans="1:13" ht="20.399999999999999" x14ac:dyDescent="0.35">
      <c r="A76" s="18" t="s">
        <v>493</v>
      </c>
      <c r="B76" s="181">
        <v>320599.23499000003</v>
      </c>
      <c r="C76" s="109">
        <v>353253.52400999999</v>
      </c>
      <c r="D76" s="123">
        <f t="shared" ref="D76" si="22">IF(B76=0, "    ---- ", IF(ABS(ROUND(100/B76*C76-100,1))&lt;999,ROUND(100/B76*C76-100,1),IF(ROUND(100/B76*C76-100,1)&gt;999,999,-999)))</f>
        <v>10.199999999999999</v>
      </c>
      <c r="E76" s="23">
        <f>IFERROR(100/'Skjema total MA'!C76*C76,0)</f>
        <v>8.4295192763805247</v>
      </c>
      <c r="F76" s="181"/>
      <c r="G76" s="109"/>
      <c r="H76" s="123"/>
      <c r="I76" s="23"/>
      <c r="J76" s="234">
        <f t="shared" ref="J76" si="23">SUM(B76,F76)</f>
        <v>320599.23499000003</v>
      </c>
      <c r="K76" s="36">
        <f t="shared" ref="K76" si="24">SUM(C76,G76)</f>
        <v>353253.52400999999</v>
      </c>
      <c r="L76" s="206">
        <f t="shared" ref="L76" si="25">IF(J76=0, "    ---- ", IF(ABS(ROUND(100/J76*K76-100,1))&lt;999,ROUND(100/J76*K76-100,1),IF(ROUND(100/J76*K76-100,1)&gt;999,999,-999)))</f>
        <v>10.199999999999999</v>
      </c>
      <c r="M76" s="23">
        <f>IFERROR(100/'Skjema total MA'!I76*K76,0)</f>
        <v>8.4295192763805247</v>
      </c>
    </row>
    <row r="77" spans="1:13" ht="15.6" x14ac:dyDescent="0.25">
      <c r="A77" s="18" t="s">
        <v>205</v>
      </c>
      <c r="B77" s="181">
        <v>191368.82691999999</v>
      </c>
      <c r="C77" s="181">
        <v>170172.7206</v>
      </c>
      <c r="D77" s="123">
        <f t="shared" si="13"/>
        <v>-11.1</v>
      </c>
      <c r="E77" s="23">
        <f>IFERROR(100/'Skjema total MA'!C77*C77,0)</f>
        <v>4.1192313126262219</v>
      </c>
      <c r="F77" s="181">
        <v>6144865.4506999999</v>
      </c>
      <c r="G77" s="109">
        <v>6702998.99517</v>
      </c>
      <c r="H77" s="123">
        <f t="shared" si="14"/>
        <v>9.1</v>
      </c>
      <c r="I77" s="23">
        <f>IFERROR(100/'Skjema total MA'!F77*G77,0)</f>
        <v>11.723834130952739</v>
      </c>
      <c r="J77" s="234">
        <f t="shared" si="15"/>
        <v>6336234.2776199998</v>
      </c>
      <c r="K77" s="36">
        <f t="shared" si="15"/>
        <v>6873171.7157699997</v>
      </c>
      <c r="L77" s="206">
        <f t="shared" si="16"/>
        <v>8.5</v>
      </c>
      <c r="M77" s="23">
        <f>IFERROR(100/'Skjema total MA'!I77*K77,0)</f>
        <v>11.211383183911378</v>
      </c>
    </row>
    <row r="78" spans="1:13" x14ac:dyDescent="0.25">
      <c r="A78" s="18" t="s">
        <v>197</v>
      </c>
      <c r="B78" s="181">
        <v>162206.08194</v>
      </c>
      <c r="C78" s="109">
        <v>147860.97901000001</v>
      </c>
      <c r="D78" s="123">
        <f t="shared" si="13"/>
        <v>-8.8000000000000007</v>
      </c>
      <c r="E78" s="23">
        <f>IFERROR(100/'Skjema total MA'!C78*C78,0)</f>
        <v>3.6002362723774008</v>
      </c>
      <c r="F78" s="181"/>
      <c r="G78" s="109"/>
      <c r="H78" s="123"/>
      <c r="I78" s="23"/>
      <c r="J78" s="234">
        <f t="shared" si="15"/>
        <v>162206.08194</v>
      </c>
      <c r="K78" s="36">
        <f t="shared" si="15"/>
        <v>147860.97901000001</v>
      </c>
      <c r="L78" s="206">
        <f t="shared" si="16"/>
        <v>-8.8000000000000007</v>
      </c>
      <c r="M78" s="23">
        <f>IFERROR(100/'Skjema total MA'!I78*K78,0)</f>
        <v>3.6002362723774008</v>
      </c>
    </row>
    <row r="79" spans="1:13" x14ac:dyDescent="0.25">
      <c r="A79" s="18" t="s">
        <v>206</v>
      </c>
      <c r="B79" s="239">
        <v>29162.744979999999</v>
      </c>
      <c r="C79" s="240">
        <v>22311.741590000001</v>
      </c>
      <c r="D79" s="123">
        <f t="shared" si="13"/>
        <v>-23.5</v>
      </c>
      <c r="E79" s="23">
        <f>IFERROR(100/'Skjema total MA'!C79*C79,0)</f>
        <v>92.209694875697522</v>
      </c>
      <c r="F79" s="239">
        <v>6144865.4506999999</v>
      </c>
      <c r="G79" s="240">
        <v>6702998.99517</v>
      </c>
      <c r="H79" s="123">
        <f t="shared" si="14"/>
        <v>9.1</v>
      </c>
      <c r="I79" s="23">
        <f>IFERROR(100/'Skjema total MA'!F79*G79,0)</f>
        <v>11.723834130952739</v>
      </c>
      <c r="J79" s="234">
        <f t="shared" si="15"/>
        <v>6174028.1956799999</v>
      </c>
      <c r="K79" s="36">
        <f t="shared" si="15"/>
        <v>6725310.7367599998</v>
      </c>
      <c r="L79" s="206">
        <f t="shared" si="16"/>
        <v>8.9</v>
      </c>
      <c r="M79" s="23">
        <f>IFERROR(100/'Skjema total MA'!I79*K79,0)</f>
        <v>11.757882258325639</v>
      </c>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v>29162.744979999999</v>
      </c>
      <c r="C83" s="228">
        <v>22311.741590000001</v>
      </c>
      <c r="D83" s="123">
        <f t="shared" ref="D83" si="26">IF(B83=0, "    ---- ", IF(ABS(ROUND(100/B83*C83-100,1))&lt;999,ROUND(100/B83*C83-100,1),IF(ROUND(100/B83*C83-100,1)&gt;999,999,-999)))</f>
        <v>-23.5</v>
      </c>
      <c r="E83" s="23">
        <f>IFERROR(100/'Skjema total MA'!C83*C83,0)</f>
        <v>92.209694875697522</v>
      </c>
      <c r="F83" s="228">
        <v>6144865.4506999999</v>
      </c>
      <c r="G83" s="228">
        <v>6702998.99517</v>
      </c>
      <c r="H83" s="123">
        <f t="shared" si="14"/>
        <v>9.1</v>
      </c>
      <c r="I83" s="341">
        <f>IFERROR(100/'Skjema total MA'!F83*G83,0)</f>
        <v>11.723834130952739</v>
      </c>
      <c r="J83" s="234">
        <f t="shared" ref="J83" si="27">SUM(B83,F83)</f>
        <v>6174028.1956799999</v>
      </c>
      <c r="K83" s="36">
        <f t="shared" ref="K83" si="28">SUM(C83,G83)</f>
        <v>6725310.7367599998</v>
      </c>
      <c r="L83" s="206">
        <f t="shared" si="16"/>
        <v>8.9</v>
      </c>
      <c r="M83" s="20">
        <f>IFERROR(100/'Skjema total MA'!I83*K83,0)</f>
        <v>11.757882258325639</v>
      </c>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v>6144865.4506999999</v>
      </c>
      <c r="G85" s="228">
        <v>6702998.99517</v>
      </c>
      <c r="H85" s="123">
        <f t="shared" si="14"/>
        <v>9.1</v>
      </c>
      <c r="I85" s="341">
        <f>IFERROR(100/'Skjema total MA'!F85*G85,0)</f>
        <v>11.723834130952739</v>
      </c>
      <c r="J85" s="234">
        <f t="shared" ref="J85" si="29">SUM(B85,F85)</f>
        <v>6144865.4506999999</v>
      </c>
      <c r="K85" s="36">
        <f t="shared" ref="K85" si="30">SUM(C85,G85)</f>
        <v>6702998.99517</v>
      </c>
      <c r="L85" s="206">
        <f t="shared" si="16"/>
        <v>9.1</v>
      </c>
      <c r="M85" s="20">
        <f>IFERROR(100/'Skjema total MA'!I85*K85,0)</f>
        <v>11.723834130952739</v>
      </c>
    </row>
    <row r="86" spans="1:13" ht="15.6" x14ac:dyDescent="0.25">
      <c r="A86" s="18" t="s">
        <v>207</v>
      </c>
      <c r="B86" s="181"/>
      <c r="C86" s="109"/>
      <c r="D86" s="123"/>
      <c r="E86" s="23"/>
      <c r="F86" s="181">
        <v>10455.09</v>
      </c>
      <c r="G86" s="109">
        <v>11661.656999999999</v>
      </c>
      <c r="H86" s="123">
        <f t="shared" si="14"/>
        <v>11.5</v>
      </c>
      <c r="I86" s="23">
        <f>IFERROR(100/'Skjema total MA'!F86*G86,0)</f>
        <v>82.285758436708065</v>
      </c>
      <c r="J86" s="234">
        <f t="shared" si="15"/>
        <v>10455.09</v>
      </c>
      <c r="K86" s="36">
        <f t="shared" si="15"/>
        <v>11661.656999999999</v>
      </c>
      <c r="L86" s="206">
        <f t="shared" si="16"/>
        <v>11.5</v>
      </c>
      <c r="M86" s="23">
        <f>IFERROR(100/'Skjema total MA'!I86*K86,0)</f>
        <v>10.368942483824036</v>
      </c>
    </row>
    <row r="87" spans="1:13" ht="15.6" x14ac:dyDescent="0.25">
      <c r="A87" s="10" t="s">
        <v>171</v>
      </c>
      <c r="B87" s="291">
        <v>19839376.084489997</v>
      </c>
      <c r="C87" s="291">
        <v>23962598.12097</v>
      </c>
      <c r="D87" s="127">
        <f t="shared" si="13"/>
        <v>20.8</v>
      </c>
      <c r="E87" s="8">
        <f>IFERROR(100/'Skjema total MA'!C87*C87,0)</f>
        <v>5.7661996821427621</v>
      </c>
      <c r="F87" s="290">
        <v>73614881.427379891</v>
      </c>
      <c r="G87" s="290">
        <v>84418253.053849995</v>
      </c>
      <c r="H87" s="127">
        <f t="shared" si="14"/>
        <v>14.7</v>
      </c>
      <c r="I87" s="8">
        <f>IFERROR(100/'Skjema total MA'!F87*G87,0)</f>
        <v>10.654490489307758</v>
      </c>
      <c r="J87" s="254">
        <f t="shared" ref="J87:K111" si="31">SUM(B87,F87)</f>
        <v>93454257.511869892</v>
      </c>
      <c r="K87" s="183">
        <f t="shared" si="31"/>
        <v>108380851.17481999</v>
      </c>
      <c r="L87" s="349">
        <f t="shared" si="16"/>
        <v>16</v>
      </c>
      <c r="M87" s="8">
        <f>IFERROR(100/'Skjema total MA'!I87*K87,0)</f>
        <v>8.9727001348036577</v>
      </c>
    </row>
    <row r="88" spans="1:13" x14ac:dyDescent="0.25">
      <c r="A88" s="18" t="s">
        <v>197</v>
      </c>
      <c r="B88" s="181">
        <v>13720700.9274</v>
      </c>
      <c r="C88" s="109">
        <v>14897464.70923</v>
      </c>
      <c r="D88" s="123">
        <f t="shared" si="13"/>
        <v>8.6</v>
      </c>
      <c r="E88" s="23">
        <f>IFERROR(100/'Skjema total MA'!C88*C88,0)</f>
        <v>3.8359249539646045</v>
      </c>
      <c r="F88" s="181"/>
      <c r="G88" s="109"/>
      <c r="H88" s="123"/>
      <c r="I88" s="23"/>
      <c r="J88" s="234">
        <f t="shared" si="31"/>
        <v>13720700.9274</v>
      </c>
      <c r="K88" s="36">
        <f t="shared" si="31"/>
        <v>14897464.70923</v>
      </c>
      <c r="L88" s="206">
        <f t="shared" si="16"/>
        <v>8.6</v>
      </c>
      <c r="M88" s="23">
        <f>IFERROR(100/'Skjema total MA'!I88*K88,0)</f>
        <v>3.8359249539646045</v>
      </c>
    </row>
    <row r="89" spans="1:13" x14ac:dyDescent="0.25">
      <c r="A89" s="18" t="s">
        <v>198</v>
      </c>
      <c r="B89" s="181">
        <v>642630.14531000005</v>
      </c>
      <c r="C89" s="109">
        <v>2363699.4005100001</v>
      </c>
      <c r="D89" s="123">
        <f t="shared" si="13"/>
        <v>267.8</v>
      </c>
      <c r="E89" s="23">
        <f>IFERROR(100/'Skjema total MA'!C89*C89,0)</f>
        <v>55.391163642726774</v>
      </c>
      <c r="F89" s="181">
        <v>70697295.794659898</v>
      </c>
      <c r="G89" s="109">
        <v>80422452.696789995</v>
      </c>
      <c r="H89" s="123">
        <f t="shared" si="14"/>
        <v>13.8</v>
      </c>
      <c r="I89" s="23">
        <f>IFERROR(100/'Skjema total MA'!F89*G89,0)</f>
        <v>10.314874521246624</v>
      </c>
      <c r="J89" s="234">
        <f t="shared" si="31"/>
        <v>71339925.939969897</v>
      </c>
      <c r="K89" s="36">
        <f t="shared" si="31"/>
        <v>82786152.097299993</v>
      </c>
      <c r="L89" s="206">
        <f t="shared" si="16"/>
        <v>16</v>
      </c>
      <c r="M89" s="23">
        <f>IFERROR(100/'Skjema total MA'!I89*K89,0)</f>
        <v>10.56024147092916</v>
      </c>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v>642630.14531000005</v>
      </c>
      <c r="C93" s="228">
        <v>2363699.4005100001</v>
      </c>
      <c r="D93" s="123">
        <f t="shared" si="13"/>
        <v>267.8</v>
      </c>
      <c r="E93" s="23">
        <f>IFERROR(100/'Skjema total MA'!C94*C93,0)</f>
        <v>0</v>
      </c>
      <c r="F93" s="228">
        <v>70697295.794659898</v>
      </c>
      <c r="G93" s="228">
        <v>80422452.696789995</v>
      </c>
      <c r="H93" s="123">
        <f t="shared" si="14"/>
        <v>13.8</v>
      </c>
      <c r="I93" s="341">
        <f>IFERROR(100/'Skjema total MA'!F93*G93,0)</f>
        <v>10.319337498033896</v>
      </c>
      <c r="J93" s="234">
        <f t="shared" ref="J93" si="32">SUM(B93,F93)</f>
        <v>71339925.939969897</v>
      </c>
      <c r="K93" s="36">
        <f t="shared" ref="K93" si="33">SUM(C93,G93)</f>
        <v>82786152.097299993</v>
      </c>
      <c r="L93" s="206">
        <f t="shared" si="16"/>
        <v>16</v>
      </c>
      <c r="M93" s="20">
        <f>IFERROR(100/'Skjema total MA'!I93*K93,0)</f>
        <v>10.564785729357872</v>
      </c>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v>70697295.794659898</v>
      </c>
      <c r="G95" s="228">
        <v>80422452.696789995</v>
      </c>
      <c r="H95" s="123">
        <f t="shared" si="14"/>
        <v>13.8</v>
      </c>
      <c r="I95" s="341">
        <f>IFERROR(100/'Skjema total MA'!F95*G95,0)</f>
        <v>10.319337498033896</v>
      </c>
      <c r="J95" s="234">
        <f t="shared" ref="J95" si="34">SUM(B95,F95)</f>
        <v>70697295.794659898</v>
      </c>
      <c r="K95" s="36">
        <f t="shared" ref="K95" si="35">SUM(C95,G95)</f>
        <v>80422452.696789995</v>
      </c>
      <c r="L95" s="206">
        <f t="shared" si="16"/>
        <v>13.8</v>
      </c>
      <c r="M95" s="20">
        <f>IFERROR(100/'Skjema total MA'!I95*K95,0)</f>
        <v>10.319337498033896</v>
      </c>
    </row>
    <row r="96" spans="1:13" x14ac:dyDescent="0.25">
      <c r="A96" s="18" t="s">
        <v>221</v>
      </c>
      <c r="B96" s="181">
        <v>3747961.4784900001</v>
      </c>
      <c r="C96" s="109">
        <v>4726910.0472499998</v>
      </c>
      <c r="D96" s="123">
        <f t="shared" si="13"/>
        <v>26.1</v>
      </c>
      <c r="E96" s="23">
        <f>IFERROR(100/'Skjema total MA'!C96*C96,0)</f>
        <v>52.723993029226278</v>
      </c>
      <c r="F96" s="181">
        <v>2917585.6327200001</v>
      </c>
      <c r="G96" s="109">
        <v>3995800.3570599998</v>
      </c>
      <c r="H96" s="123">
        <f t="shared" si="14"/>
        <v>37</v>
      </c>
      <c r="I96" s="23">
        <f>IFERROR(100/'Skjema total MA'!F96*G96,0)</f>
        <v>31.584823671617002</v>
      </c>
      <c r="J96" s="234">
        <f t="shared" si="31"/>
        <v>6665547.1112099998</v>
      </c>
      <c r="K96" s="36">
        <f t="shared" si="31"/>
        <v>8722710.4043099992</v>
      </c>
      <c r="L96" s="206">
        <f t="shared" si="16"/>
        <v>30.9</v>
      </c>
      <c r="M96" s="23">
        <f>IFERROR(100/'Skjema total MA'!I96*K96,0)</f>
        <v>40.352279357023832</v>
      </c>
    </row>
    <row r="97" spans="1:13" x14ac:dyDescent="0.25">
      <c r="A97" s="18" t="s">
        <v>222</v>
      </c>
      <c r="B97" s="181">
        <v>1728083.5332899999</v>
      </c>
      <c r="C97" s="109">
        <v>1974523.96398</v>
      </c>
      <c r="D97" s="123">
        <f t="shared" ref="D97" si="36">IF(B97=0, "    ---- ", IF(ABS(ROUND(100/B97*C97-100,1))&lt;999,ROUND(100/B97*C97-100,1),IF(ROUND(100/B97*C97-100,1)&gt;999,999,-999)))</f>
        <v>14.3</v>
      </c>
      <c r="E97" s="23">
        <f>IFERROR(100/'Skjema total MA'!C98*C97,0)</f>
        <v>0.50818620259766434</v>
      </c>
      <c r="F97" s="181"/>
      <c r="G97" s="109"/>
      <c r="H97" s="123"/>
      <c r="I97" s="23"/>
      <c r="J97" s="234">
        <f t="shared" ref="J97" si="37">SUM(B97,F97)</f>
        <v>1728083.5332899999</v>
      </c>
      <c r="K97" s="36">
        <f t="shared" ref="K97" si="38">SUM(C97,G97)</f>
        <v>1974523.96398</v>
      </c>
      <c r="L97" s="206">
        <f t="shared" ref="L97" si="39">IF(J97=0, "    ---- ", IF(ABS(ROUND(100/J97*K97-100,1))&lt;999,ROUND(100/J97*K97-100,1),IF(ROUND(100/J97*K97-100,1)&gt;999,999,-999)))</f>
        <v>14.3</v>
      </c>
      <c r="M97" s="23">
        <f>IFERROR(100/'Skjema total MA'!I98*K97,0)</f>
        <v>0.16908185422941954</v>
      </c>
    </row>
    <row r="98" spans="1:13" ht="15.6" x14ac:dyDescent="0.25">
      <c r="A98" s="18" t="s">
        <v>205</v>
      </c>
      <c r="B98" s="181">
        <v>14363331.07271</v>
      </c>
      <c r="C98" s="181">
        <v>17261164.10974</v>
      </c>
      <c r="D98" s="123">
        <f t="shared" si="13"/>
        <v>20.2</v>
      </c>
      <c r="E98" s="23">
        <f>IFERROR(100/'Skjema total MA'!C98*C98,0)</f>
        <v>4.4425317703729403</v>
      </c>
      <c r="F98" s="239">
        <v>70598367.060159996</v>
      </c>
      <c r="G98" s="239">
        <v>80333552.86688</v>
      </c>
      <c r="H98" s="123">
        <f t="shared" si="14"/>
        <v>13.8</v>
      </c>
      <c r="I98" s="23">
        <f>IFERROR(100/'Skjema total MA'!F98*G98,0)</f>
        <v>10.309107739649878</v>
      </c>
      <c r="J98" s="234">
        <f t="shared" si="31"/>
        <v>84961698.132869989</v>
      </c>
      <c r="K98" s="36">
        <f t="shared" si="31"/>
        <v>97594716.976620004</v>
      </c>
      <c r="L98" s="206">
        <f t="shared" si="16"/>
        <v>14.9</v>
      </c>
      <c r="M98" s="23">
        <f>IFERROR(100/'Skjema total MA'!I98*K98,0)</f>
        <v>8.3572020448618183</v>
      </c>
    </row>
    <row r="99" spans="1:13" x14ac:dyDescent="0.25">
      <c r="A99" s="18" t="s">
        <v>197</v>
      </c>
      <c r="B99" s="239">
        <v>13720700.9274</v>
      </c>
      <c r="C99" s="240">
        <v>14897464.70923</v>
      </c>
      <c r="D99" s="123">
        <f t="shared" si="13"/>
        <v>8.6</v>
      </c>
      <c r="E99" s="23">
        <f>IFERROR(100/'Skjema total MA'!C99*C99,0)</f>
        <v>3.8767605014055984</v>
      </c>
      <c r="F99" s="181"/>
      <c r="G99" s="109"/>
      <c r="H99" s="123"/>
      <c r="I99" s="23"/>
      <c r="J99" s="234">
        <f t="shared" si="31"/>
        <v>13720700.9274</v>
      </c>
      <c r="K99" s="36">
        <f t="shared" si="31"/>
        <v>14897464.70923</v>
      </c>
      <c r="L99" s="206">
        <f t="shared" si="16"/>
        <v>8.6</v>
      </c>
      <c r="M99" s="23">
        <f>IFERROR(100/'Skjema total MA'!I99*K99,0)</f>
        <v>3.8767605014055984</v>
      </c>
    </row>
    <row r="100" spans="1:13" x14ac:dyDescent="0.25">
      <c r="A100" s="18" t="s">
        <v>206</v>
      </c>
      <c r="B100" s="239">
        <v>642630.14531000005</v>
      </c>
      <c r="C100" s="240">
        <v>2363699.4005100001</v>
      </c>
      <c r="D100" s="123">
        <f t="shared" si="13"/>
        <v>267.8</v>
      </c>
      <c r="E100" s="23">
        <f>IFERROR(100/'Skjema total MA'!C100*C100,0)</f>
        <v>55.391163642726774</v>
      </c>
      <c r="F100" s="181">
        <v>70598367.060159996</v>
      </c>
      <c r="G100" s="181">
        <v>80333552.86688</v>
      </c>
      <c r="H100" s="123">
        <f t="shared" si="14"/>
        <v>13.8</v>
      </c>
      <c r="I100" s="23">
        <f>IFERROR(100/'Skjema total MA'!F100*G100,0)</f>
        <v>10.309107739649878</v>
      </c>
      <c r="J100" s="234">
        <f t="shared" si="31"/>
        <v>71240997.205469996</v>
      </c>
      <c r="K100" s="36">
        <f t="shared" si="31"/>
        <v>82697252.267389998</v>
      </c>
      <c r="L100" s="206">
        <f t="shared" si="16"/>
        <v>16.100000000000001</v>
      </c>
      <c r="M100" s="23">
        <f>IFERROR(100/'Skjema total MA'!I100*K100,0)</f>
        <v>10.554639567438503</v>
      </c>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v>642630.14531000005</v>
      </c>
      <c r="C104" s="228">
        <v>2363699.4005100001</v>
      </c>
      <c r="D104" s="123">
        <f t="shared" si="13"/>
        <v>267.8</v>
      </c>
      <c r="E104" s="23">
        <f>IFERROR(100/'Skjema total MA'!C104*C104,0)</f>
        <v>55.391163642726774</v>
      </c>
      <c r="F104" s="228">
        <v>70598367.060159996</v>
      </c>
      <c r="G104" s="228">
        <v>80333552.86688</v>
      </c>
      <c r="H104" s="123">
        <f t="shared" si="14"/>
        <v>13.8</v>
      </c>
      <c r="I104" s="341">
        <f>IFERROR(100/'Skjema total MA'!F104*G104,0)</f>
        <v>10.309107739649878</v>
      </c>
      <c r="J104" s="234">
        <f t="shared" ref="J104" si="40">SUM(B104,F104)</f>
        <v>71240997.205469996</v>
      </c>
      <c r="K104" s="36">
        <f t="shared" ref="K104" si="41">SUM(C104,G104)</f>
        <v>82697252.267389998</v>
      </c>
      <c r="L104" s="206">
        <f t="shared" si="16"/>
        <v>16.100000000000001</v>
      </c>
      <c r="M104" s="20">
        <f>IFERROR(100/'Skjema total MA'!I104*K104,0)</f>
        <v>10.554639567438503</v>
      </c>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v>70598367.060159996</v>
      </c>
      <c r="G106" s="228">
        <v>80333552.86688</v>
      </c>
      <c r="H106" s="123">
        <f t="shared" si="14"/>
        <v>13.8</v>
      </c>
      <c r="I106" s="341">
        <f>IFERROR(100/'Skjema total MA'!F106*G106,0)</f>
        <v>10.309107739649878</v>
      </c>
      <c r="J106" s="234">
        <f t="shared" ref="J106" si="42">SUM(B106,F106)</f>
        <v>70598367.060159996</v>
      </c>
      <c r="K106" s="36">
        <f t="shared" ref="K106" si="43">SUM(C106,G106)</f>
        <v>80333552.86688</v>
      </c>
      <c r="L106" s="206">
        <f t="shared" si="16"/>
        <v>13.8</v>
      </c>
      <c r="M106" s="20">
        <f>IFERROR(100/'Skjema total MA'!I106*K106,0)</f>
        <v>10.309107739649878</v>
      </c>
    </row>
    <row r="107" spans="1:13" ht="15.6" x14ac:dyDescent="0.25">
      <c r="A107" s="18" t="s">
        <v>207</v>
      </c>
      <c r="B107" s="181"/>
      <c r="C107" s="109"/>
      <c r="D107" s="123"/>
      <c r="E107" s="23"/>
      <c r="F107" s="181">
        <v>98928.734499999904</v>
      </c>
      <c r="G107" s="109">
        <v>88899.82991</v>
      </c>
      <c r="H107" s="123">
        <f t="shared" si="14"/>
        <v>-10.1</v>
      </c>
      <c r="I107" s="23">
        <f>IFERROR(100/'Skjema total MA'!F107*G107,0)</f>
        <v>20.858577219454112</v>
      </c>
      <c r="J107" s="234">
        <f t="shared" si="31"/>
        <v>98928.734499999904</v>
      </c>
      <c r="K107" s="36">
        <f t="shared" si="31"/>
        <v>88899.82991</v>
      </c>
      <c r="L107" s="206">
        <f t="shared" si="16"/>
        <v>-10.1</v>
      </c>
      <c r="M107" s="23">
        <f>IFERROR(100/'Skjema total MA'!I107*K107,0)</f>
        <v>1.9681015845624028</v>
      </c>
    </row>
    <row r="108" spans="1:13" ht="15.6" x14ac:dyDescent="0.25">
      <c r="A108" s="18" t="s">
        <v>208</v>
      </c>
      <c r="B108" s="181">
        <v>11011728.9142</v>
      </c>
      <c r="C108" s="181">
        <v>12168249.690260001</v>
      </c>
      <c r="D108" s="123">
        <f t="shared" si="13"/>
        <v>10.5</v>
      </c>
      <c r="E108" s="23">
        <f>IFERROR(100/'Skjema total MA'!C108*C108,0)</f>
        <v>3.6580749330348734</v>
      </c>
      <c r="F108" s="181"/>
      <c r="G108" s="181"/>
      <c r="H108" s="123"/>
      <c r="I108" s="23">
        <f>IFERROR(100/'Skjema total MA'!F108*G108,0)</f>
        <v>0</v>
      </c>
      <c r="J108" s="234">
        <f t="shared" si="31"/>
        <v>11011728.9142</v>
      </c>
      <c r="K108" s="36">
        <f t="shared" si="31"/>
        <v>12168249.690260001</v>
      </c>
      <c r="L108" s="206">
        <f t="shared" si="16"/>
        <v>10.5</v>
      </c>
      <c r="M108" s="23">
        <f>IFERROR(100/'Skjema total MA'!I108*K108,0)</f>
        <v>3.3918145133659712</v>
      </c>
    </row>
    <row r="109" spans="1:13" ht="15.6" x14ac:dyDescent="0.25">
      <c r="A109" s="18" t="s">
        <v>209</v>
      </c>
      <c r="B109" s="181">
        <v>458912.55774000002</v>
      </c>
      <c r="C109" s="181">
        <v>469087.75481999997</v>
      </c>
      <c r="D109" s="123">
        <f t="shared" si="13"/>
        <v>2.2000000000000002</v>
      </c>
      <c r="E109" s="23">
        <f>IFERROR(100/'Skjema total MA'!C109*C109,0)</f>
        <v>18.064458857253591</v>
      </c>
      <c r="F109" s="181">
        <v>29518962.854249999</v>
      </c>
      <c r="G109" s="181">
        <v>35113075.019809999</v>
      </c>
      <c r="H109" s="123">
        <f t="shared" si="14"/>
        <v>19</v>
      </c>
      <c r="I109" s="23">
        <f>IFERROR(100/'Skjema total MA'!F109*G109,0)</f>
        <v>11.478363529264607</v>
      </c>
      <c r="J109" s="234">
        <f t="shared" si="31"/>
        <v>29977875.411989998</v>
      </c>
      <c r="K109" s="36">
        <f t="shared" si="31"/>
        <v>35582162.774629995</v>
      </c>
      <c r="L109" s="206">
        <f t="shared" si="16"/>
        <v>18.7</v>
      </c>
      <c r="M109" s="23">
        <f>IFERROR(100/'Skjema total MA'!I109*K109,0)</f>
        <v>11.53380021198117</v>
      </c>
    </row>
    <row r="110" spans="1:13" ht="15.6" x14ac:dyDescent="0.25">
      <c r="A110" s="18" t="s">
        <v>210</v>
      </c>
      <c r="B110" s="181">
        <v>1552924.9991899999</v>
      </c>
      <c r="C110" s="181">
        <v>1942773.7257300001</v>
      </c>
      <c r="D110" s="123">
        <f t="shared" si="13"/>
        <v>25.1</v>
      </c>
      <c r="E110" s="23">
        <f>IFERROR(100/'Skjema total MA'!C110*C110,0)</f>
        <v>40.608707520030613</v>
      </c>
      <c r="F110" s="181"/>
      <c r="G110" s="181"/>
      <c r="H110" s="123"/>
      <c r="I110" s="23">
        <f>IFERROR(100/'Skjema total MA'!F110*G110,0)</f>
        <v>0</v>
      </c>
      <c r="J110" s="234">
        <f t="shared" si="31"/>
        <v>1552924.9991899999</v>
      </c>
      <c r="K110" s="36">
        <f t="shared" si="31"/>
        <v>1942773.7257300001</v>
      </c>
      <c r="L110" s="206">
        <f t="shared" si="16"/>
        <v>25.1</v>
      </c>
      <c r="M110" s="23">
        <f>IFERROR(100/'Skjema total MA'!I110*K110,0)</f>
        <v>40.608707520030613</v>
      </c>
    </row>
    <row r="111" spans="1:13" ht="15.6" x14ac:dyDescent="0.25">
      <c r="A111" s="10" t="s">
        <v>172</v>
      </c>
      <c r="B111" s="253">
        <v>31297.191379999997</v>
      </c>
      <c r="C111" s="118">
        <v>1068443.2257099999</v>
      </c>
      <c r="D111" s="127">
        <f t="shared" si="13"/>
        <v>999</v>
      </c>
      <c r="E111" s="8">
        <f>IFERROR(100/'Skjema total MA'!C111*C111,0)</f>
        <v>43.27497160373084</v>
      </c>
      <c r="F111" s="253">
        <v>5528293.3853700003</v>
      </c>
      <c r="G111" s="118">
        <v>7537604.5763900001</v>
      </c>
      <c r="H111" s="127">
        <f t="shared" si="14"/>
        <v>36.299999999999997</v>
      </c>
      <c r="I111" s="8">
        <f>IFERROR(100/'Skjema total MA'!F111*G111,0)</f>
        <v>10.938872570896068</v>
      </c>
      <c r="J111" s="254">
        <f t="shared" si="31"/>
        <v>5559590.57675</v>
      </c>
      <c r="K111" s="183">
        <f t="shared" si="31"/>
        <v>8606047.802099999</v>
      </c>
      <c r="L111" s="349">
        <f t="shared" si="16"/>
        <v>54.8</v>
      </c>
      <c r="M111" s="8">
        <f>IFERROR(100/'Skjema total MA'!I111*K111,0)</f>
        <v>12.057415785984748</v>
      </c>
    </row>
    <row r="112" spans="1:13" x14ac:dyDescent="0.25">
      <c r="A112" s="18" t="s">
        <v>197</v>
      </c>
      <c r="B112" s="181">
        <v>2584.7085900000002</v>
      </c>
      <c r="C112" s="109">
        <v>982229.03015999997</v>
      </c>
      <c r="D112" s="123">
        <f t="shared" ref="D112:D126" si="44">IF(B112=0, "    ---- ", IF(ABS(ROUND(100/B112*C112-100,1))&lt;999,ROUND(100/B112*C112-100,1),IF(ROUND(100/B112*C112-100,1)&gt;999,999,-999)))</f>
        <v>999</v>
      </c>
      <c r="E112" s="23">
        <f>IFERROR(100/'Skjema total MA'!C112*C112,0)</f>
        <v>43.804888539494847</v>
      </c>
      <c r="F112" s="181"/>
      <c r="G112" s="109"/>
      <c r="H112" s="123"/>
      <c r="I112" s="23"/>
      <c r="J112" s="234">
        <f t="shared" ref="J112:K126" si="45">SUM(B112,F112)</f>
        <v>2584.7085900000002</v>
      </c>
      <c r="K112" s="36">
        <f t="shared" si="45"/>
        <v>982229.03015999997</v>
      </c>
      <c r="L112" s="206">
        <f t="shared" ref="L112:L126" si="46">IF(J112=0, "    ---- ", IF(ABS(ROUND(100/J112*K112-100,1))&lt;999,ROUND(100/J112*K112-100,1),IF(ROUND(100/J112*K112-100,1)&gt;999,999,-999)))</f>
        <v>999</v>
      </c>
      <c r="M112" s="23">
        <f>IFERROR(100/'Skjema total MA'!I112*K112,0)</f>
        <v>43.655522300650496</v>
      </c>
    </row>
    <row r="113" spans="1:13" x14ac:dyDescent="0.25">
      <c r="A113" s="18" t="s">
        <v>198</v>
      </c>
      <c r="B113" s="181">
        <v>0</v>
      </c>
      <c r="C113" s="109">
        <v>36872.297229999996</v>
      </c>
      <c r="D113" s="123" t="str">
        <f t="shared" si="44"/>
        <v xml:space="preserve">    ---- </v>
      </c>
      <c r="E113" s="23">
        <f>IFERROR(100/'Skjema total MA'!C113*C113,0)</f>
        <v>100</v>
      </c>
      <c r="F113" s="181">
        <v>5521742.8293700004</v>
      </c>
      <c r="G113" s="109">
        <v>7066142.5290799998</v>
      </c>
      <c r="H113" s="123">
        <f t="shared" ref="H113:H125" si="47">IF(F113=0, "    ---- ", IF(ABS(ROUND(100/F113*G113-100,1))&lt;999,ROUND(100/F113*G113-100,1),IF(ROUND(100/F113*G113-100,1)&gt;999,999,-999)))</f>
        <v>28</v>
      </c>
      <c r="I113" s="23">
        <f>IFERROR(100/'Skjema total MA'!F113*G113,0)</f>
        <v>10.326471949223301</v>
      </c>
      <c r="J113" s="234">
        <f t="shared" si="45"/>
        <v>5521742.8293700004</v>
      </c>
      <c r="K113" s="36">
        <f t="shared" si="45"/>
        <v>7103014.8263099995</v>
      </c>
      <c r="L113" s="206">
        <f t="shared" si="46"/>
        <v>28.6</v>
      </c>
      <c r="M113" s="23">
        <f>IFERROR(100/'Skjema total MA'!I113*K113,0)</f>
        <v>10.374766715824432</v>
      </c>
    </row>
    <row r="114" spans="1:13" x14ac:dyDescent="0.25">
      <c r="A114" s="18" t="s">
        <v>211</v>
      </c>
      <c r="B114" s="181">
        <v>28712.482789999998</v>
      </c>
      <c r="C114" s="109">
        <v>49341.89832</v>
      </c>
      <c r="D114" s="123">
        <f t="shared" si="44"/>
        <v>71.8</v>
      </c>
      <c r="E114" s="23">
        <f>IFERROR(100/'Skjema total MA'!C114*C114,0)</f>
        <v>25.995502095984218</v>
      </c>
      <c r="F114" s="181">
        <v>6550.5559999999996</v>
      </c>
      <c r="G114" s="109">
        <v>471462.04730999999</v>
      </c>
      <c r="H114" s="123">
        <f t="shared" si="47"/>
        <v>999</v>
      </c>
      <c r="I114" s="23">
        <f>IFERROR(100/'Skjema total MA'!F114*G114,0)</f>
        <v>100</v>
      </c>
      <c r="J114" s="234">
        <f t="shared" si="45"/>
        <v>35263.038789999999</v>
      </c>
      <c r="K114" s="36">
        <f t="shared" si="45"/>
        <v>520803.94562999997</v>
      </c>
      <c r="L114" s="206">
        <f t="shared" si="46"/>
        <v>999</v>
      </c>
      <c r="M114" s="23">
        <f>IFERROR(100/'Skjema total MA'!I114*K114,0)</f>
        <v>78.757970376479193</v>
      </c>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v>2343.69029</v>
      </c>
      <c r="C116" s="181">
        <v>977826.07767000003</v>
      </c>
      <c r="D116" s="123">
        <f t="shared" si="44"/>
        <v>999</v>
      </c>
      <c r="E116" s="23">
        <f>IFERROR(100/'Skjema total MA'!C116*C116,0)</f>
        <v>96.060345285896162</v>
      </c>
      <c r="F116" s="181"/>
      <c r="G116" s="181"/>
      <c r="H116" s="123"/>
      <c r="I116" s="23"/>
      <c r="J116" s="234">
        <f t="shared" si="45"/>
        <v>2343.69029</v>
      </c>
      <c r="K116" s="36">
        <f t="shared" si="45"/>
        <v>977826.07767000003</v>
      </c>
      <c r="L116" s="206">
        <f t="shared" si="46"/>
        <v>999</v>
      </c>
      <c r="M116" s="23">
        <f>IFERROR(100/'Skjema total MA'!I116*K116,0)</f>
        <v>95.341775082926674</v>
      </c>
    </row>
    <row r="117" spans="1:13" ht="15.6" x14ac:dyDescent="0.25">
      <c r="A117" s="18" t="s">
        <v>209</v>
      </c>
      <c r="B117" s="181"/>
      <c r="C117" s="181"/>
      <c r="D117" s="123"/>
      <c r="E117" s="23"/>
      <c r="F117" s="181">
        <v>3701988.7531300001</v>
      </c>
      <c r="G117" s="181">
        <v>3769360.0811600001</v>
      </c>
      <c r="H117" s="123">
        <f t="shared" si="47"/>
        <v>1.8</v>
      </c>
      <c r="I117" s="23">
        <f>IFERROR(100/'Skjema total MA'!F117*G117,0)</f>
        <v>8.8978225561495137</v>
      </c>
      <c r="J117" s="234">
        <f t="shared" si="45"/>
        <v>3701988.7531300001</v>
      </c>
      <c r="K117" s="36">
        <f t="shared" si="45"/>
        <v>3769360.0811600001</v>
      </c>
      <c r="L117" s="206">
        <f t="shared" si="46"/>
        <v>1.8</v>
      </c>
      <c r="M117" s="23">
        <f>IFERROR(100/'Skjema total MA'!I117*K117,0)</f>
        <v>8.8978225561495137</v>
      </c>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v>36040.542650000003</v>
      </c>
      <c r="C119" s="118">
        <v>106086.27160000001</v>
      </c>
      <c r="D119" s="127">
        <f t="shared" si="44"/>
        <v>194.4</v>
      </c>
      <c r="E119" s="8">
        <f>IFERROR(100/'Skjema total MA'!C119*C119,0)</f>
        <v>47.26138495736641</v>
      </c>
      <c r="F119" s="253">
        <v>5727674.6207699999</v>
      </c>
      <c r="G119" s="118">
        <v>7935386.2108399998</v>
      </c>
      <c r="H119" s="127">
        <f t="shared" si="47"/>
        <v>38.5</v>
      </c>
      <c r="I119" s="8">
        <f>IFERROR(100/'Skjema total MA'!F119*G119,0)</f>
        <v>10.838976464026487</v>
      </c>
      <c r="J119" s="254">
        <f t="shared" si="45"/>
        <v>5763715.1634200001</v>
      </c>
      <c r="K119" s="183">
        <f t="shared" si="45"/>
        <v>8041472.4824399995</v>
      </c>
      <c r="L119" s="349">
        <f t="shared" si="46"/>
        <v>39.5</v>
      </c>
      <c r="M119" s="8">
        <f>IFERROR(100/'Skjema total MA'!I119*K119,0)</f>
        <v>10.950306434963181</v>
      </c>
    </row>
    <row r="120" spans="1:13" x14ac:dyDescent="0.25">
      <c r="A120" s="18" t="s">
        <v>197</v>
      </c>
      <c r="B120" s="181">
        <v>508.33242000000001</v>
      </c>
      <c r="C120" s="109">
        <v>351.88558</v>
      </c>
      <c r="D120" s="123">
        <f t="shared" si="44"/>
        <v>-30.8</v>
      </c>
      <c r="E120" s="23">
        <f>IFERROR(100/'Skjema total MA'!C120*C120,0)</f>
        <v>-0.12549819593057343</v>
      </c>
      <c r="F120" s="181"/>
      <c r="G120" s="109"/>
      <c r="H120" s="123"/>
      <c r="I120" s="23"/>
      <c r="J120" s="234">
        <f t="shared" si="45"/>
        <v>508.33242000000001</v>
      </c>
      <c r="K120" s="36">
        <f t="shared" si="45"/>
        <v>351.88558</v>
      </c>
      <c r="L120" s="206">
        <f t="shared" si="46"/>
        <v>-30.8</v>
      </c>
      <c r="M120" s="23">
        <f>IFERROR(100/'Skjema total MA'!I120*K120,0)</f>
        <v>-0.12549819593057343</v>
      </c>
    </row>
    <row r="121" spans="1:13" x14ac:dyDescent="0.25">
      <c r="A121" s="18" t="s">
        <v>198</v>
      </c>
      <c r="B121" s="181">
        <v>18067.370620000002</v>
      </c>
      <c r="C121" s="109">
        <v>55932.700389999998</v>
      </c>
      <c r="D121" s="123">
        <f t="shared" si="44"/>
        <v>209.6</v>
      </c>
      <c r="E121" s="23">
        <f>IFERROR(100/'Skjema total MA'!C121*C121,0)</f>
        <v>100</v>
      </c>
      <c r="F121" s="181">
        <v>5727674.6207699999</v>
      </c>
      <c r="G121" s="109">
        <v>7935386.2108399998</v>
      </c>
      <c r="H121" s="123">
        <f t="shared" si="47"/>
        <v>38.5</v>
      </c>
      <c r="I121" s="23">
        <f>IFERROR(100/'Skjema total MA'!F121*G121,0)</f>
        <v>10.838976464026487</v>
      </c>
      <c r="J121" s="234">
        <f t="shared" si="45"/>
        <v>5745741.9913900001</v>
      </c>
      <c r="K121" s="36">
        <f t="shared" si="45"/>
        <v>7991318.9112299997</v>
      </c>
      <c r="L121" s="206">
        <f t="shared" si="46"/>
        <v>39.1</v>
      </c>
      <c r="M121" s="23">
        <f>IFERROR(100/'Skjema total MA'!I121*K121,0)</f>
        <v>10.907042329137616</v>
      </c>
    </row>
    <row r="122" spans="1:13" x14ac:dyDescent="0.25">
      <c r="A122" s="18" t="s">
        <v>211</v>
      </c>
      <c r="B122" s="181">
        <v>17464.839609999999</v>
      </c>
      <c r="C122" s="109">
        <v>49801.68563</v>
      </c>
      <c r="D122" s="123">
        <f t="shared" si="44"/>
        <v>185.2</v>
      </c>
      <c r="E122" s="23">
        <f>IFERROR(100/'Skjema total MA'!C122*C122,0)</f>
        <v>11.093533332747654</v>
      </c>
      <c r="F122" s="181"/>
      <c r="G122" s="109"/>
      <c r="H122" s="123"/>
      <c r="I122" s="23"/>
      <c r="J122" s="234">
        <f t="shared" si="45"/>
        <v>17464.839609999999</v>
      </c>
      <c r="K122" s="36">
        <f t="shared" si="45"/>
        <v>49801.68563</v>
      </c>
      <c r="L122" s="206">
        <f t="shared" si="46"/>
        <v>185.2</v>
      </c>
      <c r="M122" s="23">
        <f>IFERROR(100/'Skjema total MA'!I122*K122,0)</f>
        <v>11.093533332747654</v>
      </c>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v>3306.3678399999999</v>
      </c>
      <c r="C125" s="181">
        <v>1954.7871299999999</v>
      </c>
      <c r="D125" s="123">
        <f t="shared" si="44"/>
        <v>-40.9</v>
      </c>
      <c r="E125" s="23">
        <f>IFERROR(100/'Skjema total MA'!C125*C125,0)</f>
        <v>92.476118445770496</v>
      </c>
      <c r="F125" s="181">
        <v>3035734.3914999999</v>
      </c>
      <c r="G125" s="181">
        <v>3424391.6321399999</v>
      </c>
      <c r="H125" s="123">
        <f t="shared" si="47"/>
        <v>12.8</v>
      </c>
      <c r="I125" s="23">
        <f>IFERROR(100/'Skjema total MA'!F125*G125,0)</f>
        <v>8.3288125408546332</v>
      </c>
      <c r="J125" s="234">
        <f t="shared" si="45"/>
        <v>3039040.7593399999</v>
      </c>
      <c r="K125" s="36">
        <f t="shared" si="45"/>
        <v>3426346.41927</v>
      </c>
      <c r="L125" s="206">
        <f t="shared" si="46"/>
        <v>12.7</v>
      </c>
      <c r="M125" s="23">
        <f>IFERROR(100/'Skjema total MA'!I125*K125,0)</f>
        <v>8.3331385499389015</v>
      </c>
    </row>
    <row r="126" spans="1:13" ht="15.6" x14ac:dyDescent="0.25">
      <c r="A126" s="7" t="s">
        <v>210</v>
      </c>
      <c r="B126" s="37">
        <v>254.89525</v>
      </c>
      <c r="C126" s="37">
        <v>0</v>
      </c>
      <c r="D126" s="124">
        <f t="shared" si="44"/>
        <v>-100</v>
      </c>
      <c r="E126" s="342">
        <f>IFERROR(100/'Skjema total MA'!C126*C126,0)</f>
        <v>0</v>
      </c>
      <c r="F126" s="37"/>
      <c r="G126" s="37"/>
      <c r="H126" s="124"/>
      <c r="I126" s="19"/>
      <c r="J126" s="235">
        <f t="shared" si="45"/>
        <v>254.89525</v>
      </c>
      <c r="K126" s="37">
        <f t="shared" si="45"/>
        <v>0</v>
      </c>
      <c r="L126" s="207">
        <f t="shared" si="46"/>
        <v>-100</v>
      </c>
      <c r="M126" s="19">
        <f>IFERROR(100/'Skjema total MA'!I126*K126,0)</f>
        <v>0</v>
      </c>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873" priority="10">
      <formula>kvartal &lt; 4</formula>
    </cfRule>
  </conditionalFormatting>
  <conditionalFormatting sqref="A80:A85">
    <cfRule type="expression" dxfId="872" priority="9">
      <formula>kvartal &lt; 4</formula>
    </cfRule>
  </conditionalFormatting>
  <conditionalFormatting sqref="A90:A95">
    <cfRule type="expression" dxfId="871" priority="6">
      <formula>kvartal &lt; 4</formula>
    </cfRule>
  </conditionalFormatting>
  <conditionalFormatting sqref="A101:A106">
    <cfRule type="expression" dxfId="870" priority="5">
      <formula>kvartal &lt; 4</formula>
    </cfRule>
  </conditionalFormatting>
  <conditionalFormatting sqref="A50:C52">
    <cfRule type="expression" dxfId="869" priority="12">
      <formula>kvartal &lt; 4</formula>
    </cfRule>
  </conditionalFormatting>
  <conditionalFormatting sqref="A115:C115">
    <cfRule type="expression" dxfId="868" priority="4">
      <formula>kvartal &lt; 4</formula>
    </cfRule>
  </conditionalFormatting>
  <conditionalFormatting sqref="A123:C123">
    <cfRule type="expression" dxfId="867" priority="3">
      <formula>kvartal &lt; 4</formula>
    </cfRule>
  </conditionalFormatting>
  <conditionalFormatting sqref="B69:C69">
    <cfRule type="expression" dxfId="866" priority="99">
      <formula>kvartal &lt; 4</formula>
    </cfRule>
  </conditionalFormatting>
  <conditionalFormatting sqref="B72:C72">
    <cfRule type="expression" dxfId="865" priority="97">
      <formula>kvartal &lt; 4</formula>
    </cfRule>
  </conditionalFormatting>
  <conditionalFormatting sqref="B80:C80">
    <cfRule type="expression" dxfId="864" priority="95">
      <formula>kvartal &lt; 4</formula>
    </cfRule>
  </conditionalFormatting>
  <conditionalFormatting sqref="B83:C83">
    <cfRule type="expression" dxfId="863" priority="93">
      <formula>kvartal &lt; 4</formula>
    </cfRule>
  </conditionalFormatting>
  <conditionalFormatting sqref="B90:C90">
    <cfRule type="expression" dxfId="862" priority="83">
      <formula>kvartal &lt; 4</formula>
    </cfRule>
  </conditionalFormatting>
  <conditionalFormatting sqref="B93:C93">
    <cfRule type="expression" dxfId="861" priority="81">
      <formula>kvartal &lt; 4</formula>
    </cfRule>
  </conditionalFormatting>
  <conditionalFormatting sqref="B101:C101">
    <cfRule type="expression" dxfId="860" priority="79">
      <formula>kvartal &lt; 4</formula>
    </cfRule>
  </conditionalFormatting>
  <conditionalFormatting sqref="B104:C104">
    <cfRule type="expression" dxfId="859" priority="77">
      <formula>kvartal &lt; 4</formula>
    </cfRule>
  </conditionalFormatting>
  <conditionalFormatting sqref="F69:G74">
    <cfRule type="expression" dxfId="858" priority="54">
      <formula>kvartal &lt; 4</formula>
    </cfRule>
  </conditionalFormatting>
  <conditionalFormatting sqref="F80:G85">
    <cfRule type="expression" dxfId="857" priority="52">
      <formula>kvartal &lt; 4</formula>
    </cfRule>
  </conditionalFormatting>
  <conditionalFormatting sqref="F90:G95">
    <cfRule type="expression" dxfId="856" priority="44">
      <formula>kvartal &lt; 4</formula>
    </cfRule>
  </conditionalFormatting>
  <conditionalFormatting sqref="F101:G106">
    <cfRule type="expression" dxfId="855" priority="40">
      <formula>kvartal &lt; 4</formula>
    </cfRule>
  </conditionalFormatting>
  <conditionalFormatting sqref="F115:G115">
    <cfRule type="expression" dxfId="854" priority="57">
      <formula>kvartal &lt; 4</formula>
    </cfRule>
  </conditionalFormatting>
  <conditionalFormatting sqref="F123:G123">
    <cfRule type="expression" dxfId="853" priority="56">
      <formula>kvartal &lt; 4</formula>
    </cfRule>
  </conditionalFormatting>
  <conditionalFormatting sqref="J69:K71 J73:K73">
    <cfRule type="expression" dxfId="852" priority="39">
      <formula>kvartal &lt; 4</formula>
    </cfRule>
  </conditionalFormatting>
  <conditionalFormatting sqref="J80:K82 J84:K84">
    <cfRule type="expression" dxfId="851" priority="37">
      <formula>kvartal &lt; 4</formula>
    </cfRule>
  </conditionalFormatting>
  <conditionalFormatting sqref="J92:K92 J94:K94">
    <cfRule type="expression" dxfId="850" priority="34">
      <formula>kvartal &lt; 4</formula>
    </cfRule>
  </conditionalFormatting>
  <conditionalFormatting sqref="J101:K103 J105:K105">
    <cfRule type="expression" dxfId="849" priority="33">
      <formula>kvartal &lt; 4</formula>
    </cfRule>
  </conditionalFormatting>
  <conditionalFormatting sqref="J115:K115">
    <cfRule type="expression" dxfId="848" priority="32">
      <formula>kvartal &lt; 4</formula>
    </cfRule>
  </conditionalFormatting>
  <conditionalFormatting sqref="J123:K123">
    <cfRule type="expression" dxfId="847" priority="31">
      <formula>kvartal &lt; 4</formula>
    </cfRule>
  </conditionalFormatting>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30"/>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110</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1164125.8187599999</v>
      </c>
      <c r="C7" s="252">
        <v>1280489.13751</v>
      </c>
      <c r="D7" s="288">
        <f>IF(B7=0, "    ---- ", IF(ABS(ROUND(100/B7*C7-100,1))&lt;999,ROUND(100/B7*C7-100,1),IF(ROUND(100/B7*C7-100,1)&gt;999,999,-999)))</f>
        <v>10</v>
      </c>
      <c r="E7" s="8">
        <f>IFERROR(100/'Skjema total MA'!C7*C7,0)</f>
        <v>21.999504156144877</v>
      </c>
      <c r="F7" s="251">
        <v>1210637.5308999999</v>
      </c>
      <c r="G7" s="252">
        <v>974242.24644000002</v>
      </c>
      <c r="H7" s="288">
        <f>IF(F7=0, "    ---- ", IF(ABS(ROUND(100/F7*G7-100,1))&lt;999,ROUND(100/F7*G7-100,1),IF(ROUND(100/F7*G7-100,1)&gt;999,999,-999)))</f>
        <v>-19.5</v>
      </c>
      <c r="I7" s="119">
        <f>IFERROR(100/'Skjema total MA'!F7*G7,0)</f>
        <v>8.1118124271216114</v>
      </c>
      <c r="J7" s="253">
        <f t="shared" ref="J7:K12" si="0">SUM(B7,F7)</f>
        <v>2374763.3496599998</v>
      </c>
      <c r="K7" s="254">
        <f t="shared" si="0"/>
        <v>2254731.3839500002</v>
      </c>
      <c r="L7" s="348">
        <f>IF(J7=0, "    ---- ", IF(ABS(ROUND(100/J7*K7-100,1))&lt;999,ROUND(100/J7*K7-100,1),IF(ROUND(100/J7*K7-100,1)&gt;999,999,-999)))</f>
        <v>-5.0999999999999996</v>
      </c>
      <c r="M7" s="8">
        <f>IFERROR(100/'Skjema total MA'!I7*K7,0)</f>
        <v>12.645218175239515</v>
      </c>
    </row>
    <row r="8" spans="1:15" ht="15.6" x14ac:dyDescent="0.25">
      <c r="A8" s="18" t="s">
        <v>169</v>
      </c>
      <c r="B8" s="228">
        <v>356797.075207474</v>
      </c>
      <c r="C8" s="229">
        <v>399498.857084769</v>
      </c>
      <c r="D8" s="123">
        <f t="shared" ref="D8:D10" si="1">IF(B8=0, "    ---- ", IF(ABS(ROUND(100/B8*C8-100,1))&lt;999,ROUND(100/B8*C8-100,1),IF(ROUND(100/B8*C8-100,1)&gt;999,999,-999)))</f>
        <v>12</v>
      </c>
      <c r="E8" s="23">
        <f>IFERROR(100/'Skjema total MA'!C8*C8,0)</f>
        <v>10.155649848503556</v>
      </c>
      <c r="F8" s="232"/>
      <c r="G8" s="233"/>
      <c r="H8" s="123"/>
      <c r="I8" s="132"/>
      <c r="J8" s="181">
        <f t="shared" si="0"/>
        <v>356797.075207474</v>
      </c>
      <c r="K8" s="234">
        <f t="shared" si="0"/>
        <v>399498.857084769</v>
      </c>
      <c r="L8" s="123">
        <f t="shared" ref="L8:L9" si="2">IF(J8=0, "    ---- ", IF(ABS(ROUND(100/J8*K8-100,1))&lt;999,ROUND(100/J8*K8-100,1),IF(ROUND(100/J8*K8-100,1)&gt;999,999,-999)))</f>
        <v>12</v>
      </c>
      <c r="M8" s="23">
        <f>IFERROR(100/'Skjema total MA'!I8*K8,0)</f>
        <v>10.155649848503556</v>
      </c>
    </row>
    <row r="9" spans="1:15" ht="15.6" x14ac:dyDescent="0.25">
      <c r="A9" s="18" t="s">
        <v>170</v>
      </c>
      <c r="B9" s="228">
        <v>145101.64036266599</v>
      </c>
      <c r="C9" s="229">
        <v>165307.79073578</v>
      </c>
      <c r="D9" s="123">
        <f t="shared" si="1"/>
        <v>13.9</v>
      </c>
      <c r="E9" s="23">
        <f>IFERROR(100/'Skjema total MA'!C9*C9,0)</f>
        <v>15.286423062906152</v>
      </c>
      <c r="F9" s="232"/>
      <c r="G9" s="233"/>
      <c r="H9" s="123"/>
      <c r="I9" s="132"/>
      <c r="J9" s="181">
        <f t="shared" si="0"/>
        <v>145101.64036266599</v>
      </c>
      <c r="K9" s="234">
        <f t="shared" si="0"/>
        <v>165307.79073578</v>
      </c>
      <c r="L9" s="123">
        <f t="shared" si="2"/>
        <v>13.9</v>
      </c>
      <c r="M9" s="23">
        <f>IFERROR(100/'Skjema total MA'!I9*K9,0)</f>
        <v>15.286423062906152</v>
      </c>
    </row>
    <row r="10" spans="1:15" ht="15.6" x14ac:dyDescent="0.25">
      <c r="A10" s="10" t="s">
        <v>171</v>
      </c>
      <c r="B10" s="255">
        <v>5209707.5137099996</v>
      </c>
      <c r="C10" s="256">
        <v>5793388.28192</v>
      </c>
      <c r="D10" s="127">
        <f t="shared" si="1"/>
        <v>11.2</v>
      </c>
      <c r="E10" s="8">
        <f>IFERROR(100/'Skjema total MA'!C10*C10,0)</f>
        <v>37.288221892366678</v>
      </c>
      <c r="F10" s="255">
        <v>16436766.65804</v>
      </c>
      <c r="G10" s="256">
        <v>17460613.881439999</v>
      </c>
      <c r="H10" s="127">
        <f t="shared" ref="H10:H12" si="3">IF(F10=0, "    ---- ", IF(ABS(ROUND(100/F10*G10-100,1))&lt;999,ROUND(100/F10*G10-100,1),IF(ROUND(100/F10*G10-100,1)&gt;999,999,-999)))</f>
        <v>6.2</v>
      </c>
      <c r="I10" s="119">
        <f>IFERROR(100/'Skjema total MA'!F10*G10,0)</f>
        <v>16.028851306844263</v>
      </c>
      <c r="J10" s="253">
        <f t="shared" si="0"/>
        <v>21646474.171750002</v>
      </c>
      <c r="K10" s="254">
        <f t="shared" si="0"/>
        <v>23254002.16336</v>
      </c>
      <c r="L10" s="349">
        <f t="shared" ref="L10:L12" si="4">IF(J10=0, "    ---- ", IF(ABS(ROUND(100/J10*K10-100,1))&lt;999,ROUND(100/J10*K10-100,1),IF(ROUND(100/J10*K10-100,1)&gt;999,999,-999)))</f>
        <v>7.4</v>
      </c>
      <c r="M10" s="8">
        <f>IFERROR(100/'Skjema total MA'!I10*K10,0)</f>
        <v>18.682537172296747</v>
      </c>
    </row>
    <row r="11" spans="1:15" s="35" customFormat="1" ht="15.6" x14ac:dyDescent="0.25">
      <c r="A11" s="10" t="s">
        <v>172</v>
      </c>
      <c r="B11" s="255"/>
      <c r="C11" s="256"/>
      <c r="D11" s="127"/>
      <c r="E11" s="8"/>
      <c r="F11" s="255">
        <v>30393.064760000001</v>
      </c>
      <c r="G11" s="256">
        <v>18126.00085</v>
      </c>
      <c r="H11" s="127">
        <f t="shared" si="3"/>
        <v>-40.4</v>
      </c>
      <c r="I11" s="119">
        <f>IFERROR(100/'Skjema total MA'!F11*G11,0)</f>
        <v>2.7899865369600017</v>
      </c>
      <c r="J11" s="253">
        <f t="shared" si="0"/>
        <v>30393.064760000001</v>
      </c>
      <c r="K11" s="254">
        <f t="shared" si="0"/>
        <v>18126.00085</v>
      </c>
      <c r="L11" s="349">
        <f t="shared" si="4"/>
        <v>-40.4</v>
      </c>
      <c r="M11" s="8">
        <f>IFERROR(100/'Skjema total MA'!I11*K11,0)</f>
        <v>2.7885572352677133</v>
      </c>
      <c r="N11" s="107"/>
      <c r="O11" s="22"/>
    </row>
    <row r="12" spans="1:15" s="35" customFormat="1" ht="15.6" x14ac:dyDescent="0.25">
      <c r="A12" s="33" t="s">
        <v>173</v>
      </c>
      <c r="B12" s="257"/>
      <c r="C12" s="258"/>
      <c r="D12" s="125"/>
      <c r="E12" s="30"/>
      <c r="F12" s="257">
        <v>189739.90291999999</v>
      </c>
      <c r="G12" s="258">
        <v>452983.68044000003</v>
      </c>
      <c r="H12" s="125">
        <f t="shared" si="3"/>
        <v>138.69999999999999</v>
      </c>
      <c r="I12" s="125">
        <f>IFERROR(100/'Skjema total MA'!F12*G12,0)</f>
        <v>70.86647665423547</v>
      </c>
      <c r="J12" s="259">
        <f t="shared" si="0"/>
        <v>189739.90291999999</v>
      </c>
      <c r="K12" s="260">
        <f t="shared" si="0"/>
        <v>452983.68044000003</v>
      </c>
      <c r="L12" s="350">
        <f t="shared" si="4"/>
        <v>138.69999999999999</v>
      </c>
      <c r="M12" s="30">
        <f>IFERROR(100/'Skjema total MA'!I12*K12,0)</f>
        <v>70.828580692758635</v>
      </c>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v>5248.6031400000002</v>
      </c>
      <c r="C22" s="255">
        <v>3993.8418299999998</v>
      </c>
      <c r="D22" s="288">
        <f t="shared" ref="D22:D37" si="5">IF(B22=0, "    ---- ", IF(ABS(ROUND(100/B22*C22-100,1))&lt;999,ROUND(100/B22*C22-100,1),IF(ROUND(100/B22*C22-100,1)&gt;999,999,-999)))</f>
        <v>-23.9</v>
      </c>
      <c r="E22" s="8">
        <f>IFERROR(100/'Skjema total MA'!C22*C22,0)</f>
        <v>0.14864591696140678</v>
      </c>
      <c r="F22" s="263">
        <v>268903.35454999999</v>
      </c>
      <c r="G22" s="263">
        <v>281534.88624000002</v>
      </c>
      <c r="H22" s="288">
        <f t="shared" ref="H22:H35" si="6">IF(F22=0, "    ---- ", IF(ABS(ROUND(100/F22*G22-100,1))&lt;999,ROUND(100/F22*G22-100,1),IF(ROUND(100/F22*G22-100,1)&gt;999,999,-999)))</f>
        <v>4.7</v>
      </c>
      <c r="I22" s="8">
        <f>IFERROR(100/'Skjema total MA'!F22*G22,0)</f>
        <v>23.930357195541138</v>
      </c>
      <c r="J22" s="261">
        <f t="shared" ref="J22:K35" si="7">SUM(B22,F22)</f>
        <v>274151.95769000001</v>
      </c>
      <c r="K22" s="261">
        <f t="shared" si="7"/>
        <v>285528.72807000001</v>
      </c>
      <c r="L22" s="348">
        <f t="shared" ref="L22:L35" si="8">IF(J22=0, "    ---- ", IF(ABS(ROUND(100/J22*K22-100,1))&lt;999,ROUND(100/J22*K22-100,1),IF(ROUND(100/J22*K22-100,1)&gt;999,999,-999)))</f>
        <v>4.0999999999999996</v>
      </c>
      <c r="M22" s="21">
        <f>IFERROR(100/'Skjema total MA'!I22*K22,0)</f>
        <v>7.3908148160686977</v>
      </c>
    </row>
    <row r="23" spans="1:13" ht="15.6" x14ac:dyDescent="0.25">
      <c r="A23" s="389" t="s">
        <v>177</v>
      </c>
      <c r="B23" s="228">
        <v>858.830483838639</v>
      </c>
      <c r="C23" s="228">
        <v>687.93467431700105</v>
      </c>
      <c r="D23" s="123">
        <f t="shared" si="5"/>
        <v>-19.899999999999999</v>
      </c>
      <c r="E23" s="8">
        <f>IFERROR(100/'Skjema total MA'!C23*C23,0)</f>
        <v>4.2457033216262791E-2</v>
      </c>
      <c r="F23" s="237">
        <v>27121.19499</v>
      </c>
      <c r="G23" s="237">
        <v>24661.397639999999</v>
      </c>
      <c r="H23" s="123">
        <f t="shared" si="6"/>
        <v>-9.1</v>
      </c>
      <c r="I23" s="341">
        <f>IFERROR(100/'Skjema total MA'!F23*G23,0)</f>
        <v>54.551782893448134</v>
      </c>
      <c r="J23" s="237">
        <f t="shared" ref="J23:J26" si="9">SUM(B23,F23)</f>
        <v>27980.025473838639</v>
      </c>
      <c r="K23" s="237">
        <f t="shared" ref="K23:K26" si="10">SUM(C23,G23)</f>
        <v>25349.332314317002</v>
      </c>
      <c r="L23" s="123">
        <f t="shared" si="8"/>
        <v>-9.4</v>
      </c>
      <c r="M23" s="20">
        <f>IFERROR(100/'Skjema total MA'!I23*K23,0)</f>
        <v>1.5220114265459408</v>
      </c>
    </row>
    <row r="24" spans="1:13" ht="15.6" x14ac:dyDescent="0.25">
      <c r="A24" s="389" t="s">
        <v>178</v>
      </c>
      <c r="B24" s="228">
        <v>4389.7726561613599</v>
      </c>
      <c r="C24" s="228">
        <v>3305.9071556829999</v>
      </c>
      <c r="D24" s="123">
        <f t="shared" si="5"/>
        <v>-24.7</v>
      </c>
      <c r="E24" s="8">
        <f>IFERROR(100/'Skjema total MA'!C24*C24,0)</f>
        <v>26.029905313514369</v>
      </c>
      <c r="F24" s="237">
        <v>805.38589999999999</v>
      </c>
      <c r="G24" s="237">
        <v>187.2209</v>
      </c>
      <c r="H24" s="123">
        <f t="shared" si="6"/>
        <v>-76.8</v>
      </c>
      <c r="I24" s="341">
        <f>IFERROR(100/'Skjema total MA'!F24*G24,0)</f>
        <v>30.709288982172882</v>
      </c>
      <c r="J24" s="237">
        <f t="shared" si="9"/>
        <v>5195.1585561613601</v>
      </c>
      <c r="K24" s="237">
        <f t="shared" si="10"/>
        <v>3493.1280556829997</v>
      </c>
      <c r="L24" s="123">
        <f t="shared" si="8"/>
        <v>-32.799999999999997</v>
      </c>
      <c r="M24" s="20">
        <f>IFERROR(100/'Skjema total MA'!I24*K24,0)</f>
        <v>26.244240127459683</v>
      </c>
    </row>
    <row r="25" spans="1:13" ht="15.6" x14ac:dyDescent="0.25">
      <c r="A25" s="389" t="s">
        <v>179</v>
      </c>
      <c r="B25" s="228"/>
      <c r="C25" s="228"/>
      <c r="D25" s="123"/>
      <c r="E25" s="8"/>
      <c r="F25" s="237">
        <v>879.06123000000002</v>
      </c>
      <c r="G25" s="237">
        <v>768.40369999999996</v>
      </c>
      <c r="H25" s="123">
        <f t="shared" si="6"/>
        <v>-12.6</v>
      </c>
      <c r="I25" s="341">
        <f>IFERROR(100/'Skjema total MA'!F25*G25,0)</f>
        <v>5.1006003205083914</v>
      </c>
      <c r="J25" s="237">
        <f t="shared" si="9"/>
        <v>879.06123000000002</v>
      </c>
      <c r="K25" s="237">
        <f t="shared" si="10"/>
        <v>768.40369999999996</v>
      </c>
      <c r="L25" s="123">
        <f t="shared" si="8"/>
        <v>-12.6</v>
      </c>
      <c r="M25" s="20">
        <f>IFERROR(100/'Skjema total MA'!I25*K25,0)</f>
        <v>2.2465185873088505</v>
      </c>
    </row>
    <row r="26" spans="1:13" ht="15.6" x14ac:dyDescent="0.25">
      <c r="A26" s="389" t="s">
        <v>180</v>
      </c>
      <c r="B26" s="228"/>
      <c r="C26" s="228"/>
      <c r="D26" s="123"/>
      <c r="E26" s="8"/>
      <c r="F26" s="237">
        <v>240097.71243000001</v>
      </c>
      <c r="G26" s="237">
        <v>255917.864</v>
      </c>
      <c r="H26" s="123">
        <f t="shared" si="6"/>
        <v>6.6</v>
      </c>
      <c r="I26" s="341">
        <f>IFERROR(100/'Skjema total MA'!F26*G26,0)</f>
        <v>22.940054528905748</v>
      </c>
      <c r="J26" s="237">
        <f t="shared" si="9"/>
        <v>240097.71243000001</v>
      </c>
      <c r="K26" s="237">
        <f t="shared" si="10"/>
        <v>255917.864</v>
      </c>
      <c r="L26" s="123">
        <f t="shared" si="8"/>
        <v>6.6</v>
      </c>
      <c r="M26" s="20">
        <f>IFERROR(100/'Skjema total MA'!I26*K26,0)</f>
        <v>22.940054528905748</v>
      </c>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v>357879.68781765702</v>
      </c>
      <c r="C28" s="234">
        <v>442308.04435082298</v>
      </c>
      <c r="D28" s="123">
        <f t="shared" si="5"/>
        <v>23.6</v>
      </c>
      <c r="E28" s="8">
        <f>IFERROR(100/'Skjema total MA'!C28*C28,0)</f>
        <v>13.060747424563244</v>
      </c>
      <c r="F28" s="181"/>
      <c r="G28" s="234"/>
      <c r="H28" s="123"/>
      <c r="I28" s="23"/>
      <c r="J28" s="36">
        <f t="shared" si="7"/>
        <v>357879.68781765702</v>
      </c>
      <c r="K28" s="36">
        <f t="shared" si="7"/>
        <v>442308.04435082298</v>
      </c>
      <c r="L28" s="206">
        <f t="shared" si="8"/>
        <v>23.6</v>
      </c>
      <c r="M28" s="20">
        <f>IFERROR(100/'Skjema total MA'!I28*K28,0)</f>
        <v>13.060747424563244</v>
      </c>
    </row>
    <row r="29" spans="1:13" ht="15.6" x14ac:dyDescent="0.25">
      <c r="A29" s="10" t="s">
        <v>171</v>
      </c>
      <c r="B29" s="183">
        <v>6374809.7830499997</v>
      </c>
      <c r="C29" s="183">
        <v>5857616.6793299997</v>
      </c>
      <c r="D29" s="127">
        <f t="shared" si="5"/>
        <v>-8.1</v>
      </c>
      <c r="E29" s="8">
        <f>IFERROR(100/'Skjema total MA'!C29*C29,0)</f>
        <v>13.279719526111991</v>
      </c>
      <c r="F29" s="253">
        <v>9859747.3502200004</v>
      </c>
      <c r="G29" s="253">
        <v>10554704.42702</v>
      </c>
      <c r="H29" s="127">
        <f t="shared" si="6"/>
        <v>7</v>
      </c>
      <c r="I29" s="8">
        <f>IFERROR(100/'Skjema total MA'!F29*G29,0)</f>
        <v>33.057158143467497</v>
      </c>
      <c r="J29" s="183">
        <f t="shared" si="7"/>
        <v>16234557.133269999</v>
      </c>
      <c r="K29" s="183">
        <f t="shared" si="7"/>
        <v>16412321.106350001</v>
      </c>
      <c r="L29" s="349">
        <f t="shared" si="8"/>
        <v>1.1000000000000001</v>
      </c>
      <c r="M29" s="21">
        <f>IFERROR(100/'Skjema total MA'!I29*K29,0)</f>
        <v>21.584327074541889</v>
      </c>
    </row>
    <row r="30" spans="1:13" ht="15.6" x14ac:dyDescent="0.25">
      <c r="A30" s="389" t="s">
        <v>177</v>
      </c>
      <c r="B30" s="228">
        <v>1043112.00986633</v>
      </c>
      <c r="C30" s="228">
        <v>1008967.75438118</v>
      </c>
      <c r="D30" s="123">
        <f t="shared" si="5"/>
        <v>-3.3</v>
      </c>
      <c r="E30" s="8">
        <f>IFERROR(100/'Skjema total MA'!C30*C30,0)</f>
        <v>5.2638623834151055</v>
      </c>
      <c r="F30" s="237">
        <v>1083415.0359799999</v>
      </c>
      <c r="G30" s="237">
        <v>1075531.22912</v>
      </c>
      <c r="H30" s="123">
        <f t="shared" si="6"/>
        <v>-0.7</v>
      </c>
      <c r="I30" s="341">
        <f>IFERROR(100/'Skjema total MA'!F30*G30,0)</f>
        <v>28.782194263228632</v>
      </c>
      <c r="J30" s="237">
        <f t="shared" ref="J30:J33" si="11">SUM(B30,F30)</f>
        <v>2126527.04584633</v>
      </c>
      <c r="K30" s="237">
        <f t="shared" ref="K30:K33" si="12">SUM(C30,G30)</f>
        <v>2084498.9835011801</v>
      </c>
      <c r="L30" s="123">
        <f t="shared" si="8"/>
        <v>-2</v>
      </c>
      <c r="M30" s="20">
        <f>IFERROR(100/'Skjema total MA'!I30*K30,0)</f>
        <v>9.1007814274634296</v>
      </c>
    </row>
    <row r="31" spans="1:13" ht="15.6" x14ac:dyDescent="0.25">
      <c r="A31" s="389" t="s">
        <v>178</v>
      </c>
      <c r="B31" s="228">
        <v>5331697.7731836699</v>
      </c>
      <c r="C31" s="228">
        <v>4848648.9249488199</v>
      </c>
      <c r="D31" s="123">
        <f t="shared" si="5"/>
        <v>-9.1</v>
      </c>
      <c r="E31" s="8">
        <f>IFERROR(100/'Skjema total MA'!C31*C31,0)</f>
        <v>22.055050197377476</v>
      </c>
      <c r="F31" s="237">
        <v>2235255.7286700001</v>
      </c>
      <c r="G31" s="237">
        <v>2122387.4419999998</v>
      </c>
      <c r="H31" s="123">
        <f t="shared" si="6"/>
        <v>-5</v>
      </c>
      <c r="I31" s="341">
        <f>IFERROR(100/'Skjema total MA'!F31*G31,0)</f>
        <v>28.808043493947828</v>
      </c>
      <c r="J31" s="237">
        <f t="shared" si="11"/>
        <v>7566953.50185367</v>
      </c>
      <c r="K31" s="237">
        <f t="shared" si="12"/>
        <v>6971036.3669488197</v>
      </c>
      <c r="L31" s="123">
        <f t="shared" si="8"/>
        <v>-7.9</v>
      </c>
      <c r="M31" s="20">
        <f>IFERROR(100/'Skjema total MA'!I31*K31,0)</f>
        <v>23.750069962532308</v>
      </c>
    </row>
    <row r="32" spans="1:13" ht="15.6" x14ac:dyDescent="0.25">
      <c r="A32" s="389" t="s">
        <v>179</v>
      </c>
      <c r="B32" s="228"/>
      <c r="C32" s="228"/>
      <c r="D32" s="123"/>
      <c r="E32" s="8"/>
      <c r="F32" s="237">
        <v>2628189.7680899999</v>
      </c>
      <c r="G32" s="237">
        <v>2928986.4142</v>
      </c>
      <c r="H32" s="123">
        <f t="shared" si="6"/>
        <v>11.4</v>
      </c>
      <c r="I32" s="341">
        <f>IFERROR(100/'Skjema total MA'!F32*G32,0)</f>
        <v>39.243103007216249</v>
      </c>
      <c r="J32" s="237">
        <f t="shared" si="11"/>
        <v>2628189.7680899999</v>
      </c>
      <c r="K32" s="237">
        <f t="shared" si="12"/>
        <v>2928986.4142</v>
      </c>
      <c r="L32" s="123">
        <f t="shared" si="8"/>
        <v>11.4</v>
      </c>
      <c r="M32" s="20">
        <f>IFERROR(100/'Skjema total MA'!I32*K32,0)</f>
        <v>28.729401867284679</v>
      </c>
    </row>
    <row r="33" spans="1:13" ht="15.6" x14ac:dyDescent="0.25">
      <c r="A33" s="389" t="s">
        <v>180</v>
      </c>
      <c r="B33" s="228"/>
      <c r="C33" s="228"/>
      <c r="D33" s="123"/>
      <c r="E33" s="8"/>
      <c r="F33" s="237">
        <v>3912886.8174800002</v>
      </c>
      <c r="G33" s="237">
        <v>4427799.3416999998</v>
      </c>
      <c r="H33" s="123">
        <f t="shared" si="6"/>
        <v>13.2</v>
      </c>
      <c r="I33" s="341">
        <f>IFERROR(100/'Skjema total MA'!F33*G33,0)</f>
        <v>33.14018633195959</v>
      </c>
      <c r="J33" s="237">
        <f t="shared" si="11"/>
        <v>3912886.8174800002</v>
      </c>
      <c r="K33" s="237">
        <f t="shared" si="12"/>
        <v>4427799.3416999998</v>
      </c>
      <c r="L33" s="123">
        <f t="shared" si="8"/>
        <v>13.2</v>
      </c>
      <c r="M33" s="20">
        <f>IFERROR(100/'Skjema total MA'!I33*K33,0)</f>
        <v>33.14018633195959</v>
      </c>
    </row>
    <row r="34" spans="1:13" ht="15.6" x14ac:dyDescent="0.25">
      <c r="A34" s="10" t="s">
        <v>172</v>
      </c>
      <c r="B34" s="183">
        <v>9827.1450000000004</v>
      </c>
      <c r="C34" s="254">
        <v>16916.848000000002</v>
      </c>
      <c r="D34" s="127">
        <f t="shared" si="5"/>
        <v>72.099999999999994</v>
      </c>
      <c r="E34" s="8">
        <f>IFERROR(100/'Skjema total MA'!C34*C34,0)</f>
        <v>12.842656141009579</v>
      </c>
      <c r="F34" s="253">
        <v>21198.084169999998</v>
      </c>
      <c r="G34" s="254">
        <v>9590.3310799999999</v>
      </c>
      <c r="H34" s="127">
        <f t="shared" si="6"/>
        <v>-54.8</v>
      </c>
      <c r="I34" s="8">
        <f>IFERROR(100/'Skjema total MA'!F34*G34,0)</f>
        <v>3.5649303768262866</v>
      </c>
      <c r="J34" s="183">
        <f t="shared" si="7"/>
        <v>31025.229169999999</v>
      </c>
      <c r="K34" s="183">
        <f t="shared" si="7"/>
        <v>26507.179080000002</v>
      </c>
      <c r="L34" s="349">
        <f t="shared" si="8"/>
        <v>-14.6</v>
      </c>
      <c r="M34" s="21">
        <f>IFERROR(100/'Skjema total MA'!I34*K34,0)</f>
        <v>6.6145140645869045</v>
      </c>
    </row>
    <row r="35" spans="1:13" ht="15.6" x14ac:dyDescent="0.25">
      <c r="A35" s="10" t="s">
        <v>173</v>
      </c>
      <c r="B35" s="183">
        <v>862.14590999999996</v>
      </c>
      <c r="C35" s="254">
        <v>756.26190999999994</v>
      </c>
      <c r="D35" s="127">
        <f t="shared" si="5"/>
        <v>-12.3</v>
      </c>
      <c r="E35" s="8">
        <f>IFERROR(100/'Skjema total MA'!C35*C35,0)</f>
        <v>3.0159877707743523</v>
      </c>
      <c r="F35" s="253">
        <v>91480.865170000005</v>
      </c>
      <c r="G35" s="254">
        <v>118166.09444</v>
      </c>
      <c r="H35" s="127">
        <f t="shared" si="6"/>
        <v>29.2</v>
      </c>
      <c r="I35" s="8">
        <f>IFERROR(100/'Skjema total MA'!F35*G35,0)</f>
        <v>47.483476778728829</v>
      </c>
      <c r="J35" s="183">
        <f t="shared" si="7"/>
        <v>92343.011080000011</v>
      </c>
      <c r="K35" s="183">
        <f t="shared" si="7"/>
        <v>118922.35635</v>
      </c>
      <c r="L35" s="349">
        <f t="shared" si="8"/>
        <v>28.8</v>
      </c>
      <c r="M35" s="21">
        <f>IFERROR(100/'Skjema total MA'!I35*K35,0)</f>
        <v>43.413031977640642</v>
      </c>
    </row>
    <row r="36" spans="1:13" ht="15.6" x14ac:dyDescent="0.25">
      <c r="A36" s="9" t="s">
        <v>184</v>
      </c>
      <c r="B36" s="183">
        <v>29.727</v>
      </c>
      <c r="C36" s="254">
        <v>0</v>
      </c>
      <c r="D36" s="127">
        <f t="shared" si="5"/>
        <v>-100</v>
      </c>
      <c r="E36" s="8">
        <f>IFERROR(100/'Skjema total MA'!C36*C36,0)</f>
        <v>0</v>
      </c>
      <c r="F36" s="264"/>
      <c r="G36" s="265"/>
      <c r="H36" s="127"/>
      <c r="I36" s="355"/>
      <c r="J36" s="183">
        <f t="shared" ref="J36:J37" si="13">SUM(B36,F36)</f>
        <v>29.727</v>
      </c>
      <c r="K36" s="183">
        <f t="shared" ref="K36:K37" si="14">SUM(C36,G36)</f>
        <v>0</v>
      </c>
      <c r="L36" s="349"/>
      <c r="M36" s="21">
        <f>IFERROR(100/'Skjema total MA'!I36*K36,0)</f>
        <v>0</v>
      </c>
    </row>
    <row r="37" spans="1:13" ht="15.6" x14ac:dyDescent="0.25">
      <c r="A37" s="9" t="s">
        <v>185</v>
      </c>
      <c r="B37" s="183">
        <v>387665.91003000003</v>
      </c>
      <c r="C37" s="254">
        <v>373014.34853999998</v>
      </c>
      <c r="D37" s="127">
        <f t="shared" si="5"/>
        <v>-3.8</v>
      </c>
      <c r="E37" s="8">
        <f>IFERROR(100/'Skjema total MA'!C37*C37,0)</f>
        <v>16.03362935913016</v>
      </c>
      <c r="F37" s="264"/>
      <c r="G37" s="266"/>
      <c r="H37" s="127"/>
      <c r="I37" s="355"/>
      <c r="J37" s="183">
        <f t="shared" si="13"/>
        <v>387665.91003000003</v>
      </c>
      <c r="K37" s="183">
        <f t="shared" si="14"/>
        <v>373014.34853999998</v>
      </c>
      <c r="L37" s="349"/>
      <c r="M37" s="21">
        <f>IFERROR(100/'Skjema total MA'!I37*K37,0)</f>
        <v>16.03362935913016</v>
      </c>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1026997.3020799999</v>
      </c>
      <c r="C47" s="256">
        <v>1089459.0371400001</v>
      </c>
      <c r="D47" s="348">
        <f t="shared" ref="D47:D57" si="15">IF(B47=0, "    ---- ", IF(ABS(ROUND(100/B47*C47-100,1))&lt;999,ROUND(100/B47*C47-100,1),IF(ROUND(100/B47*C47-100,1)&gt;999,999,-999)))</f>
        <v>6.1</v>
      </c>
      <c r="E47" s="8">
        <f>IFERROR(100/'Skjema total MA'!C47*C47,0)</f>
        <v>15.216588964537117</v>
      </c>
      <c r="F47" s="109"/>
      <c r="G47" s="27"/>
      <c r="H47" s="118"/>
      <c r="I47" s="118"/>
      <c r="J47" s="31"/>
      <c r="K47" s="31"/>
      <c r="L47" s="118"/>
      <c r="M47" s="118"/>
    </row>
    <row r="48" spans="1:13" ht="15.6" x14ac:dyDescent="0.25">
      <c r="A48" s="18" t="s">
        <v>189</v>
      </c>
      <c r="B48" s="228">
        <v>451511.51699999999</v>
      </c>
      <c r="C48" s="229">
        <v>499049.63500000001</v>
      </c>
      <c r="D48" s="206">
        <f t="shared" si="15"/>
        <v>10.5</v>
      </c>
      <c r="E48" s="23">
        <f>IFERROR(100/'Skjema total MA'!C48*C48,0)</f>
        <v>12.218283122473897</v>
      </c>
      <c r="F48" s="109"/>
      <c r="G48" s="27"/>
      <c r="H48" s="109"/>
      <c r="I48" s="109"/>
      <c r="J48" s="27"/>
      <c r="K48" s="27"/>
      <c r="L48" s="118"/>
      <c r="M48" s="118"/>
    </row>
    <row r="49" spans="1:13" ht="15.6" x14ac:dyDescent="0.25">
      <c r="A49" s="18" t="s">
        <v>190</v>
      </c>
      <c r="B49" s="36">
        <v>575485.78507999994</v>
      </c>
      <c r="C49" s="234">
        <v>590409.40214000002</v>
      </c>
      <c r="D49" s="206">
        <f>IF(B49=0, "    ---- ", IF(ABS(ROUND(100/B49*C49-100,1))&lt;999,ROUND(100/B49*C49-100,1),IF(ROUND(100/B49*C49-100,1)&gt;999,999,-999)))</f>
        <v>2.6</v>
      </c>
      <c r="E49" s="23">
        <f>IFERROR(100/'Skjema total MA'!C49*C49,0)</f>
        <v>19.198869841149794</v>
      </c>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v>562378.20907999994</v>
      </c>
      <c r="C51" s="238">
        <v>577058.93909999996</v>
      </c>
      <c r="D51" s="206">
        <f t="shared" ref="D51:D52" si="16">IF(B51=0, "    ---- ", IF(ABS(ROUND(100/B51*C51-100,1))&lt;999,ROUND(100/B51*C51-100,1),IF(ROUND(100/B51*C51-100,1)&gt;999,999,-999)))</f>
        <v>2.6</v>
      </c>
      <c r="E51" s="23">
        <f>IFERROR(100/'Skjema total MA'!C51*C51,0)</f>
        <v>19.514190278067282</v>
      </c>
      <c r="F51" s="109"/>
      <c r="G51" s="27"/>
      <c r="H51" s="109"/>
      <c r="I51" s="109"/>
      <c r="J51" s="27"/>
      <c r="K51" s="27"/>
      <c r="L51" s="118"/>
      <c r="M51" s="118"/>
    </row>
    <row r="52" spans="1:13" x14ac:dyDescent="0.25">
      <c r="A52" s="243" t="s">
        <v>193</v>
      </c>
      <c r="B52" s="237">
        <v>13107.575999999999</v>
      </c>
      <c r="C52" s="238">
        <v>13350.463040000101</v>
      </c>
      <c r="D52" s="206">
        <f t="shared" si="16"/>
        <v>1.9</v>
      </c>
      <c r="E52" s="23">
        <f>IFERROR(100/'Skjema total MA'!C52*C52,0)</f>
        <v>11.294135876450834</v>
      </c>
      <c r="F52" s="109"/>
      <c r="G52" s="27"/>
      <c r="H52" s="109"/>
      <c r="I52" s="109"/>
      <c r="J52" s="27"/>
      <c r="K52" s="27"/>
      <c r="L52" s="118"/>
      <c r="M52" s="118"/>
    </row>
    <row r="53" spans="1:13" ht="15.6" x14ac:dyDescent="0.25">
      <c r="A53" s="10" t="s">
        <v>194</v>
      </c>
      <c r="B53" s="255">
        <v>46540.553999999996</v>
      </c>
      <c r="C53" s="256">
        <v>58181.914000000004</v>
      </c>
      <c r="D53" s="349">
        <f t="shared" si="15"/>
        <v>25</v>
      </c>
      <c r="E53" s="8">
        <f>IFERROR(100/'Skjema total MA'!C53*C53,0)</f>
        <v>17.876637510727637</v>
      </c>
      <c r="F53" s="109"/>
      <c r="G53" s="27"/>
      <c r="H53" s="109"/>
      <c r="I53" s="109"/>
      <c r="J53" s="27"/>
      <c r="K53" s="27"/>
      <c r="L53" s="118"/>
      <c r="M53" s="118"/>
    </row>
    <row r="54" spans="1:13" ht="15.6" x14ac:dyDescent="0.25">
      <c r="A54" s="18" t="s">
        <v>189</v>
      </c>
      <c r="B54" s="228">
        <v>46540.553999999996</v>
      </c>
      <c r="C54" s="229">
        <v>52292.849000000002</v>
      </c>
      <c r="D54" s="206">
        <f t="shared" si="15"/>
        <v>12.4</v>
      </c>
      <c r="E54" s="23">
        <f>IFERROR(100/'Skjema total MA'!C54*C54,0)</f>
        <v>16.419232424285788</v>
      </c>
      <c r="F54" s="109"/>
      <c r="G54" s="27"/>
      <c r="H54" s="109"/>
      <c r="I54" s="109"/>
      <c r="J54" s="27"/>
      <c r="K54" s="27"/>
      <c r="L54" s="118"/>
      <c r="M54" s="118"/>
    </row>
    <row r="55" spans="1:13" ht="15.6" x14ac:dyDescent="0.25">
      <c r="A55" s="18" t="s">
        <v>190</v>
      </c>
      <c r="B55" s="228"/>
      <c r="C55" s="229">
        <v>5889.0649999999996</v>
      </c>
      <c r="D55" s="206" t="str">
        <f t="shared" si="15"/>
        <v xml:space="preserve">    ---- </v>
      </c>
      <c r="E55" s="23">
        <f>IFERROR(100/'Skjema total MA'!C55*C55,0)</f>
        <v>84.39395448451684</v>
      </c>
      <c r="F55" s="109"/>
      <c r="G55" s="27"/>
      <c r="H55" s="109"/>
      <c r="I55" s="109"/>
      <c r="J55" s="27"/>
      <c r="K55" s="27"/>
      <c r="L55" s="118"/>
      <c r="M55" s="118"/>
    </row>
    <row r="56" spans="1:13" ht="15.6" x14ac:dyDescent="0.25">
      <c r="A56" s="10" t="s">
        <v>195</v>
      </c>
      <c r="B56" s="255">
        <v>2452.116</v>
      </c>
      <c r="C56" s="256">
        <v>14984.805</v>
      </c>
      <c r="D56" s="349">
        <f t="shared" si="15"/>
        <v>511.1</v>
      </c>
      <c r="E56" s="8">
        <f>IFERROR(100/'Skjema total MA'!C56*C56,0)</f>
        <v>5.4710400608786269</v>
      </c>
      <c r="F56" s="109"/>
      <c r="G56" s="27"/>
      <c r="H56" s="109"/>
      <c r="I56" s="109"/>
      <c r="J56" s="27"/>
      <c r="K56" s="27"/>
      <c r="L56" s="118"/>
      <c r="M56" s="118"/>
    </row>
    <row r="57" spans="1:13" ht="15.6" x14ac:dyDescent="0.25">
      <c r="A57" s="18" t="s">
        <v>189</v>
      </c>
      <c r="B57" s="228">
        <v>2452.116</v>
      </c>
      <c r="C57" s="229">
        <v>14984.805</v>
      </c>
      <c r="D57" s="206">
        <f t="shared" si="15"/>
        <v>511.1</v>
      </c>
      <c r="E57" s="23">
        <f>IFERROR(100/'Skjema total MA'!C57*C57,0)</f>
        <v>6.9365372278706294</v>
      </c>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v>4037242.4478200004</v>
      </c>
      <c r="C66" s="291">
        <v>4156807.6156299999</v>
      </c>
      <c r="D66" s="288">
        <f t="shared" ref="D66:D111" si="17">IF(B66=0, "    ---- ", IF(ABS(ROUND(100/B66*C66-100,1))&lt;999,ROUND(100/B66*C66-100,1),IF(ROUND(100/B66*C66-100,1)&gt;999,999,-999)))</f>
        <v>3</v>
      </c>
      <c r="E66" s="8">
        <f>IFERROR(100/'Skjema total MA'!C66*C66,0)</f>
        <v>44.248873320467034</v>
      </c>
      <c r="F66" s="290">
        <v>16771421.5765</v>
      </c>
      <c r="G66" s="290">
        <v>17767066.315420002</v>
      </c>
      <c r="H66" s="288">
        <f t="shared" ref="H66:H111" si="18">IF(F66=0, "    ---- ", IF(ABS(ROUND(100/F66*G66-100,1))&lt;999,ROUND(100/F66*G66-100,1),IF(ROUND(100/F66*G66-100,1)&gt;999,999,-999)))</f>
        <v>5.9</v>
      </c>
      <c r="I66" s="8">
        <f>IFERROR(100/'Skjema total MA'!F66*G66,0)</f>
        <v>29.917335169073354</v>
      </c>
      <c r="J66" s="254">
        <f t="shared" ref="J66:K86" si="19">SUM(B66,F66)</f>
        <v>20808664.024319999</v>
      </c>
      <c r="K66" s="261">
        <f t="shared" si="19"/>
        <v>21923873.931050003</v>
      </c>
      <c r="L66" s="349">
        <f t="shared" ref="L66:L111" si="20">IF(J66=0, "    ---- ", IF(ABS(ROUND(100/J66*K66-100,1))&lt;999,ROUND(100/J66*K66-100,1),IF(ROUND(100/J66*K66-100,1)&gt;999,999,-999)))</f>
        <v>5.4</v>
      </c>
      <c r="M66" s="8">
        <f>IFERROR(100/'Skjema total MA'!I66*K66,0)</f>
        <v>31.874736212190644</v>
      </c>
    </row>
    <row r="67" spans="1:13" x14ac:dyDescent="0.25">
      <c r="A67" s="39" t="s">
        <v>197</v>
      </c>
      <c r="B67" s="36">
        <v>1751206.1375200001</v>
      </c>
      <c r="C67" s="109">
        <v>1532576.1835</v>
      </c>
      <c r="D67" s="123">
        <f t="shared" si="17"/>
        <v>-12.5</v>
      </c>
      <c r="E67" s="23">
        <f>IFERROR(100/'Skjema total MA'!C67*C67,0)</f>
        <v>36.444137863440311</v>
      </c>
      <c r="F67" s="181"/>
      <c r="G67" s="109"/>
      <c r="H67" s="123"/>
      <c r="I67" s="23"/>
      <c r="J67" s="234">
        <f t="shared" si="19"/>
        <v>1751206.1375200001</v>
      </c>
      <c r="K67" s="36">
        <f t="shared" si="19"/>
        <v>1532576.1835</v>
      </c>
      <c r="L67" s="206">
        <f t="shared" si="20"/>
        <v>-12.5</v>
      </c>
      <c r="M67" s="23">
        <f>IFERROR(100/'Skjema total MA'!I67*K67,0)</f>
        <v>36.444137863440311</v>
      </c>
    </row>
    <row r="68" spans="1:13" x14ac:dyDescent="0.25">
      <c r="A68" s="18" t="s">
        <v>198</v>
      </c>
      <c r="B68" s="239"/>
      <c r="C68" s="240"/>
      <c r="D68" s="123"/>
      <c r="E68" s="23"/>
      <c r="F68" s="239">
        <v>15089401.1755</v>
      </c>
      <c r="G68" s="240">
        <v>16045349.04342</v>
      </c>
      <c r="H68" s="123">
        <f t="shared" si="18"/>
        <v>6.3</v>
      </c>
      <c r="I68" s="23">
        <f>IFERROR(100/'Skjema total MA'!F68*G68,0)</f>
        <v>28.057052309674603</v>
      </c>
      <c r="J68" s="234">
        <f t="shared" si="19"/>
        <v>15089401.1755</v>
      </c>
      <c r="K68" s="36">
        <f t="shared" si="19"/>
        <v>16045349.04342</v>
      </c>
      <c r="L68" s="206">
        <f t="shared" si="20"/>
        <v>6.3</v>
      </c>
      <c r="M68" s="23">
        <f>IFERROR(100/'Skjema total MA'!I68*K68,0)</f>
        <v>28.045186207400924</v>
      </c>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v>15089401.1755</v>
      </c>
      <c r="G72" s="228">
        <v>16045349.04342</v>
      </c>
      <c r="H72" s="123">
        <f t="shared" si="18"/>
        <v>6.3</v>
      </c>
      <c r="I72" s="341">
        <f>IFERROR(100/'Skjema total MA'!F72*G72,0)</f>
        <v>28.058283048759172</v>
      </c>
      <c r="J72" s="234">
        <f t="shared" ref="J72" si="21">SUM(B72,F72)</f>
        <v>15089401.1755</v>
      </c>
      <c r="K72" s="36">
        <f t="shared" ref="K72" si="22">SUM(C72,G72)</f>
        <v>16045349.04342</v>
      </c>
      <c r="L72" s="206">
        <f t="shared" si="20"/>
        <v>6.3</v>
      </c>
      <c r="M72" s="20">
        <f>IFERROR(100/'Skjema total MA'!I72*K72,0)</f>
        <v>28.0465316019278</v>
      </c>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v>15089401.1755</v>
      </c>
      <c r="G74" s="228">
        <v>16045349.04342</v>
      </c>
      <c r="H74" s="123">
        <f t="shared" si="18"/>
        <v>6.3</v>
      </c>
      <c r="I74" s="341">
        <f>IFERROR(100/'Skjema total MA'!F74*G74,0)</f>
        <v>28.058283048759172</v>
      </c>
      <c r="J74" s="234">
        <f t="shared" ref="J74" si="23">SUM(B74,F74)</f>
        <v>15089401.1755</v>
      </c>
      <c r="K74" s="36">
        <f t="shared" ref="K74" si="24">SUM(C74,G74)</f>
        <v>16045349.04342</v>
      </c>
      <c r="L74" s="206">
        <f t="shared" si="20"/>
        <v>6.3</v>
      </c>
      <c r="M74" s="20">
        <f>IFERROR(100/'Skjema total MA'!I74*K74,0)</f>
        <v>28.058283048759172</v>
      </c>
    </row>
    <row r="75" spans="1:13" x14ac:dyDescent="0.25">
      <c r="A75" s="18" t="s">
        <v>203</v>
      </c>
      <c r="B75" s="181">
        <v>411147.2</v>
      </c>
      <c r="C75" s="109">
        <v>542650.74899999995</v>
      </c>
      <c r="D75" s="123">
        <f t="shared" si="17"/>
        <v>32</v>
      </c>
      <c r="E75" s="23">
        <f>IFERROR(100/'Skjema total MA'!C75*C75,0)</f>
        <v>55.713010107913298</v>
      </c>
      <c r="F75" s="181">
        <v>1682020.4010000001</v>
      </c>
      <c r="G75" s="109">
        <v>1721717.2720000001</v>
      </c>
      <c r="H75" s="123">
        <f t="shared" si="18"/>
        <v>2.4</v>
      </c>
      <c r="I75" s="23">
        <f>IFERROR(100/'Skjema total MA'!F75*G75,0)</f>
        <v>78.298907380361456</v>
      </c>
      <c r="J75" s="234">
        <f t="shared" si="19"/>
        <v>2093167.601</v>
      </c>
      <c r="K75" s="36">
        <f t="shared" si="19"/>
        <v>2264368.0210000002</v>
      </c>
      <c r="L75" s="206">
        <f t="shared" si="20"/>
        <v>8.1999999999999993</v>
      </c>
      <c r="M75" s="23">
        <f>IFERROR(100/'Skjema total MA'!I75*K75,0)</f>
        <v>71.365562374324568</v>
      </c>
    </row>
    <row r="76" spans="1:13" ht="20.399999999999999" x14ac:dyDescent="0.35">
      <c r="A76" s="18" t="s">
        <v>493</v>
      </c>
      <c r="B76" s="181">
        <v>1874889.1103000001</v>
      </c>
      <c r="C76" s="109">
        <v>2081580.68313</v>
      </c>
      <c r="D76" s="123">
        <f t="shared" ref="D76" si="25">IF(B76=0, "    ---- ", IF(ABS(ROUND(100/B76*C76-100,1))&lt;999,ROUND(100/B76*C76-100,1),IF(ROUND(100/B76*C76-100,1)&gt;999,999,-999)))</f>
        <v>11</v>
      </c>
      <c r="E76" s="23">
        <f>IFERROR(100/'Skjema total MA'!C76*C76,0)</f>
        <v>49.671760651109473</v>
      </c>
      <c r="F76" s="181"/>
      <c r="G76" s="109"/>
      <c r="H76" s="123"/>
      <c r="I76" s="23"/>
      <c r="J76" s="234">
        <f t="shared" ref="J76" si="26">SUM(B76,F76)</f>
        <v>1874889.1103000001</v>
      </c>
      <c r="K76" s="36">
        <f t="shared" ref="K76" si="27">SUM(C76,G76)</f>
        <v>2081580.68313</v>
      </c>
      <c r="L76" s="206">
        <f t="shared" ref="L76" si="28">IF(J76=0, "    ---- ", IF(ABS(ROUND(100/J76*K76-100,1))&lt;999,ROUND(100/J76*K76-100,1),IF(ROUND(100/J76*K76-100,1)&gt;999,999,-999)))</f>
        <v>11</v>
      </c>
      <c r="M76" s="23">
        <f>IFERROR(100/'Skjema total MA'!I76*K76,0)</f>
        <v>49.671760651109473</v>
      </c>
    </row>
    <row r="77" spans="1:13" ht="15.6" x14ac:dyDescent="0.25">
      <c r="A77" s="18" t="s">
        <v>205</v>
      </c>
      <c r="B77" s="181">
        <v>1690293.70052</v>
      </c>
      <c r="C77" s="181">
        <v>1465947.9095000001</v>
      </c>
      <c r="D77" s="123">
        <f t="shared" si="17"/>
        <v>-13.3</v>
      </c>
      <c r="E77" s="23">
        <f>IFERROR(100/'Skjema total MA'!C77*C77,0)</f>
        <v>35.484997302742492</v>
      </c>
      <c r="F77" s="181">
        <v>15089401.1755</v>
      </c>
      <c r="G77" s="109">
        <v>16045349.04342</v>
      </c>
      <c r="H77" s="123">
        <f t="shared" si="18"/>
        <v>6.3</v>
      </c>
      <c r="I77" s="23">
        <f>IFERROR(100/'Skjema total MA'!F77*G77,0)</f>
        <v>28.064007005498052</v>
      </c>
      <c r="J77" s="234">
        <f t="shared" si="19"/>
        <v>16779694.876019999</v>
      </c>
      <c r="K77" s="36">
        <f t="shared" si="19"/>
        <v>17511296.952920001</v>
      </c>
      <c r="L77" s="206">
        <f t="shared" si="20"/>
        <v>4.4000000000000004</v>
      </c>
      <c r="M77" s="23">
        <f>IFERROR(100/'Skjema total MA'!I77*K77,0)</f>
        <v>28.564084865796421</v>
      </c>
    </row>
    <row r="78" spans="1:13" x14ac:dyDescent="0.25">
      <c r="A78" s="18" t="s">
        <v>197</v>
      </c>
      <c r="B78" s="181">
        <v>1690293.70052</v>
      </c>
      <c r="C78" s="109">
        <v>1465947.9095000001</v>
      </c>
      <c r="D78" s="123">
        <f t="shared" si="17"/>
        <v>-13.3</v>
      </c>
      <c r="E78" s="23">
        <f>IFERROR(100/'Skjema total MA'!C78*C78,0)</f>
        <v>35.694061222472918</v>
      </c>
      <c r="F78" s="181"/>
      <c r="G78" s="109"/>
      <c r="H78" s="123"/>
      <c r="I78" s="23"/>
      <c r="J78" s="234">
        <f t="shared" si="19"/>
        <v>1690293.70052</v>
      </c>
      <c r="K78" s="36">
        <f t="shared" si="19"/>
        <v>1465947.9095000001</v>
      </c>
      <c r="L78" s="206">
        <f t="shared" si="20"/>
        <v>-13.3</v>
      </c>
      <c r="M78" s="23">
        <f>IFERROR(100/'Skjema total MA'!I78*K78,0)</f>
        <v>35.694061222472918</v>
      </c>
    </row>
    <row r="79" spans="1:13" x14ac:dyDescent="0.25">
      <c r="A79" s="18" t="s">
        <v>206</v>
      </c>
      <c r="B79" s="239"/>
      <c r="C79" s="240"/>
      <c r="D79" s="123"/>
      <c r="E79" s="23"/>
      <c r="F79" s="239">
        <v>15089401.1755</v>
      </c>
      <c r="G79" s="240">
        <v>16045349.04342</v>
      </c>
      <c r="H79" s="123">
        <f t="shared" si="18"/>
        <v>6.3</v>
      </c>
      <c r="I79" s="23">
        <f>IFERROR(100/'Skjema total MA'!F79*G79,0)</f>
        <v>28.064007005498052</v>
      </c>
      <c r="J79" s="234">
        <f t="shared" si="19"/>
        <v>15089401.1755</v>
      </c>
      <c r="K79" s="36">
        <f t="shared" si="19"/>
        <v>16045349.04342</v>
      </c>
      <c r="L79" s="206">
        <f t="shared" si="20"/>
        <v>6.3</v>
      </c>
      <c r="M79" s="23">
        <f>IFERROR(100/'Skjema total MA'!I79*K79,0)</f>
        <v>28.052135021074012</v>
      </c>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v>15089401.1755</v>
      </c>
      <c r="G83" s="228">
        <v>16045349.04342</v>
      </c>
      <c r="H83" s="123">
        <f t="shared" si="18"/>
        <v>6.3</v>
      </c>
      <c r="I83" s="341">
        <f>IFERROR(100/'Skjema total MA'!F83*G83,0)</f>
        <v>28.064007005498052</v>
      </c>
      <c r="J83" s="234">
        <f t="shared" ref="J83" si="29">SUM(B83,F83)</f>
        <v>15089401.1755</v>
      </c>
      <c r="K83" s="36">
        <f t="shared" ref="K83" si="30">SUM(C83,G83)</f>
        <v>16045349.04342</v>
      </c>
      <c r="L83" s="206">
        <f t="shared" si="20"/>
        <v>6.3</v>
      </c>
      <c r="M83" s="20">
        <f>IFERROR(100/'Skjema total MA'!I83*K83,0)</f>
        <v>28.052135021074012</v>
      </c>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v>15089401.1755</v>
      </c>
      <c r="G85" s="228">
        <v>16045349.04342</v>
      </c>
      <c r="H85" s="123">
        <f t="shared" si="18"/>
        <v>6.3</v>
      </c>
      <c r="I85" s="341">
        <f>IFERROR(100/'Skjema total MA'!F85*G85,0)</f>
        <v>28.064007005498052</v>
      </c>
      <c r="J85" s="234">
        <f t="shared" ref="J85" si="31">SUM(B85,F85)</f>
        <v>15089401.1755</v>
      </c>
      <c r="K85" s="36">
        <f t="shared" ref="K85" si="32">SUM(C85,G85)</f>
        <v>16045349.04342</v>
      </c>
      <c r="L85" s="206">
        <f t="shared" si="20"/>
        <v>6.3</v>
      </c>
      <c r="M85" s="20">
        <f>IFERROR(100/'Skjema total MA'!I85*K85,0)</f>
        <v>28.064007005498052</v>
      </c>
    </row>
    <row r="86" spans="1:13" ht="15.6" x14ac:dyDescent="0.25">
      <c r="A86" s="18" t="s">
        <v>207</v>
      </c>
      <c r="B86" s="181">
        <v>60912.436999999998</v>
      </c>
      <c r="C86" s="109">
        <v>66628.274000000005</v>
      </c>
      <c r="D86" s="123">
        <f t="shared" si="17"/>
        <v>9.4</v>
      </c>
      <c r="E86" s="23">
        <f>IFERROR(100/'Skjema total MA'!C86*C86,0)</f>
        <v>67.783968290645987</v>
      </c>
      <c r="F86" s="181"/>
      <c r="G86" s="109"/>
      <c r="H86" s="123"/>
      <c r="I86" s="23"/>
      <c r="J86" s="234">
        <f t="shared" si="19"/>
        <v>60912.436999999998</v>
      </c>
      <c r="K86" s="36">
        <f t="shared" si="19"/>
        <v>66628.274000000005</v>
      </c>
      <c r="L86" s="206">
        <f t="shared" si="20"/>
        <v>9.4</v>
      </c>
      <c r="M86" s="23">
        <f>IFERROR(100/'Skjema total MA'!I86*K86,0)</f>
        <v>59.242416485278937</v>
      </c>
    </row>
    <row r="87" spans="1:13" ht="15.6" x14ac:dyDescent="0.25">
      <c r="A87" s="10" t="s">
        <v>171</v>
      </c>
      <c r="B87" s="291">
        <v>175850819.97765997</v>
      </c>
      <c r="C87" s="291">
        <v>179433764.13808</v>
      </c>
      <c r="D87" s="127">
        <f t="shared" si="17"/>
        <v>2</v>
      </c>
      <c r="E87" s="8">
        <f>IFERROR(100/'Skjema total MA'!C87*C87,0)</f>
        <v>43.17774343647816</v>
      </c>
      <c r="F87" s="290">
        <v>221919516.49350002</v>
      </c>
      <c r="G87" s="290">
        <v>254172382.58681998</v>
      </c>
      <c r="H87" s="127">
        <f t="shared" si="18"/>
        <v>14.5</v>
      </c>
      <c r="I87" s="8">
        <f>IFERROR(100/'Skjema total MA'!F87*G87,0)</f>
        <v>32.079285402749292</v>
      </c>
      <c r="J87" s="254">
        <f t="shared" ref="J87:K111" si="33">SUM(B87,F87)</f>
        <v>397770336.47115999</v>
      </c>
      <c r="K87" s="183">
        <f t="shared" si="33"/>
        <v>433606146.72490001</v>
      </c>
      <c r="L87" s="349">
        <f t="shared" si="20"/>
        <v>9</v>
      </c>
      <c r="M87" s="8">
        <f>IFERROR(100/'Skjema total MA'!I87*K87,0)</f>
        <v>35.897650636592417</v>
      </c>
    </row>
    <row r="88" spans="1:13" x14ac:dyDescent="0.25">
      <c r="A88" s="18" t="s">
        <v>197</v>
      </c>
      <c r="B88" s="181">
        <v>162462988.10705999</v>
      </c>
      <c r="C88" s="109">
        <v>163654862.08070999</v>
      </c>
      <c r="D88" s="123">
        <f t="shared" si="17"/>
        <v>0.7</v>
      </c>
      <c r="E88" s="23">
        <f>IFERROR(100/'Skjema total MA'!C88*C88,0)</f>
        <v>42.139235201818337</v>
      </c>
      <c r="F88" s="181"/>
      <c r="G88" s="109"/>
      <c r="H88" s="123"/>
      <c r="I88" s="23"/>
      <c r="J88" s="234">
        <f t="shared" si="33"/>
        <v>162462988.10705999</v>
      </c>
      <c r="K88" s="36">
        <f t="shared" si="33"/>
        <v>163654862.08070999</v>
      </c>
      <c r="L88" s="206">
        <f t="shared" si="20"/>
        <v>0.7</v>
      </c>
      <c r="M88" s="23">
        <f>IFERROR(100/'Skjema total MA'!I88*K88,0)</f>
        <v>42.139235201818337</v>
      </c>
    </row>
    <row r="89" spans="1:13" x14ac:dyDescent="0.25">
      <c r="A89" s="18" t="s">
        <v>198</v>
      </c>
      <c r="B89" s="181">
        <v>46903.31394</v>
      </c>
      <c r="C89" s="109">
        <v>46127.368589999998</v>
      </c>
      <c r="D89" s="123">
        <f t="shared" si="17"/>
        <v>-1.7</v>
      </c>
      <c r="E89" s="23">
        <f>IFERROR(100/'Skjema total MA'!C89*C89,0)</f>
        <v>1.0809532808722542</v>
      </c>
      <c r="F89" s="181">
        <v>214532249.71777001</v>
      </c>
      <c r="G89" s="109">
        <v>245517169.28426999</v>
      </c>
      <c r="H89" s="123">
        <f t="shared" si="18"/>
        <v>14.4</v>
      </c>
      <c r="I89" s="23">
        <f>IFERROR(100/'Skjema total MA'!F89*G89,0)</f>
        <v>31.489698573691886</v>
      </c>
      <c r="J89" s="234">
        <f t="shared" si="33"/>
        <v>214579153.03171</v>
      </c>
      <c r="K89" s="36">
        <f t="shared" si="33"/>
        <v>245563296.65285999</v>
      </c>
      <c r="L89" s="206">
        <f t="shared" si="20"/>
        <v>14.4</v>
      </c>
      <c r="M89" s="23">
        <f>IFERROR(100/'Skjema total MA'!I89*K89,0)</f>
        <v>31.324172501746066</v>
      </c>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v>46903.31394</v>
      </c>
      <c r="C93" s="228">
        <v>46127.368589999998</v>
      </c>
      <c r="D93" s="123">
        <f t="shared" si="17"/>
        <v>-1.7</v>
      </c>
      <c r="E93" s="23">
        <f>IFERROR(100/'Skjema total MA'!C94*C93,0)</f>
        <v>0</v>
      </c>
      <c r="F93" s="228">
        <v>214532249.71777001</v>
      </c>
      <c r="G93" s="228">
        <v>245517169.28426999</v>
      </c>
      <c r="H93" s="123">
        <f t="shared" si="18"/>
        <v>14.4</v>
      </c>
      <c r="I93" s="341">
        <f>IFERROR(100/'Skjema total MA'!F93*G93,0)</f>
        <v>31.503323343773484</v>
      </c>
      <c r="J93" s="234">
        <f t="shared" ref="J93" si="34">SUM(B93,F93)</f>
        <v>214579153.03171</v>
      </c>
      <c r="K93" s="36">
        <f t="shared" ref="K93" si="35">SUM(C93,G93)</f>
        <v>245563296.65285999</v>
      </c>
      <c r="L93" s="206">
        <f t="shared" si="20"/>
        <v>14.4</v>
      </c>
      <c r="M93" s="20">
        <f>IFERROR(100/'Skjema total MA'!I93*K93,0)</f>
        <v>31.337651846447162</v>
      </c>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v>214532249.71777001</v>
      </c>
      <c r="G95" s="228">
        <v>245517169.28426999</v>
      </c>
      <c r="H95" s="123">
        <f t="shared" si="18"/>
        <v>14.4</v>
      </c>
      <c r="I95" s="341">
        <f>IFERROR(100/'Skjema total MA'!F95*G95,0)</f>
        <v>31.503323343773484</v>
      </c>
      <c r="J95" s="234">
        <f t="shared" ref="J95" si="36">SUM(B95,F95)</f>
        <v>214532249.71777001</v>
      </c>
      <c r="K95" s="36">
        <f t="shared" ref="K95" si="37">SUM(C95,G95)</f>
        <v>245517169.28426999</v>
      </c>
      <c r="L95" s="206">
        <f t="shared" si="20"/>
        <v>14.4</v>
      </c>
      <c r="M95" s="20">
        <f>IFERROR(100/'Skjema total MA'!I95*K95,0)</f>
        <v>31.503323343773484</v>
      </c>
    </row>
    <row r="96" spans="1:13" x14ac:dyDescent="0.25">
      <c r="A96" s="18" t="s">
        <v>221</v>
      </c>
      <c r="B96" s="181">
        <v>3228676.0874999999</v>
      </c>
      <c r="C96" s="109">
        <v>4238477.0102700004</v>
      </c>
      <c r="D96" s="123">
        <f t="shared" si="17"/>
        <v>31.3</v>
      </c>
      <c r="E96" s="23">
        <f>IFERROR(100/'Skjema total MA'!C96*C96,0)</f>
        <v>47.276006970773722</v>
      </c>
      <c r="F96" s="181">
        <v>7387266.7757299999</v>
      </c>
      <c r="G96" s="109">
        <v>8655213.3025499992</v>
      </c>
      <c r="H96" s="123">
        <f t="shared" si="18"/>
        <v>17.2</v>
      </c>
      <c r="I96" s="23">
        <f>IFERROR(100/'Skjema total MA'!F96*G96,0)</f>
        <v>68.415176328382984</v>
      </c>
      <c r="J96" s="234">
        <f t="shared" si="33"/>
        <v>10615942.863229999</v>
      </c>
      <c r="K96" s="36">
        <f t="shared" si="33"/>
        <v>12893690.312819999</v>
      </c>
      <c r="L96" s="206">
        <f t="shared" si="20"/>
        <v>21.5</v>
      </c>
      <c r="M96" s="23">
        <f>IFERROR(100/'Skjema total MA'!I96*K96,0)</f>
        <v>59.647720642976175</v>
      </c>
    </row>
    <row r="97" spans="1:13" x14ac:dyDescent="0.25">
      <c r="A97" s="18" t="s">
        <v>222</v>
      </c>
      <c r="B97" s="181">
        <v>10112252.46916</v>
      </c>
      <c r="C97" s="109">
        <v>11494297.678510001</v>
      </c>
      <c r="D97" s="123">
        <f t="shared" ref="D97" si="38">IF(B97=0, "    ---- ", IF(ABS(ROUND(100/B97*C97-100,1))&lt;999,ROUND(100/B97*C97-100,1),IF(ROUND(100/B97*C97-100,1)&gt;999,999,-999)))</f>
        <v>13.7</v>
      </c>
      <c r="E97" s="23">
        <f>IFERROR(100/'Skjema total MA'!C98*C97,0)</f>
        <v>2.9583046827120265</v>
      </c>
      <c r="F97" s="181"/>
      <c r="G97" s="109"/>
      <c r="H97" s="123"/>
      <c r="I97" s="23"/>
      <c r="J97" s="234">
        <f t="shared" ref="J97" si="39">SUM(B97,F97)</f>
        <v>10112252.46916</v>
      </c>
      <c r="K97" s="36">
        <f t="shared" ref="K97" si="40">SUM(C97,G97)</f>
        <v>11494297.678510001</v>
      </c>
      <c r="L97" s="206">
        <f t="shared" ref="L97" si="41">IF(J97=0, "    ---- ", IF(ABS(ROUND(100/J97*K97-100,1))&lt;999,ROUND(100/J97*K97-100,1),IF(ROUND(100/J97*K97-100,1)&gt;999,999,-999)))</f>
        <v>13.7</v>
      </c>
      <c r="M97" s="23">
        <f>IFERROR(100/'Skjema total MA'!I98*K97,0)</f>
        <v>0.98427631165841301</v>
      </c>
    </row>
    <row r="98" spans="1:13" ht="15.6" x14ac:dyDescent="0.25">
      <c r="A98" s="18" t="s">
        <v>205</v>
      </c>
      <c r="B98" s="181">
        <v>159402447.602</v>
      </c>
      <c r="C98" s="181">
        <v>160723470.57929999</v>
      </c>
      <c r="D98" s="123">
        <f t="shared" si="17"/>
        <v>0.8</v>
      </c>
      <c r="E98" s="23">
        <f>IFERROR(100/'Skjema total MA'!C98*C98,0)</f>
        <v>41.365641375846685</v>
      </c>
      <c r="F98" s="239">
        <v>214532249.71777001</v>
      </c>
      <c r="G98" s="239">
        <v>245517169.28426999</v>
      </c>
      <c r="H98" s="123">
        <f t="shared" si="18"/>
        <v>14.4</v>
      </c>
      <c r="I98" s="23">
        <f>IFERROR(100/'Skjema total MA'!F98*G98,0)</f>
        <v>31.506921575840153</v>
      </c>
      <c r="J98" s="234">
        <f t="shared" si="33"/>
        <v>373934697.31976998</v>
      </c>
      <c r="K98" s="36">
        <f t="shared" si="33"/>
        <v>406240639.86356997</v>
      </c>
      <c r="L98" s="206">
        <f t="shared" si="20"/>
        <v>8.6</v>
      </c>
      <c r="M98" s="23">
        <f>IFERROR(100/'Skjema total MA'!I98*K98,0)</f>
        <v>34.787078761518643</v>
      </c>
    </row>
    <row r="99" spans="1:13" x14ac:dyDescent="0.25">
      <c r="A99" s="18" t="s">
        <v>197</v>
      </c>
      <c r="B99" s="239">
        <v>159355544.28806001</v>
      </c>
      <c r="C99" s="240">
        <v>160677343.21070999</v>
      </c>
      <c r="D99" s="123">
        <f t="shared" si="17"/>
        <v>0.8</v>
      </c>
      <c r="E99" s="23">
        <f>IFERROR(100/'Skjema total MA'!C99*C99,0)</f>
        <v>41.812992330442476</v>
      </c>
      <c r="F99" s="181"/>
      <c r="G99" s="109"/>
      <c r="H99" s="123"/>
      <c r="I99" s="23"/>
      <c r="J99" s="234">
        <f t="shared" si="33"/>
        <v>159355544.28806001</v>
      </c>
      <c r="K99" s="36">
        <f t="shared" si="33"/>
        <v>160677343.21070999</v>
      </c>
      <c r="L99" s="206">
        <f t="shared" si="20"/>
        <v>0.8</v>
      </c>
      <c r="M99" s="23">
        <f>IFERROR(100/'Skjema total MA'!I99*K99,0)</f>
        <v>41.812992330442476</v>
      </c>
    </row>
    <row r="100" spans="1:13" x14ac:dyDescent="0.25">
      <c r="A100" s="18" t="s">
        <v>206</v>
      </c>
      <c r="B100" s="239">
        <v>46903.31394</v>
      </c>
      <c r="C100" s="240">
        <v>46127.368589999998</v>
      </c>
      <c r="D100" s="123">
        <f t="shared" si="17"/>
        <v>-1.7</v>
      </c>
      <c r="E100" s="23">
        <f>IFERROR(100/'Skjema total MA'!C100*C100,0)</f>
        <v>1.0809532808722542</v>
      </c>
      <c r="F100" s="181">
        <v>214532249.71777001</v>
      </c>
      <c r="G100" s="181">
        <v>245517169.28426999</v>
      </c>
      <c r="H100" s="123">
        <f t="shared" si="18"/>
        <v>14.4</v>
      </c>
      <c r="I100" s="23">
        <f>IFERROR(100/'Skjema total MA'!F100*G100,0)</f>
        <v>31.506921575840153</v>
      </c>
      <c r="J100" s="234">
        <f t="shared" si="33"/>
        <v>214579153.03171</v>
      </c>
      <c r="K100" s="36">
        <f t="shared" si="33"/>
        <v>245563296.65285999</v>
      </c>
      <c r="L100" s="206">
        <f t="shared" si="20"/>
        <v>14.4</v>
      </c>
      <c r="M100" s="23">
        <f>IFERROR(100/'Skjema total MA'!I100*K100,0)</f>
        <v>31.341211661816629</v>
      </c>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v>46903.31394</v>
      </c>
      <c r="C104" s="228">
        <v>46127.368589999998</v>
      </c>
      <c r="D104" s="123">
        <f t="shared" si="17"/>
        <v>-1.7</v>
      </c>
      <c r="E104" s="23">
        <f>IFERROR(100/'Skjema total MA'!C104*C104,0)</f>
        <v>1.0809532808722542</v>
      </c>
      <c r="F104" s="228">
        <v>214532249.71777001</v>
      </c>
      <c r="G104" s="228">
        <v>245517169.28426999</v>
      </c>
      <c r="H104" s="123">
        <f t="shared" si="18"/>
        <v>14.4</v>
      </c>
      <c r="I104" s="341">
        <f>IFERROR(100/'Skjema total MA'!F104*G104,0)</f>
        <v>31.506921575840153</v>
      </c>
      <c r="J104" s="234">
        <f t="shared" ref="J104" si="42">SUM(B104,F104)</f>
        <v>214579153.03171</v>
      </c>
      <c r="K104" s="36">
        <f t="shared" ref="K104" si="43">SUM(C104,G104)</f>
        <v>245563296.65285999</v>
      </c>
      <c r="L104" s="206">
        <f t="shared" si="20"/>
        <v>14.4</v>
      </c>
      <c r="M104" s="20">
        <f>IFERROR(100/'Skjema total MA'!I104*K104,0)</f>
        <v>31.341211661816629</v>
      </c>
    </row>
    <row r="105" spans="1:13" x14ac:dyDescent="0.25">
      <c r="A105" s="243" t="s">
        <v>200</v>
      </c>
      <c r="B105" s="182"/>
      <c r="C105" s="236"/>
      <c r="D105" s="123"/>
      <c r="E105" s="23">
        <f>IFERROR(100/'Skjema total MA'!C105*C105,0)</f>
        <v>0</v>
      </c>
      <c r="F105" s="228"/>
      <c r="G105" s="228"/>
      <c r="H105" s="123"/>
      <c r="I105" s="341"/>
      <c r="J105" s="237"/>
      <c r="K105" s="237"/>
      <c r="L105" s="123"/>
      <c r="M105" s="20"/>
    </row>
    <row r="106" spans="1:13" x14ac:dyDescent="0.25">
      <c r="A106" s="243" t="s">
        <v>201</v>
      </c>
      <c r="B106" s="182"/>
      <c r="C106" s="236"/>
      <c r="D106" s="123"/>
      <c r="E106" s="23">
        <f>IFERROR(100/'Skjema total MA'!C106*C106,0)</f>
        <v>0</v>
      </c>
      <c r="F106" s="228">
        <v>214532249.71777001</v>
      </c>
      <c r="G106" s="228">
        <v>245517169.28426999</v>
      </c>
      <c r="H106" s="123">
        <f t="shared" si="18"/>
        <v>14.4</v>
      </c>
      <c r="I106" s="341">
        <f>IFERROR(100/'Skjema total MA'!F106*G106,0)</f>
        <v>31.506921575840153</v>
      </c>
      <c r="J106" s="234">
        <f t="shared" ref="J106" si="44">SUM(B106,F106)</f>
        <v>214532249.71777001</v>
      </c>
      <c r="K106" s="36">
        <f t="shared" ref="K106" si="45">SUM(C106,G106)</f>
        <v>245517169.28426999</v>
      </c>
      <c r="L106" s="206">
        <f t="shared" si="20"/>
        <v>14.4</v>
      </c>
      <c r="M106" s="20">
        <f>IFERROR(100/'Skjema total MA'!I106*K106,0)</f>
        <v>31.506921575840153</v>
      </c>
    </row>
    <row r="107" spans="1:13" ht="15.6" x14ac:dyDescent="0.25">
      <c r="A107" s="18" t="s">
        <v>207</v>
      </c>
      <c r="B107" s="181">
        <v>3107443.8190000001</v>
      </c>
      <c r="C107" s="109">
        <v>2977518.87</v>
      </c>
      <c r="D107" s="123">
        <f t="shared" si="17"/>
        <v>-4.2</v>
      </c>
      <c r="E107" s="23">
        <f>IFERROR(100/'Skjema total MA'!C107*C107,0)</f>
        <v>72.785168544599799</v>
      </c>
      <c r="F107" s="181"/>
      <c r="G107" s="109"/>
      <c r="H107" s="123"/>
      <c r="I107" s="23"/>
      <c r="J107" s="234">
        <f t="shared" si="33"/>
        <v>3107443.8190000001</v>
      </c>
      <c r="K107" s="36">
        <f t="shared" si="33"/>
        <v>2977518.87</v>
      </c>
      <c r="L107" s="206">
        <f t="shared" si="20"/>
        <v>-4.2</v>
      </c>
      <c r="M107" s="23">
        <f>IFERROR(100/'Skjema total MA'!I107*K107,0)</f>
        <v>65.91755700819715</v>
      </c>
    </row>
    <row r="108" spans="1:13" ht="15.6" x14ac:dyDescent="0.25">
      <c r="A108" s="18" t="s">
        <v>208</v>
      </c>
      <c r="B108" s="181">
        <v>142947851.33449</v>
      </c>
      <c r="C108" s="181">
        <v>143294851.10929</v>
      </c>
      <c r="D108" s="123">
        <f t="shared" si="17"/>
        <v>0.2</v>
      </c>
      <c r="E108" s="23">
        <f>IFERROR(100/'Skjema total MA'!C108*C108,0)</f>
        <v>43.077954202027712</v>
      </c>
      <c r="F108" s="181">
        <v>21664973.595520001</v>
      </c>
      <c r="G108" s="181">
        <v>23143778.1503</v>
      </c>
      <c r="H108" s="123">
        <f t="shared" si="18"/>
        <v>6.8</v>
      </c>
      <c r="I108" s="23">
        <f>IFERROR(100/'Skjema total MA'!F108*G108,0)</f>
        <v>88.630709168689577</v>
      </c>
      <c r="J108" s="234">
        <f t="shared" si="33"/>
        <v>164612824.93000999</v>
      </c>
      <c r="K108" s="36">
        <f t="shared" si="33"/>
        <v>166438629.25959</v>
      </c>
      <c r="L108" s="206">
        <f t="shared" si="20"/>
        <v>1.1000000000000001</v>
      </c>
      <c r="M108" s="23">
        <f>IFERROR(100/'Skjema total MA'!I108*K108,0)</f>
        <v>46.393604066104032</v>
      </c>
    </row>
    <row r="109" spans="1:13" ht="15.6" x14ac:dyDescent="0.25">
      <c r="A109" s="18" t="s">
        <v>209</v>
      </c>
      <c r="B109" s="181">
        <v>694614.74760999996</v>
      </c>
      <c r="C109" s="181">
        <v>863540.27061000001</v>
      </c>
      <c r="D109" s="123">
        <f t="shared" si="17"/>
        <v>24.3</v>
      </c>
      <c r="E109" s="23">
        <f>IFERROR(100/'Skjema total MA'!C109*C109,0)</f>
        <v>33.254732253673573</v>
      </c>
      <c r="F109" s="181">
        <v>69511049.410999998</v>
      </c>
      <c r="G109" s="181">
        <v>81436722.995039999</v>
      </c>
      <c r="H109" s="123">
        <f t="shared" si="18"/>
        <v>17.2</v>
      </c>
      <c r="I109" s="23">
        <f>IFERROR(100/'Skjema total MA'!F109*G109,0)</f>
        <v>26.621431208793904</v>
      </c>
      <c r="J109" s="234">
        <f t="shared" si="33"/>
        <v>70205664.158610001</v>
      </c>
      <c r="K109" s="36">
        <f t="shared" si="33"/>
        <v>82300263.265650004</v>
      </c>
      <c r="L109" s="206">
        <f t="shared" si="20"/>
        <v>17.2</v>
      </c>
      <c r="M109" s="23">
        <f>IFERROR(100/'Skjema total MA'!I109*K109,0)</f>
        <v>26.67726523291222</v>
      </c>
    </row>
    <row r="110" spans="1:13" ht="15.6" x14ac:dyDescent="0.25">
      <c r="A110" s="18" t="s">
        <v>210</v>
      </c>
      <c r="B110" s="181">
        <v>1959213.9661600001</v>
      </c>
      <c r="C110" s="181">
        <v>2841357.17716</v>
      </c>
      <c r="D110" s="123">
        <f t="shared" si="17"/>
        <v>45</v>
      </c>
      <c r="E110" s="23">
        <f>IFERROR(100/'Skjema total MA'!C110*C110,0)</f>
        <v>59.39129247996938</v>
      </c>
      <c r="F110" s="181"/>
      <c r="G110" s="181"/>
      <c r="H110" s="123"/>
      <c r="I110" s="23"/>
      <c r="J110" s="234">
        <f t="shared" si="33"/>
        <v>1959213.9661600001</v>
      </c>
      <c r="K110" s="36">
        <f t="shared" si="33"/>
        <v>2841357.17716</v>
      </c>
      <c r="L110" s="206">
        <f t="shared" si="20"/>
        <v>45</v>
      </c>
      <c r="M110" s="23">
        <f>IFERROR(100/'Skjema total MA'!I110*K110,0)</f>
        <v>59.39129247996938</v>
      </c>
    </row>
    <row r="111" spans="1:13" ht="15.6" x14ac:dyDescent="0.25">
      <c r="A111" s="10" t="s">
        <v>172</v>
      </c>
      <c r="B111" s="253">
        <v>161410.73700000002</v>
      </c>
      <c r="C111" s="118">
        <v>653445.21</v>
      </c>
      <c r="D111" s="127">
        <f t="shared" si="17"/>
        <v>304.8</v>
      </c>
      <c r="E111" s="8">
        <f>IFERROR(100/'Skjema total MA'!C111*C111,0)</f>
        <v>26.466378584180557</v>
      </c>
      <c r="F111" s="253">
        <v>9058225.3890000004</v>
      </c>
      <c r="G111" s="118">
        <v>11654737.41</v>
      </c>
      <c r="H111" s="127">
        <f t="shared" si="18"/>
        <v>28.7</v>
      </c>
      <c r="I111" s="8">
        <f>IFERROR(100/'Skjema total MA'!F111*G111,0)</f>
        <v>16.913820044975637</v>
      </c>
      <c r="J111" s="254">
        <f t="shared" si="33"/>
        <v>9219636.1260000002</v>
      </c>
      <c r="K111" s="183">
        <f t="shared" si="33"/>
        <v>12308182.620000001</v>
      </c>
      <c r="L111" s="349">
        <f t="shared" si="20"/>
        <v>33.5</v>
      </c>
      <c r="M111" s="8">
        <f>IFERROR(100/'Skjema total MA'!I111*K111,0)</f>
        <v>17.244254137533165</v>
      </c>
    </row>
    <row r="112" spans="1:13" x14ac:dyDescent="0.25">
      <c r="A112" s="18" t="s">
        <v>197</v>
      </c>
      <c r="B112" s="181">
        <v>44635.887000000002</v>
      </c>
      <c r="C112" s="109">
        <v>517105.74</v>
      </c>
      <c r="D112" s="123">
        <f t="shared" ref="D112:D125" si="46">IF(B112=0, "    ---- ", IF(ABS(ROUND(100/B112*C112-100,1))&lt;999,ROUND(100/B112*C112-100,1),IF(ROUND(100/B112*C112-100,1)&gt;999,999,-999)))</f>
        <v>999</v>
      </c>
      <c r="E112" s="23">
        <f>IFERROR(100/'Skjema total MA'!C112*C112,0)</f>
        <v>23.061586054062307</v>
      </c>
      <c r="F112" s="181">
        <v>1148.367</v>
      </c>
      <c r="G112" s="109">
        <v>7671.9089999999997</v>
      </c>
      <c r="H112" s="123">
        <f t="shared" ref="H112:H125" si="47">IF(F112=0, "    ---- ", IF(ABS(ROUND(100/F112*G112-100,1))&lt;999,ROUND(100/F112*G112-100,1),IF(ROUND(100/F112*G112-100,1)&gt;999,999,-999)))</f>
        <v>568.1</v>
      </c>
      <c r="I112" s="23">
        <f>IFERROR(100/'Skjema total MA'!F112*G112,0)</f>
        <v>100</v>
      </c>
      <c r="J112" s="234">
        <f t="shared" ref="J112:K125" si="48">SUM(B112,F112)</f>
        <v>45784.254000000001</v>
      </c>
      <c r="K112" s="36">
        <f t="shared" si="48"/>
        <v>524777.64899999998</v>
      </c>
      <c r="L112" s="206">
        <f t="shared" ref="L112:L125" si="49">IF(J112=0, "    ---- ", IF(ABS(ROUND(100/J112*K112-100,1))&lt;999,ROUND(100/J112*K112-100,1),IF(ROUND(100/J112*K112-100,1)&gt;999,999,-999)))</f>
        <v>999</v>
      </c>
      <c r="M112" s="23">
        <f>IFERROR(100/'Skjema total MA'!I112*K112,0)</f>
        <v>23.323931237372008</v>
      </c>
    </row>
    <row r="113" spans="1:13" x14ac:dyDescent="0.25">
      <c r="A113" s="18" t="s">
        <v>198</v>
      </c>
      <c r="B113" s="181"/>
      <c r="C113" s="109"/>
      <c r="D113" s="123"/>
      <c r="E113" s="23"/>
      <c r="F113" s="181">
        <v>9057077.0219999999</v>
      </c>
      <c r="G113" s="109">
        <v>11647065.501</v>
      </c>
      <c r="H113" s="123">
        <f t="shared" si="47"/>
        <v>28.6</v>
      </c>
      <c r="I113" s="23">
        <f>IFERROR(100/'Skjema total MA'!F113*G113,0)</f>
        <v>17.021040078355494</v>
      </c>
      <c r="J113" s="234">
        <f t="shared" si="48"/>
        <v>9057077.0219999999</v>
      </c>
      <c r="K113" s="36">
        <f t="shared" si="48"/>
        <v>11647065.501</v>
      </c>
      <c r="L113" s="206">
        <f t="shared" si="49"/>
        <v>28.6</v>
      </c>
      <c r="M113" s="23">
        <f>IFERROR(100/'Skjema total MA'!I113*K113,0)</f>
        <v>17.011873190693539</v>
      </c>
    </row>
    <row r="114" spans="1:13" x14ac:dyDescent="0.25">
      <c r="A114" s="18" t="s">
        <v>211</v>
      </c>
      <c r="B114" s="181">
        <v>116774.85</v>
      </c>
      <c r="C114" s="109">
        <v>136339.47</v>
      </c>
      <c r="D114" s="123">
        <f t="shared" si="46"/>
        <v>16.8</v>
      </c>
      <c r="E114" s="23">
        <f>IFERROR(100/'Skjema total MA'!C114*C114,0)</f>
        <v>71.829684280991344</v>
      </c>
      <c r="F114" s="181"/>
      <c r="G114" s="109"/>
      <c r="H114" s="123"/>
      <c r="I114" s="23"/>
      <c r="J114" s="234">
        <f t="shared" si="48"/>
        <v>116774.85</v>
      </c>
      <c r="K114" s="36">
        <f t="shared" si="48"/>
        <v>136339.47</v>
      </c>
      <c r="L114" s="206">
        <f t="shared" si="49"/>
        <v>16.8</v>
      </c>
      <c r="M114" s="23">
        <f>IFERROR(100/'Skjema total MA'!I114*K114,0)</f>
        <v>20.61777762919149</v>
      </c>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v>7474.4589999999998</v>
      </c>
      <c r="C116" s="181">
        <v>1314.752</v>
      </c>
      <c r="D116" s="123">
        <f t="shared" si="46"/>
        <v>-82.4</v>
      </c>
      <c r="E116" s="23">
        <f>IFERROR(100/'Skjema total MA'!C116*C116,0)</f>
        <v>0.12915950389282335</v>
      </c>
      <c r="F116" s="181">
        <v>1148.367</v>
      </c>
      <c r="G116" s="181">
        <v>7671.9089999999997</v>
      </c>
      <c r="H116" s="123">
        <f t="shared" si="47"/>
        <v>568.1</v>
      </c>
      <c r="I116" s="23">
        <f>IFERROR(100/'Skjema total MA'!F116*G116,0)</f>
        <v>100</v>
      </c>
      <c r="J116" s="234">
        <f t="shared" si="48"/>
        <v>8622.8259999999991</v>
      </c>
      <c r="K116" s="36">
        <f t="shared" si="48"/>
        <v>8986.6610000000001</v>
      </c>
      <c r="L116" s="206">
        <f t="shared" si="49"/>
        <v>4.2</v>
      </c>
      <c r="M116" s="23">
        <f>IFERROR(100/'Skjema total MA'!I116*K116,0)</f>
        <v>0.87623375094488531</v>
      </c>
    </row>
    <row r="117" spans="1:13" ht="15.6" x14ac:dyDescent="0.25">
      <c r="A117" s="18" t="s">
        <v>209</v>
      </c>
      <c r="B117" s="181"/>
      <c r="C117" s="181"/>
      <c r="D117" s="123"/>
      <c r="E117" s="23"/>
      <c r="F117" s="181">
        <v>6628818.227</v>
      </c>
      <c r="G117" s="181">
        <v>7968978.1670000004</v>
      </c>
      <c r="H117" s="123">
        <f t="shared" si="47"/>
        <v>20.2</v>
      </c>
      <c r="I117" s="23">
        <f>IFERROR(100/'Skjema total MA'!F117*G117,0)</f>
        <v>18.811297450249036</v>
      </c>
      <c r="J117" s="234">
        <f t="shared" si="48"/>
        <v>6628818.227</v>
      </c>
      <c r="K117" s="36">
        <f t="shared" si="48"/>
        <v>7968978.1670000004</v>
      </c>
      <c r="L117" s="206">
        <f t="shared" si="49"/>
        <v>20.2</v>
      </c>
      <c r="M117" s="23">
        <f>IFERROR(100/'Skjema total MA'!I117*K117,0)</f>
        <v>18.811297450249036</v>
      </c>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v>116205.859</v>
      </c>
      <c r="C119" s="118">
        <v>430967.88299999997</v>
      </c>
      <c r="D119" s="127">
        <f t="shared" si="46"/>
        <v>270.89999999999998</v>
      </c>
      <c r="E119" s="8">
        <f>IFERROR(100/'Skjema total MA'!C119*C119,0)</f>
        <v>191.99599265324963</v>
      </c>
      <c r="F119" s="253">
        <v>13873235.658020001</v>
      </c>
      <c r="G119" s="118">
        <v>18600501.743999999</v>
      </c>
      <c r="H119" s="127">
        <f t="shared" si="47"/>
        <v>34.1</v>
      </c>
      <c r="I119" s="8">
        <f>IFERROR(100/'Skjema total MA'!F119*G119,0)</f>
        <v>25.406501368124104</v>
      </c>
      <c r="J119" s="254">
        <f t="shared" si="48"/>
        <v>13989441.51702</v>
      </c>
      <c r="K119" s="183">
        <f t="shared" si="48"/>
        <v>19031469.627</v>
      </c>
      <c r="L119" s="349">
        <f t="shared" si="49"/>
        <v>36</v>
      </c>
      <c r="M119" s="8">
        <f>IFERROR(100/'Skjema total MA'!I119*K119,0)</f>
        <v>25.915704465621715</v>
      </c>
    </row>
    <row r="120" spans="1:13" x14ac:dyDescent="0.25">
      <c r="A120" s="18" t="s">
        <v>197</v>
      </c>
      <c r="B120" s="181">
        <v>7092.2160000000003</v>
      </c>
      <c r="C120" s="109">
        <v>36964.197999999997</v>
      </c>
      <c r="D120" s="123">
        <f t="shared" si="46"/>
        <v>421.2</v>
      </c>
      <c r="E120" s="23">
        <f>IFERROR(100/'Skjema total MA'!C120*C120,0)</f>
        <v>-13.183092535421627</v>
      </c>
      <c r="F120" s="181"/>
      <c r="G120" s="109"/>
      <c r="H120" s="123"/>
      <c r="I120" s="23"/>
      <c r="J120" s="234">
        <f t="shared" si="48"/>
        <v>7092.2160000000003</v>
      </c>
      <c r="K120" s="36">
        <f t="shared" si="48"/>
        <v>36964.197999999997</v>
      </c>
      <c r="L120" s="206">
        <f t="shared" si="49"/>
        <v>421.2</v>
      </c>
      <c r="M120" s="23">
        <f>IFERROR(100/'Skjema total MA'!I120*K120,0)</f>
        <v>-13.183092535421627</v>
      </c>
    </row>
    <row r="121" spans="1:13" x14ac:dyDescent="0.25">
      <c r="A121" s="18" t="s">
        <v>198</v>
      </c>
      <c r="B121" s="181"/>
      <c r="C121" s="109"/>
      <c r="D121" s="123"/>
      <c r="E121" s="23"/>
      <c r="F121" s="181">
        <v>13873235.658020001</v>
      </c>
      <c r="G121" s="109">
        <v>18600501.743999999</v>
      </c>
      <c r="H121" s="123">
        <f t="shared" si="47"/>
        <v>34.1</v>
      </c>
      <c r="I121" s="23">
        <f>IFERROR(100/'Skjema total MA'!F121*G121,0)</f>
        <v>25.406501368124104</v>
      </c>
      <c r="J121" s="234">
        <f t="shared" si="48"/>
        <v>13873235.658020001</v>
      </c>
      <c r="K121" s="36">
        <f t="shared" si="48"/>
        <v>18600501.743999999</v>
      </c>
      <c r="L121" s="206">
        <f t="shared" si="49"/>
        <v>34.1</v>
      </c>
      <c r="M121" s="23">
        <f>IFERROR(100/'Skjema total MA'!I121*K121,0)</f>
        <v>25.387105948169435</v>
      </c>
    </row>
    <row r="122" spans="1:13" x14ac:dyDescent="0.25">
      <c r="A122" s="18" t="s">
        <v>211</v>
      </c>
      <c r="B122" s="181">
        <v>109113.643</v>
      </c>
      <c r="C122" s="109">
        <v>394003.685</v>
      </c>
      <c r="D122" s="123">
        <f t="shared" si="46"/>
        <v>261.10000000000002</v>
      </c>
      <c r="E122" s="23">
        <f>IFERROR(100/'Skjema total MA'!C122*C122,0)</f>
        <v>87.765965297767508</v>
      </c>
      <c r="F122" s="181"/>
      <c r="G122" s="109"/>
      <c r="H122" s="123"/>
      <c r="I122" s="23"/>
      <c r="J122" s="234">
        <f t="shared" si="48"/>
        <v>109113.643</v>
      </c>
      <c r="K122" s="36">
        <f t="shared" si="48"/>
        <v>394003.685</v>
      </c>
      <c r="L122" s="206">
        <f t="shared" si="49"/>
        <v>261.10000000000002</v>
      </c>
      <c r="M122" s="23">
        <f>IFERROR(100/'Skjema total MA'!I122*K122,0)</f>
        <v>87.765965297767508</v>
      </c>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v>3232.2330000000002</v>
      </c>
      <c r="C124" s="181">
        <v>6540.0339999999997</v>
      </c>
      <c r="D124" s="123">
        <f t="shared" si="46"/>
        <v>102.3</v>
      </c>
      <c r="E124" s="23">
        <f>IFERROR(100/'Skjema total MA'!C124*C124,0)</f>
        <v>24.605115346789052</v>
      </c>
      <c r="F124" s="181">
        <v>25743.476999999999</v>
      </c>
      <c r="G124" s="181">
        <v>59215.648000000001</v>
      </c>
      <c r="H124" s="123">
        <f t="shared" si="47"/>
        <v>130</v>
      </c>
      <c r="I124" s="23">
        <f>IFERROR(100/'Skjema total MA'!F124*G124,0)</f>
        <v>100</v>
      </c>
      <c r="J124" s="234">
        <f t="shared" si="48"/>
        <v>28975.71</v>
      </c>
      <c r="K124" s="36">
        <f t="shared" si="48"/>
        <v>65755.682000000001</v>
      </c>
      <c r="L124" s="206">
        <f t="shared" si="49"/>
        <v>126.9</v>
      </c>
      <c r="M124" s="23">
        <f>IFERROR(100/'Skjema total MA'!I124*K124,0)</f>
        <v>76.642232048545594</v>
      </c>
    </row>
    <row r="125" spans="1:13" ht="15.6" x14ac:dyDescent="0.25">
      <c r="A125" s="18" t="s">
        <v>209</v>
      </c>
      <c r="B125" s="181">
        <v>39.514000000000003</v>
      </c>
      <c r="C125" s="181">
        <v>159.042</v>
      </c>
      <c r="D125" s="123">
        <f t="shared" si="46"/>
        <v>302.5</v>
      </c>
      <c r="E125" s="23">
        <f>IFERROR(100/'Skjema total MA'!C125*C125,0)</f>
        <v>7.5238815542295034</v>
      </c>
      <c r="F125" s="181">
        <v>9131450.2290000003</v>
      </c>
      <c r="G125" s="181">
        <v>10795346.335000001</v>
      </c>
      <c r="H125" s="123">
        <f t="shared" si="47"/>
        <v>18.2</v>
      </c>
      <c r="I125" s="23">
        <f>IFERROR(100/'Skjema total MA'!F125*G125,0)</f>
        <v>26.256464095383937</v>
      </c>
      <c r="J125" s="234">
        <f t="shared" si="48"/>
        <v>9131489.7430000007</v>
      </c>
      <c r="K125" s="36">
        <f t="shared" si="48"/>
        <v>10795505.377</v>
      </c>
      <c r="L125" s="206">
        <f t="shared" si="49"/>
        <v>18.2</v>
      </c>
      <c r="M125" s="23">
        <f>IFERROR(100/'Skjema total MA'!I125*K125,0)</f>
        <v>26.255501054186436</v>
      </c>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v>1824140.7239999999</v>
      </c>
      <c r="C134" s="254">
        <v>2466201.125</v>
      </c>
      <c r="D134" s="288">
        <f t="shared" ref="D134:D137" si="50">IF(B134=0, "    ---- ", IF(ABS(ROUND(100/B134*C134-100,1))&lt;999,ROUND(100/B134*C134-100,1),IF(ROUND(100/B134*C134-100,1)&gt;999,999,-999)))</f>
        <v>35.200000000000003</v>
      </c>
      <c r="E134" s="8">
        <f>IFERROR(100/'Skjema total MA'!C134*C134,0)</f>
        <v>3.2791994575130987</v>
      </c>
      <c r="F134" s="261"/>
      <c r="G134" s="262"/>
      <c r="H134" s="352"/>
      <c r="I134" s="21"/>
      <c r="J134" s="263">
        <f t="shared" ref="J134:K137" si="51">SUM(B134,F134)</f>
        <v>1824140.7239999999</v>
      </c>
      <c r="K134" s="263">
        <f t="shared" si="51"/>
        <v>2466201.125</v>
      </c>
      <c r="L134" s="348">
        <f t="shared" ref="L134:L137" si="52">IF(J134=0, "    ---- ", IF(ABS(ROUND(100/J134*K134-100,1))&lt;999,ROUND(100/J134*K134-100,1),IF(ROUND(100/J134*K134-100,1)&gt;999,999,-999)))</f>
        <v>35.200000000000003</v>
      </c>
      <c r="M134" s="8">
        <f>IFERROR(100/'Skjema total MA'!I134*K134,0)</f>
        <v>3.2694011129333971</v>
      </c>
    </row>
    <row r="135" spans="1:15" ht="15.6" x14ac:dyDescent="0.25">
      <c r="A135" s="10" t="s">
        <v>224</v>
      </c>
      <c r="B135" s="183">
        <v>23611054.810819998</v>
      </c>
      <c r="C135" s="254">
        <v>30427505.10416</v>
      </c>
      <c r="D135" s="127">
        <f t="shared" si="50"/>
        <v>28.9</v>
      </c>
      <c r="E135" s="8">
        <f>IFERROR(100/'Skjema total MA'!C135*C135,0)</f>
        <v>2.9299851796010112</v>
      </c>
      <c r="F135" s="183"/>
      <c r="G135" s="254"/>
      <c r="H135" s="353"/>
      <c r="I135" s="21"/>
      <c r="J135" s="253">
        <f t="shared" si="51"/>
        <v>23611054.810819998</v>
      </c>
      <c r="K135" s="253">
        <f t="shared" si="51"/>
        <v>30427505.10416</v>
      </c>
      <c r="L135" s="349">
        <f t="shared" si="52"/>
        <v>28.9</v>
      </c>
      <c r="M135" s="8">
        <f>IFERROR(100/'Skjema total MA'!I135*K135,0)</f>
        <v>2.9215075112227367</v>
      </c>
    </row>
    <row r="136" spans="1:15" ht="15.6" x14ac:dyDescent="0.25">
      <c r="A136" s="10" t="s">
        <v>218</v>
      </c>
      <c r="B136" s="183">
        <v>2229332.4079999998</v>
      </c>
      <c r="C136" s="254">
        <v>3267889.7609999999</v>
      </c>
      <c r="D136" s="127">
        <f t="shared" si="50"/>
        <v>46.6</v>
      </c>
      <c r="E136" s="8">
        <f>IFERROR(100/'Skjema total MA'!C136*C136,0)</f>
        <v>98.661266279206743</v>
      </c>
      <c r="F136" s="183"/>
      <c r="G136" s="254"/>
      <c r="H136" s="353"/>
      <c r="I136" s="21"/>
      <c r="J136" s="253">
        <f t="shared" si="51"/>
        <v>2229332.4079999998</v>
      </c>
      <c r="K136" s="253">
        <f t="shared" si="51"/>
        <v>3267889.7609999999</v>
      </c>
      <c r="L136" s="349">
        <f t="shared" si="52"/>
        <v>46.6</v>
      </c>
      <c r="M136" s="8">
        <f>IFERROR(100/'Skjema total MA'!I136*K136,0)</f>
        <v>98.778563999655532</v>
      </c>
    </row>
    <row r="137" spans="1:15" ht="15.6" x14ac:dyDescent="0.25">
      <c r="A137" s="33" t="s">
        <v>219</v>
      </c>
      <c r="B137" s="223">
        <v>353.28100000000001</v>
      </c>
      <c r="C137" s="260">
        <v>0</v>
      </c>
      <c r="D137" s="125">
        <f t="shared" si="50"/>
        <v>-100</v>
      </c>
      <c r="E137" s="6">
        <f>IFERROR(100/'Skjema total MA'!C137*C137,0)</f>
        <v>0</v>
      </c>
      <c r="F137" s="223"/>
      <c r="G137" s="260"/>
      <c r="H137" s="354"/>
      <c r="I137" s="30"/>
      <c r="J137" s="259">
        <f t="shared" si="51"/>
        <v>353.28100000000001</v>
      </c>
      <c r="K137" s="259">
        <f t="shared" si="51"/>
        <v>0</v>
      </c>
      <c r="L137" s="350">
        <f t="shared" si="52"/>
        <v>-100</v>
      </c>
      <c r="M137" s="30">
        <f>IFERROR(100/'Skjema total MA'!I137*K137,0)</f>
        <v>0</v>
      </c>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846" priority="10">
      <formula>kvartal &lt; 4</formula>
    </cfRule>
  </conditionalFormatting>
  <conditionalFormatting sqref="A80:A85">
    <cfRule type="expression" dxfId="845" priority="9">
      <formula>kvartal &lt; 4</formula>
    </cfRule>
  </conditionalFormatting>
  <conditionalFormatting sqref="A90:A95">
    <cfRule type="expression" dxfId="844" priority="6">
      <formula>kvartal &lt; 4</formula>
    </cfRule>
  </conditionalFormatting>
  <conditionalFormatting sqref="A101:A106">
    <cfRule type="expression" dxfId="843" priority="5">
      <formula>kvartal &lt; 4</formula>
    </cfRule>
  </conditionalFormatting>
  <conditionalFormatting sqref="A50:C52">
    <cfRule type="expression" dxfId="842" priority="12">
      <formula>kvartal &lt; 4</formula>
    </cfRule>
  </conditionalFormatting>
  <conditionalFormatting sqref="A115:C115">
    <cfRule type="expression" dxfId="841" priority="4">
      <formula>kvartal &lt; 4</formula>
    </cfRule>
  </conditionalFormatting>
  <conditionalFormatting sqref="A123:C123">
    <cfRule type="expression" dxfId="840" priority="3">
      <formula>kvartal &lt; 4</formula>
    </cfRule>
  </conditionalFormatting>
  <conditionalFormatting sqref="B69:C69">
    <cfRule type="expression" dxfId="839" priority="99">
      <formula>kvartal &lt; 4</formula>
    </cfRule>
  </conditionalFormatting>
  <conditionalFormatting sqref="B72:C72">
    <cfRule type="expression" dxfId="838" priority="97">
      <formula>kvartal &lt; 4</formula>
    </cfRule>
  </conditionalFormatting>
  <conditionalFormatting sqref="B80:C80">
    <cfRule type="expression" dxfId="837" priority="95">
      <formula>kvartal &lt; 4</formula>
    </cfRule>
  </conditionalFormatting>
  <conditionalFormatting sqref="B83:C83">
    <cfRule type="expression" dxfId="836" priority="93">
      <formula>kvartal &lt; 4</formula>
    </cfRule>
  </conditionalFormatting>
  <conditionalFormatting sqref="B90:C90">
    <cfRule type="expression" dxfId="835" priority="83">
      <formula>kvartal &lt; 4</formula>
    </cfRule>
  </conditionalFormatting>
  <conditionalFormatting sqref="B93:C93">
    <cfRule type="expression" dxfId="834" priority="81">
      <formula>kvartal &lt; 4</formula>
    </cfRule>
  </conditionalFormatting>
  <conditionalFormatting sqref="B101:C101">
    <cfRule type="expression" dxfId="833" priority="79">
      <formula>kvartal &lt; 4</formula>
    </cfRule>
  </conditionalFormatting>
  <conditionalFormatting sqref="B104:C104">
    <cfRule type="expression" dxfId="832" priority="77">
      <formula>kvartal &lt; 4</formula>
    </cfRule>
  </conditionalFormatting>
  <conditionalFormatting sqref="F69:G74">
    <cfRule type="expression" dxfId="831" priority="54">
      <formula>kvartal &lt; 4</formula>
    </cfRule>
  </conditionalFormatting>
  <conditionalFormatting sqref="F80:G85">
    <cfRule type="expression" dxfId="830" priority="52">
      <formula>kvartal &lt; 4</formula>
    </cfRule>
  </conditionalFormatting>
  <conditionalFormatting sqref="F90:G95">
    <cfRule type="expression" dxfId="829" priority="44">
      <formula>kvartal &lt; 4</formula>
    </cfRule>
  </conditionalFormatting>
  <conditionalFormatting sqref="F101:G106">
    <cfRule type="expression" dxfId="828" priority="40">
      <formula>kvartal &lt; 4</formula>
    </cfRule>
  </conditionalFormatting>
  <conditionalFormatting sqref="F115:G115">
    <cfRule type="expression" dxfId="827" priority="57">
      <formula>kvartal &lt; 4</formula>
    </cfRule>
  </conditionalFormatting>
  <conditionalFormatting sqref="F123:G123">
    <cfRule type="expression" dxfId="826" priority="56">
      <formula>kvartal &lt; 4</formula>
    </cfRule>
  </conditionalFormatting>
  <conditionalFormatting sqref="J69:K71 J73:K73">
    <cfRule type="expression" dxfId="825" priority="39">
      <formula>kvartal &lt; 4</formula>
    </cfRule>
  </conditionalFormatting>
  <conditionalFormatting sqref="J80:K82 J84:K84">
    <cfRule type="expression" dxfId="824" priority="37">
      <formula>kvartal &lt; 4</formula>
    </cfRule>
  </conditionalFormatting>
  <conditionalFormatting sqref="J92:K92 J94:K94">
    <cfRule type="expression" dxfId="823" priority="34">
      <formula>kvartal &lt; 4</formula>
    </cfRule>
  </conditionalFormatting>
  <conditionalFormatting sqref="J101:K103 J105:K105">
    <cfRule type="expression" dxfId="822" priority="33">
      <formula>kvartal &lt; 4</formula>
    </cfRule>
  </conditionalFormatting>
  <conditionalFormatting sqref="J115:K115">
    <cfRule type="expression" dxfId="821" priority="32">
      <formula>kvartal &lt; 4</formula>
    </cfRule>
  </conditionalFormatting>
  <conditionalFormatting sqref="J123:K123">
    <cfRule type="expression" dxfId="820" priority="31">
      <formula>kvartal &lt; 4</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31"/>
  <dimension ref="A1:O144"/>
  <sheetViews>
    <sheetView showGridLines="0" zoomScaleNormal="100" workbookViewId="0">
      <selection activeCell="D16" sqref="D16"/>
    </sheetView>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231</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c r="G7" s="252"/>
      <c r="H7" s="288"/>
      <c r="I7" s="119"/>
      <c r="J7" s="253"/>
      <c r="K7" s="254"/>
      <c r="L7" s="348"/>
      <c r="M7" s="8"/>
    </row>
    <row r="8" spans="1:15" ht="15.6" x14ac:dyDescent="0.25">
      <c r="A8" s="18" t="s">
        <v>169</v>
      </c>
      <c r="B8" s="228"/>
      <c r="C8" s="229"/>
      <c r="D8" s="123"/>
      <c r="E8" s="23"/>
      <c r="F8" s="232"/>
      <c r="G8" s="233"/>
      <c r="H8" s="123"/>
      <c r="I8" s="132"/>
      <c r="J8" s="181"/>
      <c r="K8" s="234"/>
      <c r="L8" s="349"/>
      <c r="M8" s="23"/>
    </row>
    <row r="9" spans="1:15" ht="15.6" x14ac:dyDescent="0.25">
      <c r="A9" s="18" t="s">
        <v>170</v>
      </c>
      <c r="B9" s="228"/>
      <c r="C9" s="229"/>
      <c r="D9" s="123"/>
      <c r="E9" s="23"/>
      <c r="F9" s="232"/>
      <c r="G9" s="233"/>
      <c r="H9" s="123"/>
      <c r="I9" s="132"/>
      <c r="J9" s="181"/>
      <c r="K9" s="234"/>
      <c r="L9" s="349"/>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9397</v>
      </c>
      <c r="C47" s="256">
        <v>7737</v>
      </c>
      <c r="D47" s="348">
        <f t="shared" ref="D47:D48" si="0">IF(B47=0, "    ---- ", IF(ABS(ROUND(100/B47*C47-100,1))&lt;999,ROUND(100/B47*C47-100,1),IF(ROUND(100/B47*C47-100,1)&gt;999,999,-999)))</f>
        <v>-17.7</v>
      </c>
      <c r="E47" s="8">
        <f>IFERROR(100/'Skjema total MA'!C47*C47,0)</f>
        <v>0.10806349280252449</v>
      </c>
      <c r="F47" s="109"/>
      <c r="G47" s="27"/>
      <c r="H47" s="118"/>
      <c r="I47" s="118"/>
      <c r="J47" s="31"/>
      <c r="K47" s="31"/>
      <c r="L47" s="118"/>
      <c r="M47" s="118"/>
    </row>
    <row r="48" spans="1:13" ht="15.6" x14ac:dyDescent="0.25">
      <c r="A48" s="18" t="s">
        <v>189</v>
      </c>
      <c r="B48" s="228">
        <v>9397</v>
      </c>
      <c r="C48" s="229">
        <v>7737</v>
      </c>
      <c r="D48" s="206">
        <f t="shared" si="0"/>
        <v>-17.7</v>
      </c>
      <c r="E48" s="23">
        <f>IFERROR(100/'Skjema total MA'!C48*C48,0)</f>
        <v>0.18942576026246477</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819" priority="10">
      <formula>kvartal &lt; 4</formula>
    </cfRule>
  </conditionalFormatting>
  <conditionalFormatting sqref="A80:A85">
    <cfRule type="expression" dxfId="818" priority="9">
      <formula>kvartal &lt; 4</formula>
    </cfRule>
  </conditionalFormatting>
  <conditionalFormatting sqref="A90:A95">
    <cfRule type="expression" dxfId="817" priority="6">
      <formula>kvartal &lt; 4</formula>
    </cfRule>
  </conditionalFormatting>
  <conditionalFormatting sqref="A101:A106">
    <cfRule type="expression" dxfId="816" priority="5">
      <formula>kvartal &lt; 4</formula>
    </cfRule>
  </conditionalFormatting>
  <conditionalFormatting sqref="A50:C52">
    <cfRule type="expression" dxfId="815" priority="12">
      <formula>kvartal &lt; 4</formula>
    </cfRule>
  </conditionalFormatting>
  <conditionalFormatting sqref="A115:C115">
    <cfRule type="expression" dxfId="814" priority="4">
      <formula>kvartal &lt; 4</formula>
    </cfRule>
  </conditionalFormatting>
  <conditionalFormatting sqref="A123:C123">
    <cfRule type="expression" dxfId="813" priority="3">
      <formula>kvartal &lt; 4</formula>
    </cfRule>
  </conditionalFormatting>
  <conditionalFormatting sqref="B69:C69">
    <cfRule type="expression" dxfId="812" priority="99">
      <formula>kvartal &lt; 4</formula>
    </cfRule>
  </conditionalFormatting>
  <conditionalFormatting sqref="B72:C72">
    <cfRule type="expression" dxfId="811" priority="97">
      <formula>kvartal &lt; 4</formula>
    </cfRule>
  </conditionalFormatting>
  <conditionalFormatting sqref="B80:C80">
    <cfRule type="expression" dxfId="810" priority="95">
      <formula>kvartal &lt; 4</formula>
    </cfRule>
  </conditionalFormatting>
  <conditionalFormatting sqref="B83:C83">
    <cfRule type="expression" dxfId="809" priority="93">
      <formula>kvartal &lt; 4</formula>
    </cfRule>
  </conditionalFormatting>
  <conditionalFormatting sqref="B90:C90">
    <cfRule type="expression" dxfId="808" priority="83">
      <formula>kvartal &lt; 4</formula>
    </cfRule>
  </conditionalFormatting>
  <conditionalFormatting sqref="B93:C93">
    <cfRule type="expression" dxfId="807" priority="81">
      <formula>kvartal &lt; 4</formula>
    </cfRule>
  </conditionalFormatting>
  <conditionalFormatting sqref="B101:C101">
    <cfRule type="expression" dxfId="806" priority="79">
      <formula>kvartal &lt; 4</formula>
    </cfRule>
  </conditionalFormatting>
  <conditionalFormatting sqref="B104:C104">
    <cfRule type="expression" dxfId="805" priority="77">
      <formula>kvartal &lt; 4</formula>
    </cfRule>
  </conditionalFormatting>
  <conditionalFormatting sqref="F69:G74">
    <cfRule type="expression" dxfId="804" priority="54">
      <formula>kvartal &lt; 4</formula>
    </cfRule>
  </conditionalFormatting>
  <conditionalFormatting sqref="F80:G85">
    <cfRule type="expression" dxfId="803" priority="52">
      <formula>kvartal &lt; 4</formula>
    </cfRule>
  </conditionalFormatting>
  <conditionalFormatting sqref="F90:G95">
    <cfRule type="expression" dxfId="802" priority="44">
      <formula>kvartal &lt; 4</formula>
    </cfRule>
  </conditionalFormatting>
  <conditionalFormatting sqref="F101:G106">
    <cfRule type="expression" dxfId="801" priority="40">
      <formula>kvartal &lt; 4</formula>
    </cfRule>
  </conditionalFormatting>
  <conditionalFormatting sqref="F115:G115">
    <cfRule type="expression" dxfId="800" priority="57">
      <formula>kvartal &lt; 4</formula>
    </cfRule>
  </conditionalFormatting>
  <conditionalFormatting sqref="F123:G123">
    <cfRule type="expression" dxfId="799" priority="56">
      <formula>kvartal &lt; 4</formula>
    </cfRule>
  </conditionalFormatting>
  <conditionalFormatting sqref="J69:K71 J73:K73">
    <cfRule type="expression" dxfId="798" priority="39">
      <formula>kvartal &lt; 4</formula>
    </cfRule>
  </conditionalFormatting>
  <conditionalFormatting sqref="J80:K82 J84:K84">
    <cfRule type="expression" dxfId="797" priority="37">
      <formula>kvartal &lt; 4</formula>
    </cfRule>
  </conditionalFormatting>
  <conditionalFormatting sqref="J92:K92 J94:K94">
    <cfRule type="expression" dxfId="796" priority="34">
      <formula>kvartal &lt; 4</formula>
    </cfRule>
  </conditionalFormatting>
  <conditionalFormatting sqref="J101:K103 J105:K105">
    <cfRule type="expression" dxfId="795" priority="33">
      <formula>kvartal &lt; 4</formula>
    </cfRule>
  </conditionalFormatting>
  <conditionalFormatting sqref="J115:K115">
    <cfRule type="expression" dxfId="794" priority="32">
      <formula>kvartal &lt; 4</formula>
    </cfRule>
  </conditionalFormatting>
  <conditionalFormatting sqref="J123:K123">
    <cfRule type="expression" dxfId="793" priority="31">
      <formula>kvartal &lt; 4</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2"/>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74</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c r="G7" s="252"/>
      <c r="H7" s="288"/>
      <c r="I7" s="119"/>
      <c r="J7" s="253"/>
      <c r="K7" s="254"/>
      <c r="L7" s="348"/>
      <c r="M7" s="8"/>
    </row>
    <row r="8" spans="1:15" ht="15.6" x14ac:dyDescent="0.25">
      <c r="A8" s="18" t="s">
        <v>169</v>
      </c>
      <c r="B8" s="228"/>
      <c r="C8" s="229"/>
      <c r="D8" s="123"/>
      <c r="E8" s="23"/>
      <c r="F8" s="232"/>
      <c r="G8" s="233"/>
      <c r="H8" s="123"/>
      <c r="I8" s="132"/>
      <c r="J8" s="181"/>
      <c r="K8" s="234"/>
      <c r="L8" s="206"/>
      <c r="M8" s="23"/>
    </row>
    <row r="9" spans="1:15" ht="15.6" x14ac:dyDescent="0.25">
      <c r="A9" s="18" t="s">
        <v>170</v>
      </c>
      <c r="B9" s="228"/>
      <c r="C9" s="229"/>
      <c r="D9" s="123"/>
      <c r="E9" s="23"/>
      <c r="F9" s="232"/>
      <c r="G9" s="233"/>
      <c r="H9" s="123"/>
      <c r="I9" s="132"/>
      <c r="J9" s="181"/>
      <c r="K9" s="234"/>
      <c r="L9" s="206"/>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353"/>
      <c r="E38" s="21"/>
      <c r="F38" s="264"/>
      <c r="G38" s="265"/>
      <c r="H38" s="127"/>
      <c r="I38" s="355"/>
      <c r="J38" s="183"/>
      <c r="K38" s="183"/>
      <c r="L38" s="349"/>
      <c r="M38" s="21"/>
    </row>
    <row r="39" spans="1:13" ht="15.6" x14ac:dyDescent="0.25">
      <c r="A39" s="15" t="s">
        <v>187</v>
      </c>
      <c r="B39" s="223"/>
      <c r="C39" s="260"/>
      <c r="D39" s="354"/>
      <c r="E39" s="30"/>
      <c r="F39" s="267"/>
      <c r="G39" s="268"/>
      <c r="H39" s="125"/>
      <c r="I39" s="30"/>
      <c r="J39" s="183"/>
      <c r="K39" s="183"/>
      <c r="L39" s="350"/>
      <c r="M39" s="30"/>
    </row>
    <row r="40" spans="1:13" ht="15.6" x14ac:dyDescent="0.3">
      <c r="A40" s="35"/>
      <c r="B40" s="205"/>
      <c r="C40" s="205"/>
      <c r="D40" s="780"/>
      <c r="E40" s="779"/>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876213.18599999999</v>
      </c>
      <c r="C47" s="256">
        <v>904615</v>
      </c>
      <c r="D47" s="348">
        <f t="shared" ref="D47:D58" si="0">IF(B47=0, "    ---- ", IF(ABS(ROUND(100/B47*C47-100,1))&lt;999,ROUND(100/B47*C47-100,1),IF(ROUND(100/B47*C47-100,1)&gt;999,999,-999)))</f>
        <v>3.2</v>
      </c>
      <c r="E47" s="8">
        <f>IFERROR(100/'Skjema total MA'!C47*C47,0)</f>
        <v>12.634852855312872</v>
      </c>
      <c r="F47" s="109"/>
      <c r="G47" s="27"/>
      <c r="H47" s="118"/>
      <c r="I47" s="118"/>
      <c r="J47" s="31"/>
      <c r="K47" s="31"/>
      <c r="L47" s="118"/>
      <c r="M47" s="118"/>
    </row>
    <row r="48" spans="1:13" ht="15.6" x14ac:dyDescent="0.25">
      <c r="A48" s="18" t="s">
        <v>189</v>
      </c>
      <c r="B48" s="228">
        <v>243870.345</v>
      </c>
      <c r="C48" s="229">
        <v>290370</v>
      </c>
      <c r="D48" s="206">
        <f t="shared" si="0"/>
        <v>19.100000000000001</v>
      </c>
      <c r="E48" s="23">
        <f>IFERROR(100/'Skjema total MA'!C48*C48,0)</f>
        <v>7.1091583310600868</v>
      </c>
      <c r="F48" s="109"/>
      <c r="G48" s="27"/>
      <c r="H48" s="109"/>
      <c r="I48" s="109"/>
      <c r="J48" s="27"/>
      <c r="K48" s="27"/>
      <c r="L48" s="118"/>
      <c r="M48" s="118"/>
    </row>
    <row r="49" spans="1:13" ht="15.6" x14ac:dyDescent="0.25">
      <c r="A49" s="18" t="s">
        <v>190</v>
      </c>
      <c r="B49" s="36">
        <v>632342.84100000001</v>
      </c>
      <c r="C49" s="234">
        <v>614245</v>
      </c>
      <c r="D49" s="206">
        <f>IF(B49=0, "    ---- ", IF(ABS(ROUND(100/B49*C49-100,1))&lt;999,ROUND(100/B49*C49-100,1),IF(ROUND(100/B49*C49-100,1)&gt;999,999,-999)))</f>
        <v>-2.9</v>
      </c>
      <c r="E49" s="23">
        <f>IFERROR(100/'Skjema total MA'!C49*C49,0)</f>
        <v>19.973953265027273</v>
      </c>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v>619441.06799999997</v>
      </c>
      <c r="C51" s="238">
        <v>601408</v>
      </c>
      <c r="D51" s="206">
        <f>IF(B51=0, "    ---- ", IF(ABS(ROUND(100/B51*C51-100,1))&lt;999,ROUND(100/B51*C51-100,1),IF(ROUND(100/B51*C51-100,1)&gt;999,999,-999)))</f>
        <v>-2.9</v>
      </c>
      <c r="E51" s="23">
        <f>IFERROR(100/'Skjema total MA'!C51*C51,0)</f>
        <v>20.337593530837118</v>
      </c>
      <c r="F51" s="109"/>
      <c r="G51" s="27"/>
      <c r="H51" s="109"/>
      <c r="I51" s="109"/>
      <c r="J51" s="27"/>
      <c r="K51" s="27"/>
      <c r="L51" s="118"/>
      <c r="M51" s="118"/>
    </row>
    <row r="52" spans="1:13" x14ac:dyDescent="0.25">
      <c r="A52" s="243" t="s">
        <v>193</v>
      </c>
      <c r="B52" s="237">
        <v>12901.772999999999</v>
      </c>
      <c r="C52" s="238">
        <v>12837</v>
      </c>
      <c r="D52" s="206">
        <f>IF(B52=0, "    ---- ", IF(ABS(ROUND(100/B52*C52-100,1))&lt;999,ROUND(100/B52*C52-100,1),IF(ROUND(100/B52*C52-100,1)&gt;999,999,-999)))</f>
        <v>-0.5</v>
      </c>
      <c r="E52" s="23">
        <f>IFERROR(100/'Skjema total MA'!C52*C52,0)</f>
        <v>10.859759830921808</v>
      </c>
      <c r="F52" s="109"/>
      <c r="G52" s="27"/>
      <c r="H52" s="109"/>
      <c r="I52" s="109"/>
      <c r="J52" s="27"/>
      <c r="K52" s="27"/>
      <c r="L52" s="118"/>
      <c r="M52" s="118"/>
    </row>
    <row r="53" spans="1:13" ht="15.6" x14ac:dyDescent="0.25">
      <c r="A53" s="10" t="s">
        <v>194</v>
      </c>
      <c r="B53" s="255">
        <v>23480</v>
      </c>
      <c r="C53" s="256">
        <v>26761</v>
      </c>
      <c r="D53" s="349">
        <f t="shared" si="0"/>
        <v>14</v>
      </c>
      <c r="E53" s="8">
        <f>IFERROR(100/'Skjema total MA'!C53*C53,0)</f>
        <v>8.2224296784836302</v>
      </c>
      <c r="F53" s="109"/>
      <c r="G53" s="27"/>
      <c r="H53" s="109"/>
      <c r="I53" s="109"/>
      <c r="J53" s="27"/>
      <c r="K53" s="27"/>
      <c r="L53" s="118"/>
      <c r="M53" s="118"/>
    </row>
    <row r="54" spans="1:13" ht="15.6" x14ac:dyDescent="0.25">
      <c r="A54" s="18" t="s">
        <v>189</v>
      </c>
      <c r="B54" s="228">
        <v>23480</v>
      </c>
      <c r="C54" s="229">
        <v>26761</v>
      </c>
      <c r="D54" s="206">
        <f t="shared" si="0"/>
        <v>14</v>
      </c>
      <c r="E54" s="23">
        <f>IFERROR(100/'Skjema total MA'!C54*C54,0)</f>
        <v>8.4025844318849785</v>
      </c>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v>23595</v>
      </c>
      <c r="C56" s="256">
        <v>85594</v>
      </c>
      <c r="D56" s="349">
        <f t="shared" si="0"/>
        <v>262.8</v>
      </c>
      <c r="E56" s="8">
        <f>IFERROR(100/'Skjema total MA'!C56*C56,0)</f>
        <v>31.250870663371675</v>
      </c>
      <c r="F56" s="109"/>
      <c r="G56" s="27"/>
      <c r="H56" s="109"/>
      <c r="I56" s="109"/>
      <c r="J56" s="27"/>
      <c r="K56" s="27"/>
      <c r="L56" s="118"/>
      <c r="M56" s="118"/>
    </row>
    <row r="57" spans="1:13" ht="15.6" x14ac:dyDescent="0.25">
      <c r="A57" s="18" t="s">
        <v>189</v>
      </c>
      <c r="B57" s="228">
        <v>23595</v>
      </c>
      <c r="C57" s="229">
        <v>27728</v>
      </c>
      <c r="D57" s="206">
        <f t="shared" si="0"/>
        <v>17.5</v>
      </c>
      <c r="E57" s="23">
        <f>IFERROR(100/'Skjema total MA'!C57*C57,0)</f>
        <v>12.835422566686509</v>
      </c>
      <c r="F57" s="109"/>
      <c r="G57" s="27"/>
      <c r="H57" s="109"/>
      <c r="I57" s="109"/>
      <c r="J57" s="27"/>
      <c r="K57" s="27"/>
      <c r="L57" s="118"/>
      <c r="M57" s="118"/>
    </row>
    <row r="58" spans="1:13" ht="15.6" x14ac:dyDescent="0.25">
      <c r="A58" s="7" t="s">
        <v>190</v>
      </c>
      <c r="B58" s="230">
        <v>0</v>
      </c>
      <c r="C58" s="231">
        <v>57866</v>
      </c>
      <c r="D58" s="207" t="str">
        <f t="shared" si="0"/>
        <v xml:space="preserve">    ---- </v>
      </c>
      <c r="E58" s="19">
        <f>IFERROR(100/'Skjema total MA'!C58*C58,0)</f>
        <v>100</v>
      </c>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792" priority="10">
      <formula>kvartal &lt; 4</formula>
    </cfRule>
  </conditionalFormatting>
  <conditionalFormatting sqref="A80:A85">
    <cfRule type="expression" dxfId="791" priority="9">
      <formula>kvartal &lt; 4</formula>
    </cfRule>
  </conditionalFormatting>
  <conditionalFormatting sqref="A90:A95">
    <cfRule type="expression" dxfId="790" priority="6">
      <formula>kvartal &lt; 4</formula>
    </cfRule>
  </conditionalFormatting>
  <conditionalFormatting sqref="A101:A106">
    <cfRule type="expression" dxfId="789" priority="5">
      <formula>kvartal &lt; 4</formula>
    </cfRule>
  </conditionalFormatting>
  <conditionalFormatting sqref="A50:C52">
    <cfRule type="expression" dxfId="788" priority="12">
      <formula>kvartal &lt; 4</formula>
    </cfRule>
  </conditionalFormatting>
  <conditionalFormatting sqref="A115:C115">
    <cfRule type="expression" dxfId="787" priority="4">
      <formula>kvartal &lt; 4</formula>
    </cfRule>
  </conditionalFormatting>
  <conditionalFormatting sqref="A123:C123">
    <cfRule type="expression" dxfId="786" priority="3">
      <formula>kvartal &lt; 4</formula>
    </cfRule>
  </conditionalFormatting>
  <conditionalFormatting sqref="B69:C69">
    <cfRule type="expression" dxfId="785" priority="84">
      <formula>kvartal &lt; 4</formula>
    </cfRule>
  </conditionalFormatting>
  <conditionalFormatting sqref="B72:C72">
    <cfRule type="expression" dxfId="784" priority="82">
      <formula>kvartal &lt; 4</formula>
    </cfRule>
  </conditionalFormatting>
  <conditionalFormatting sqref="B80:C80">
    <cfRule type="expression" dxfId="783" priority="80">
      <formula>kvartal &lt; 4</formula>
    </cfRule>
  </conditionalFormatting>
  <conditionalFormatting sqref="B83:C83">
    <cfRule type="expression" dxfId="782" priority="78">
      <formula>kvartal &lt; 4</formula>
    </cfRule>
  </conditionalFormatting>
  <conditionalFormatting sqref="B90:C90">
    <cfRule type="expression" dxfId="781" priority="68">
      <formula>kvartal &lt; 4</formula>
    </cfRule>
  </conditionalFormatting>
  <conditionalFormatting sqref="B93:C93">
    <cfRule type="expression" dxfId="780" priority="66">
      <formula>kvartal &lt; 4</formula>
    </cfRule>
  </conditionalFormatting>
  <conditionalFormatting sqref="B101:C101">
    <cfRule type="expression" dxfId="779" priority="64">
      <formula>kvartal &lt; 4</formula>
    </cfRule>
  </conditionalFormatting>
  <conditionalFormatting sqref="B104:C104">
    <cfRule type="expression" dxfId="778" priority="62">
      <formula>kvartal &lt; 4</formula>
    </cfRule>
  </conditionalFormatting>
  <conditionalFormatting sqref="F69:G74">
    <cfRule type="expression" dxfId="777" priority="39">
      <formula>kvartal &lt; 4</formula>
    </cfRule>
  </conditionalFormatting>
  <conditionalFormatting sqref="F80:G85">
    <cfRule type="expression" dxfId="776" priority="37">
      <formula>kvartal &lt; 4</formula>
    </cfRule>
  </conditionalFormatting>
  <conditionalFormatting sqref="F90:G95">
    <cfRule type="expression" dxfId="775" priority="29">
      <formula>kvartal &lt; 4</formula>
    </cfRule>
  </conditionalFormatting>
  <conditionalFormatting sqref="F101:G106">
    <cfRule type="expression" dxfId="774" priority="25">
      <formula>kvartal &lt; 4</formula>
    </cfRule>
  </conditionalFormatting>
  <conditionalFormatting sqref="F115:G115">
    <cfRule type="expression" dxfId="773" priority="42">
      <formula>kvartal &lt; 4</formula>
    </cfRule>
  </conditionalFormatting>
  <conditionalFormatting sqref="F123:G123">
    <cfRule type="expression" dxfId="772" priority="41">
      <formula>kvartal &lt; 4</formula>
    </cfRule>
  </conditionalFormatting>
  <conditionalFormatting sqref="J69:K71 J73:K73">
    <cfRule type="expression" dxfId="771" priority="24">
      <formula>kvartal &lt; 4</formula>
    </cfRule>
  </conditionalFormatting>
  <conditionalFormatting sqref="J80:K82 J84:K84">
    <cfRule type="expression" dxfId="770" priority="22">
      <formula>kvartal &lt; 4</formula>
    </cfRule>
  </conditionalFormatting>
  <conditionalFormatting sqref="J92:K92 J94:K94">
    <cfRule type="expression" dxfId="769" priority="19">
      <formula>kvartal &lt; 4</formula>
    </cfRule>
  </conditionalFormatting>
  <conditionalFormatting sqref="J101:K103 J105:K105">
    <cfRule type="expression" dxfId="768" priority="18">
      <formula>kvartal &lt; 4</formula>
    </cfRule>
  </conditionalFormatting>
  <conditionalFormatting sqref="J115:K115">
    <cfRule type="expression" dxfId="767" priority="17">
      <formula>kvartal &lt; 4</formula>
    </cfRule>
  </conditionalFormatting>
  <conditionalFormatting sqref="J123:K123">
    <cfRule type="expression" dxfId="766" priority="16">
      <formula>kvartal &lt; 4</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DCFD3-E4B4-485B-89B7-DA0A477AA596}">
  <sheetPr codeName="Ark28"/>
  <dimension ref="A1:O144"/>
  <sheetViews>
    <sheetView showGridLines="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232</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1087</v>
      </c>
      <c r="C7" s="252">
        <v>976</v>
      </c>
      <c r="D7" s="288">
        <f>IF(B7=0, "    ---- ", IF(ABS(ROUND(100/B7*C7-100,1))&lt;999,ROUND(100/B7*C7-100,1),IF(ROUND(100/B7*C7-100,1)&gt;999,999,-999)))</f>
        <v>-10.199999999999999</v>
      </c>
      <c r="E7" s="8">
        <f>IFERROR(100/'Skjema total MA'!C7*C7,0)</f>
        <v>1.6768214135849877E-2</v>
      </c>
      <c r="F7" s="251"/>
      <c r="G7" s="252"/>
      <c r="H7" s="288"/>
      <c r="I7" s="119"/>
      <c r="J7" s="253">
        <f t="shared" ref="J7:K8" si="0">SUM(B7,F7)</f>
        <v>1087</v>
      </c>
      <c r="K7" s="254">
        <f t="shared" si="0"/>
        <v>976</v>
      </c>
      <c r="L7" s="348">
        <f>IF(J7=0, "    ---- ", IF(ABS(ROUND(100/J7*K7-100,1))&lt;999,ROUND(100/J7*K7-100,1),IF(ROUND(100/J7*K7-100,1)&gt;999,999,-999)))</f>
        <v>-10.199999999999999</v>
      </c>
      <c r="M7" s="8">
        <f>IFERROR(100/'Skjema total MA'!I7*K7,0)</f>
        <v>5.4737043298757095E-3</v>
      </c>
    </row>
    <row r="8" spans="1:15" ht="15.6" x14ac:dyDescent="0.25">
      <c r="A8" s="18" t="s">
        <v>169</v>
      </c>
      <c r="B8" s="228">
        <v>1087</v>
      </c>
      <c r="C8" s="229">
        <v>976</v>
      </c>
      <c r="D8" s="123">
        <f t="shared" ref="D8" si="1">IF(B8=0, "    ---- ", IF(ABS(ROUND(100/B8*C8-100,1))&lt;999,ROUND(100/B8*C8-100,1),IF(ROUND(100/B8*C8-100,1)&gt;999,999,-999)))</f>
        <v>-10.199999999999999</v>
      </c>
      <c r="E8" s="23">
        <f>IFERROR(100/'Skjema total MA'!C8*C8,0)</f>
        <v>2.481087010978927E-2</v>
      </c>
      <c r="F8" s="232"/>
      <c r="G8" s="233"/>
      <c r="H8" s="123"/>
      <c r="I8" s="132"/>
      <c r="J8" s="181">
        <f t="shared" si="0"/>
        <v>1087</v>
      </c>
      <c r="K8" s="234">
        <f t="shared" si="0"/>
        <v>976</v>
      </c>
      <c r="L8" s="123">
        <f t="shared" ref="L8" si="2">IF(J8=0, "    ---- ", IF(ABS(ROUND(100/J8*K8-100,1))&lt;999,ROUND(100/J8*K8-100,1),IF(ROUND(100/J8*K8-100,1)&gt;999,999,-999)))</f>
        <v>-10.199999999999999</v>
      </c>
      <c r="M8" s="23">
        <f>IFERROR(100/'Skjema total MA'!I8*K8,0)</f>
        <v>2.481087010978927E-2</v>
      </c>
    </row>
    <row r="9" spans="1:15" ht="15.6" x14ac:dyDescent="0.25">
      <c r="A9" s="18" t="s">
        <v>170</v>
      </c>
      <c r="B9" s="228"/>
      <c r="C9" s="229"/>
      <c r="D9" s="123"/>
      <c r="E9" s="23"/>
      <c r="F9" s="232"/>
      <c r="G9" s="233"/>
      <c r="H9" s="123"/>
      <c r="I9" s="132"/>
      <c r="J9" s="181"/>
      <c r="K9" s="234"/>
      <c r="L9" s="123"/>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8"/>
      <c r="J22" s="261"/>
      <c r="K22" s="261"/>
      <c r="L22" s="348"/>
      <c r="M22" s="21"/>
    </row>
    <row r="23" spans="1:13" ht="15.6" x14ac:dyDescent="0.25">
      <c r="A23" s="389" t="s">
        <v>177</v>
      </c>
      <c r="B23" s="228"/>
      <c r="C23" s="228"/>
      <c r="D23" s="123"/>
      <c r="E23" s="8"/>
      <c r="F23" s="237"/>
      <c r="G23" s="237"/>
      <c r="H23" s="123"/>
      <c r="I23" s="341"/>
      <c r="J23" s="237"/>
      <c r="K23" s="237"/>
      <c r="L23" s="123"/>
      <c r="M23" s="20"/>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c r="C28" s="234"/>
      <c r="D28" s="123"/>
      <c r="E28" s="8"/>
      <c r="F28" s="181"/>
      <c r="G28" s="234"/>
      <c r="H28" s="123"/>
      <c r="I28" s="23"/>
      <c r="J28" s="36"/>
      <c r="K28" s="36"/>
      <c r="L28" s="206"/>
      <c r="M28" s="20"/>
    </row>
    <row r="29" spans="1:13" ht="15.6" x14ac:dyDescent="0.25">
      <c r="A29" s="10" t="s">
        <v>171</v>
      </c>
      <c r="B29" s="183"/>
      <c r="C29" s="183"/>
      <c r="D29" s="127"/>
      <c r="E29" s="8"/>
      <c r="F29" s="253"/>
      <c r="G29" s="253"/>
      <c r="H29" s="127"/>
      <c r="I29" s="8"/>
      <c r="J29" s="183"/>
      <c r="K29" s="183"/>
      <c r="L29" s="349"/>
      <c r="M29" s="21"/>
    </row>
    <row r="30" spans="1:13" ht="15.6" x14ac:dyDescent="0.25">
      <c r="A30" s="389" t="s">
        <v>177</v>
      </c>
      <c r="B30" s="228"/>
      <c r="C30" s="228"/>
      <c r="D30" s="123"/>
      <c r="E30" s="8"/>
      <c r="F30" s="237"/>
      <c r="G30" s="237"/>
      <c r="H30" s="123"/>
      <c r="I30" s="341"/>
      <c r="J30" s="237"/>
      <c r="K30" s="237"/>
      <c r="L30" s="123"/>
      <c r="M30" s="20"/>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c r="C36" s="254"/>
      <c r="D36" s="127"/>
      <c r="E36" s="8"/>
      <c r="F36" s="264"/>
      <c r="G36" s="265"/>
      <c r="H36" s="127"/>
      <c r="I36" s="355"/>
      <c r="J36" s="183"/>
      <c r="K36" s="183"/>
      <c r="L36" s="349"/>
      <c r="M36" s="21"/>
    </row>
    <row r="37" spans="1:13" ht="15.6" x14ac:dyDescent="0.25">
      <c r="A37" s="9" t="s">
        <v>185</v>
      </c>
      <c r="B37" s="183"/>
      <c r="C37" s="254"/>
      <c r="D37" s="127"/>
      <c r="E37" s="8"/>
      <c r="F37" s="264"/>
      <c r="G37" s="266"/>
      <c r="H37" s="127"/>
      <c r="I37" s="355"/>
      <c r="J37" s="183"/>
      <c r="K37" s="183"/>
      <c r="L37" s="349"/>
      <c r="M37" s="21"/>
    </row>
    <row r="38" spans="1:13" ht="15.6" x14ac:dyDescent="0.25">
      <c r="A38" s="9" t="s">
        <v>186</v>
      </c>
      <c r="B38" s="183"/>
      <c r="C38" s="254"/>
      <c r="D38" s="353"/>
      <c r="E38" s="21"/>
      <c r="F38" s="264"/>
      <c r="G38" s="265"/>
      <c r="H38" s="127"/>
      <c r="I38" s="355"/>
      <c r="J38" s="183"/>
      <c r="K38" s="183"/>
      <c r="L38" s="349"/>
      <c r="M38" s="21"/>
    </row>
    <row r="39" spans="1:13" ht="15.6" x14ac:dyDescent="0.25">
      <c r="A39" s="15" t="s">
        <v>187</v>
      </c>
      <c r="B39" s="223"/>
      <c r="C39" s="260"/>
      <c r="D39" s="354"/>
      <c r="E39" s="30"/>
      <c r="F39" s="267"/>
      <c r="G39" s="268"/>
      <c r="H39" s="125"/>
      <c r="I39" s="30"/>
      <c r="J39" s="183"/>
      <c r="K39" s="183"/>
      <c r="L39" s="350"/>
      <c r="M39" s="30"/>
    </row>
    <row r="40" spans="1:13" ht="15.6" x14ac:dyDescent="0.3">
      <c r="A40" s="35"/>
      <c r="B40" s="205"/>
      <c r="C40" s="205"/>
      <c r="D40" s="780"/>
      <c r="E40" s="779"/>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618</v>
      </c>
      <c r="C47" s="256">
        <v>653</v>
      </c>
      <c r="D47" s="348">
        <f t="shared" ref="D47:D48" si="3">IF(B47=0, "    ---- ", IF(ABS(ROUND(100/B47*C47-100,1))&lt;999,ROUND(100/B47*C47-100,1),IF(ROUND(100/B47*C47-100,1)&gt;999,999,-999)))</f>
        <v>5.7</v>
      </c>
      <c r="E47" s="8">
        <f>IFERROR(100/'Skjema total MA'!C47*C47,0)</f>
        <v>9.120519684638553E-3</v>
      </c>
      <c r="F47" s="109"/>
      <c r="G47" s="27"/>
      <c r="H47" s="118"/>
      <c r="I47" s="118"/>
      <c r="J47" s="31"/>
      <c r="K47" s="31"/>
      <c r="L47" s="118"/>
      <c r="M47" s="118"/>
    </row>
    <row r="48" spans="1:13" ht="15.6" x14ac:dyDescent="0.25">
      <c r="A48" s="18" t="s">
        <v>189</v>
      </c>
      <c r="B48" s="228">
        <v>618</v>
      </c>
      <c r="C48" s="229">
        <v>653</v>
      </c>
      <c r="D48" s="206">
        <f t="shared" si="3"/>
        <v>5.7</v>
      </c>
      <c r="E48" s="23">
        <f>IFERROR(100/'Skjema total MA'!C48*C48,0)</f>
        <v>1.5987465613466395E-2</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69:A74">
    <cfRule type="expression" dxfId="765" priority="6">
      <formula>kvartal &lt; 4</formula>
    </cfRule>
  </conditionalFormatting>
  <conditionalFormatting sqref="A80:A85">
    <cfRule type="expression" dxfId="764" priority="5">
      <formula>kvartal &lt; 4</formula>
    </cfRule>
  </conditionalFormatting>
  <conditionalFormatting sqref="A90:A95">
    <cfRule type="expression" dxfId="763" priority="4">
      <formula>kvartal &lt; 4</formula>
    </cfRule>
  </conditionalFormatting>
  <conditionalFormatting sqref="A101:A106">
    <cfRule type="expression" dxfId="762" priority="3">
      <formula>kvartal &lt; 4</formula>
    </cfRule>
  </conditionalFormatting>
  <conditionalFormatting sqref="A50:C52">
    <cfRule type="expression" dxfId="761" priority="7">
      <formula>kvartal &lt; 4</formula>
    </cfRule>
  </conditionalFormatting>
  <conditionalFormatting sqref="A115:C115">
    <cfRule type="expression" dxfId="760" priority="2">
      <formula>kvartal &lt; 4</formula>
    </cfRule>
  </conditionalFormatting>
  <conditionalFormatting sqref="A123:C123">
    <cfRule type="expression" dxfId="759" priority="1">
      <formula>kvartal &lt; 4</formula>
    </cfRule>
  </conditionalFormatting>
  <conditionalFormatting sqref="B69:C69">
    <cfRule type="expression" dxfId="758" priority="57">
      <formula>kvartal &lt; 4</formula>
    </cfRule>
  </conditionalFormatting>
  <conditionalFormatting sqref="B72:C72">
    <cfRule type="expression" dxfId="757" priority="55">
      <formula>kvartal &lt; 4</formula>
    </cfRule>
  </conditionalFormatting>
  <conditionalFormatting sqref="B80:C80">
    <cfRule type="expression" dxfId="756" priority="53">
      <formula>kvartal &lt; 4</formula>
    </cfRule>
  </conditionalFormatting>
  <conditionalFormatting sqref="B83:C83">
    <cfRule type="expression" dxfId="755" priority="51">
      <formula>kvartal &lt; 4</formula>
    </cfRule>
  </conditionalFormatting>
  <conditionalFormatting sqref="B90:C90">
    <cfRule type="expression" dxfId="754" priority="49">
      <formula>kvartal &lt; 4</formula>
    </cfRule>
  </conditionalFormatting>
  <conditionalFormatting sqref="B93:C93">
    <cfRule type="expression" dxfId="753" priority="47">
      <formula>kvartal &lt; 4</formula>
    </cfRule>
  </conditionalFormatting>
  <conditionalFormatting sqref="B101:C101">
    <cfRule type="expression" dxfId="752" priority="45">
      <formula>kvartal &lt; 4</formula>
    </cfRule>
  </conditionalFormatting>
  <conditionalFormatting sqref="B104:C104">
    <cfRule type="expression" dxfId="751" priority="43">
      <formula>kvartal &lt; 4</formula>
    </cfRule>
  </conditionalFormatting>
  <conditionalFormatting sqref="F69:G74">
    <cfRule type="expression" dxfId="750" priority="24">
      <formula>kvartal &lt; 4</formula>
    </cfRule>
  </conditionalFormatting>
  <conditionalFormatting sqref="F80:G85">
    <cfRule type="expression" dxfId="749" priority="22">
      <formula>kvartal &lt; 4</formula>
    </cfRule>
  </conditionalFormatting>
  <conditionalFormatting sqref="F90:G95">
    <cfRule type="expression" dxfId="748" priority="19">
      <formula>kvartal &lt; 4</formula>
    </cfRule>
  </conditionalFormatting>
  <conditionalFormatting sqref="F101:G106">
    <cfRule type="expression" dxfId="747" priority="15">
      <formula>kvartal &lt; 4</formula>
    </cfRule>
  </conditionalFormatting>
  <conditionalFormatting sqref="F115:G115">
    <cfRule type="expression" dxfId="746" priority="27">
      <formula>kvartal &lt; 4</formula>
    </cfRule>
  </conditionalFormatting>
  <conditionalFormatting sqref="F123:G123">
    <cfRule type="expression" dxfId="745" priority="26">
      <formula>kvartal &lt; 4</formula>
    </cfRule>
  </conditionalFormatting>
  <conditionalFormatting sqref="J69:K71 J73:K73">
    <cfRule type="expression" dxfId="744" priority="14">
      <formula>kvartal &lt; 4</formula>
    </cfRule>
  </conditionalFormatting>
  <conditionalFormatting sqref="J80:K82 J84:K84">
    <cfRule type="expression" dxfId="743" priority="12">
      <formula>kvartal &lt; 4</formula>
    </cfRule>
  </conditionalFormatting>
  <conditionalFormatting sqref="J92:K92 J94:K94">
    <cfRule type="expression" dxfId="742" priority="11">
      <formula>kvartal &lt; 4</formula>
    </cfRule>
  </conditionalFormatting>
  <conditionalFormatting sqref="J101:K103 J105:K105">
    <cfRule type="expression" dxfId="741" priority="10">
      <formula>kvartal &lt; 4</formula>
    </cfRule>
  </conditionalFormatting>
  <conditionalFormatting sqref="J115:K115">
    <cfRule type="expression" dxfId="740" priority="9">
      <formula>kvartal &lt; 4</formula>
    </cfRule>
  </conditionalFormatting>
  <conditionalFormatting sqref="J123:K123">
    <cfRule type="expression" dxfId="739" priority="8">
      <formula>kvartal &lt; 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Q176"/>
  <sheetViews>
    <sheetView showGridLines="0" showZeros="0" zoomScale="90" zoomScaleNormal="90" workbookViewId="0">
      <selection activeCell="A2" sqref="A2"/>
    </sheetView>
  </sheetViews>
  <sheetFormatPr baseColWidth="10" defaultColWidth="11.44140625" defaultRowHeight="18" x14ac:dyDescent="0.35"/>
  <cols>
    <col min="10" max="11" width="16.6640625" customWidth="1"/>
    <col min="12" max="12" width="24.44140625" style="48" customWidth="1"/>
    <col min="13" max="14" width="15.6640625" style="48" bestFit="1" customWidth="1"/>
    <col min="15" max="15" width="22.6640625" customWidth="1"/>
    <col min="16" max="16" width="13.44140625" customWidth="1"/>
    <col min="17" max="17" width="13.6640625" customWidth="1"/>
  </cols>
  <sheetData>
    <row r="1" spans="1:15" x14ac:dyDescent="0.35">
      <c r="A1" s="47" t="s">
        <v>44</v>
      </c>
    </row>
    <row r="2" spans="1:15" x14ac:dyDescent="0.35">
      <c r="A2" s="49"/>
      <c r="B2" s="48"/>
      <c r="C2" s="48"/>
      <c r="D2" s="48"/>
      <c r="E2" s="48"/>
      <c r="F2" s="48"/>
      <c r="G2" s="48"/>
      <c r="H2" s="48"/>
      <c r="I2" s="48"/>
      <c r="J2" s="48"/>
      <c r="K2" s="48"/>
      <c r="O2" s="48"/>
    </row>
    <row r="3" spans="1:15" x14ac:dyDescent="0.35">
      <c r="A3" s="49" t="s">
        <v>1</v>
      </c>
      <c r="B3" s="48"/>
      <c r="C3" s="48"/>
      <c r="D3" s="48"/>
      <c r="E3" s="48"/>
      <c r="F3" s="48"/>
      <c r="G3" s="48"/>
      <c r="H3" s="48"/>
      <c r="I3" s="48"/>
      <c r="J3" s="48"/>
      <c r="K3" s="48"/>
      <c r="O3" s="48"/>
    </row>
    <row r="4" spans="1:15" x14ac:dyDescent="0.35">
      <c r="A4" s="48"/>
      <c r="B4" s="48"/>
      <c r="C4" s="48"/>
      <c r="D4" s="48"/>
      <c r="E4" s="48"/>
      <c r="F4" s="48"/>
      <c r="G4" s="48"/>
      <c r="H4" s="48"/>
      <c r="I4" s="48"/>
      <c r="J4" s="48"/>
      <c r="K4" s="48"/>
      <c r="L4" s="50"/>
      <c r="O4" s="48"/>
    </row>
    <row r="5" spans="1:15" x14ac:dyDescent="0.35">
      <c r="A5" s="49" t="s">
        <v>489</v>
      </c>
      <c r="B5" s="48"/>
      <c r="C5" s="48"/>
      <c r="D5" s="48"/>
      <c r="E5" s="48"/>
      <c r="F5" s="48"/>
      <c r="G5" s="48"/>
      <c r="H5" s="48"/>
      <c r="I5" s="48"/>
      <c r="J5" s="48"/>
      <c r="K5" s="48"/>
      <c r="L5" s="48" t="s">
        <v>45</v>
      </c>
      <c r="O5" s="48"/>
    </row>
    <row r="6" spans="1:15" x14ac:dyDescent="0.35">
      <c r="A6" s="48"/>
      <c r="B6" s="48"/>
      <c r="C6" s="48"/>
      <c r="D6" s="48"/>
      <c r="E6" s="48"/>
      <c r="F6" s="48"/>
      <c r="G6" s="48"/>
      <c r="H6" s="48"/>
      <c r="I6" s="48"/>
      <c r="J6" s="48"/>
      <c r="K6" s="48"/>
      <c r="L6" s="48" t="s">
        <v>46</v>
      </c>
      <c r="O6" s="48"/>
    </row>
    <row r="7" spans="1:15" x14ac:dyDescent="0.35">
      <c r="A7" s="48"/>
      <c r="B7" s="48"/>
      <c r="C7" s="48"/>
      <c r="D7" s="48"/>
      <c r="E7" s="48"/>
      <c r="F7" s="48"/>
      <c r="G7" s="48"/>
      <c r="H7" s="48"/>
      <c r="I7" s="48"/>
      <c r="J7" s="48"/>
      <c r="K7" s="48"/>
      <c r="M7" s="48">
        <v>2024</v>
      </c>
      <c r="N7" s="48">
        <v>2025</v>
      </c>
      <c r="O7" s="48"/>
    </row>
    <row r="8" spans="1:15" x14ac:dyDescent="0.35">
      <c r="A8" s="48"/>
      <c r="B8" s="48"/>
      <c r="C8" s="48"/>
      <c r="D8" s="48"/>
      <c r="E8" s="48"/>
      <c r="F8" s="48"/>
      <c r="G8" s="48"/>
      <c r="H8" s="48"/>
      <c r="I8" s="48"/>
      <c r="J8" s="48"/>
      <c r="K8" s="48"/>
      <c r="L8" s="48" t="s">
        <v>47</v>
      </c>
      <c r="M8" s="51">
        <f>'Tabel 1.1'!B9</f>
        <v>3461953</v>
      </c>
      <c r="N8" s="51">
        <f>'Tabel 1.1'!C9</f>
        <v>3677032.7709999997</v>
      </c>
      <c r="O8" s="48"/>
    </row>
    <row r="9" spans="1:15" x14ac:dyDescent="0.35">
      <c r="A9" s="48"/>
      <c r="B9" s="48"/>
      <c r="C9" s="48"/>
      <c r="D9" s="48"/>
      <c r="E9" s="48"/>
      <c r="F9" s="48"/>
      <c r="G9" s="48"/>
      <c r="H9" s="48"/>
      <c r="I9" s="48"/>
      <c r="J9" s="48"/>
      <c r="K9" s="48"/>
      <c r="L9" s="48" t="s">
        <v>48</v>
      </c>
      <c r="M9" s="51">
        <f>'Tabel 1.1'!B10</f>
        <v>57607</v>
      </c>
      <c r="N9" s="51">
        <f>'Tabel 1.1'!C10</f>
        <v>85983</v>
      </c>
      <c r="O9" s="48"/>
    </row>
    <row r="10" spans="1:15" x14ac:dyDescent="0.35">
      <c r="A10" s="48"/>
      <c r="B10" s="48"/>
      <c r="C10" s="48"/>
      <c r="D10" s="48"/>
      <c r="E10" s="48"/>
      <c r="F10" s="48"/>
      <c r="G10" s="48"/>
      <c r="H10" s="48"/>
      <c r="I10" s="48"/>
      <c r="J10" s="48"/>
      <c r="K10" s="48"/>
      <c r="L10" s="48" t="s">
        <v>49</v>
      </c>
      <c r="M10" s="51">
        <f>'Tabel 1.1'!B11</f>
        <v>4225621.7292200001</v>
      </c>
      <c r="N10" s="51">
        <f>'Tabel 1.1'!C11</f>
        <v>4533249.1602600003</v>
      </c>
      <c r="O10" s="48"/>
    </row>
    <row r="11" spans="1:15" x14ac:dyDescent="0.35">
      <c r="A11" s="48"/>
      <c r="B11" s="48"/>
      <c r="C11" s="48"/>
      <c r="D11" s="48"/>
      <c r="E11" s="48"/>
      <c r="F11" s="48"/>
      <c r="G11" s="48"/>
      <c r="H11" s="48"/>
      <c r="I11" s="48"/>
      <c r="J11" s="48"/>
      <c r="K11" s="48"/>
      <c r="L11" s="48" t="s">
        <v>50</v>
      </c>
      <c r="M11" s="51">
        <f>'Tabel 1.1'!B12</f>
        <v>630989</v>
      </c>
      <c r="N11" s="51">
        <f>'Tabel 1.1'!C12</f>
        <v>713447</v>
      </c>
      <c r="O11" s="48"/>
    </row>
    <row r="12" spans="1:15" x14ac:dyDescent="0.35">
      <c r="A12" s="48"/>
      <c r="B12" s="48"/>
      <c r="C12" s="48"/>
      <c r="D12" s="48"/>
      <c r="E12" s="48"/>
      <c r="F12" s="48"/>
      <c r="G12" s="48"/>
      <c r="H12" s="48"/>
      <c r="I12" s="48"/>
      <c r="J12" s="48"/>
      <c r="K12" s="48"/>
      <c r="L12" s="48" t="s">
        <v>51</v>
      </c>
      <c r="M12" s="51">
        <f>'Tabel 1.1'!B13</f>
        <v>2550.2539999999999</v>
      </c>
      <c r="N12" s="51">
        <f>'Tabel 1.1'!C13</f>
        <v>294.02600000000001</v>
      </c>
      <c r="O12" s="48"/>
    </row>
    <row r="13" spans="1:15" x14ac:dyDescent="0.35">
      <c r="A13" s="48"/>
      <c r="B13" s="48"/>
      <c r="C13" s="48"/>
      <c r="D13" s="48"/>
      <c r="E13" s="48"/>
      <c r="F13" s="48"/>
      <c r="G13" s="48"/>
      <c r="H13" s="48"/>
      <c r="I13" s="48"/>
      <c r="J13" s="48"/>
      <c r="K13" s="48"/>
      <c r="L13" s="48" t="s">
        <v>52</v>
      </c>
      <c r="M13" s="51">
        <f>'Tabel 1.1'!B14</f>
        <v>2307390.4688399998</v>
      </c>
      <c r="N13" s="51">
        <f>'Tabel 1.1'!C14</f>
        <v>2360593.8763300003</v>
      </c>
      <c r="O13" s="48"/>
    </row>
    <row r="14" spans="1:15" x14ac:dyDescent="0.35">
      <c r="A14" s="48"/>
      <c r="B14" s="48"/>
      <c r="C14" s="48"/>
      <c r="D14" s="48"/>
      <c r="E14" s="48"/>
      <c r="F14" s="48"/>
      <c r="G14" s="48"/>
      <c r="H14" s="48"/>
      <c r="I14" s="48"/>
      <c r="J14" s="48"/>
      <c r="K14" s="48"/>
      <c r="L14" s="48" t="s">
        <v>53</v>
      </c>
      <c r="M14" s="51">
        <f>'Tabel 1.1'!B15</f>
        <v>1077042</v>
      </c>
      <c r="N14" s="51">
        <f>'Tabel 1.1'!C15</f>
        <v>1219230</v>
      </c>
      <c r="O14" s="48"/>
    </row>
    <row r="15" spans="1:15" x14ac:dyDescent="0.35">
      <c r="A15" s="48"/>
      <c r="B15" s="48"/>
      <c r="C15" s="48"/>
      <c r="D15" s="48"/>
      <c r="E15" s="48"/>
      <c r="F15" s="48"/>
      <c r="G15" s="48"/>
      <c r="H15" s="48"/>
      <c r="I15" s="48"/>
      <c r="J15" s="48"/>
      <c r="K15" s="48"/>
      <c r="L15" s="48" t="s">
        <v>54</v>
      </c>
      <c r="M15" s="51">
        <f>'Tabel 1.1'!B16</f>
        <v>733957.59109304007</v>
      </c>
      <c r="N15" s="51">
        <f>'Tabel 1.1'!C16</f>
        <v>818211.84543254902</v>
      </c>
      <c r="O15" s="48"/>
    </row>
    <row r="16" spans="1:15" x14ac:dyDescent="0.35">
      <c r="A16" s="48"/>
      <c r="B16" s="48"/>
      <c r="C16" s="48"/>
      <c r="D16" s="48"/>
      <c r="E16" s="48"/>
      <c r="F16" s="48"/>
      <c r="G16" s="48"/>
      <c r="H16" s="48"/>
      <c r="I16" s="48"/>
      <c r="J16" s="48"/>
      <c r="K16" s="48"/>
      <c r="L16" s="48" t="s">
        <v>55</v>
      </c>
      <c r="M16" s="51">
        <f>'Tabel 1.1'!B17</f>
        <v>60669623.227650002</v>
      </c>
      <c r="N16" s="51">
        <f>'Tabel 1.1'!C17</f>
        <v>64854285.533829994</v>
      </c>
      <c r="O16" s="48"/>
    </row>
    <row r="17" spans="1:15" x14ac:dyDescent="0.35">
      <c r="A17" s="48"/>
      <c r="B17" s="48"/>
      <c r="C17" s="48"/>
      <c r="D17" s="48"/>
      <c r="E17" s="48"/>
      <c r="F17" s="48"/>
      <c r="G17" s="48"/>
      <c r="H17" s="48"/>
      <c r="I17" s="48"/>
      <c r="J17" s="48"/>
      <c r="K17" s="48"/>
      <c r="L17" s="48" t="s">
        <v>56</v>
      </c>
      <c r="M17" s="51">
        <f>'Tabel 1.1'!B18</f>
        <v>390022.27399999998</v>
      </c>
      <c r="N17" s="51">
        <f>'Tabel 1.1'!C18</f>
        <v>424342</v>
      </c>
      <c r="O17" s="48"/>
    </row>
    <row r="18" spans="1:15" x14ac:dyDescent="0.35">
      <c r="A18" s="48"/>
      <c r="B18" s="48"/>
      <c r="C18" s="48"/>
      <c r="D18" s="48"/>
      <c r="E18" s="48"/>
      <c r="F18" s="48"/>
      <c r="G18" s="48"/>
      <c r="H18" s="48"/>
      <c r="I18" s="48"/>
      <c r="J18" s="48"/>
      <c r="K18" s="48"/>
      <c r="L18" s="48" t="s">
        <v>57</v>
      </c>
      <c r="M18" s="51">
        <f>'Tabel 1.1'!B19</f>
        <v>47903</v>
      </c>
      <c r="N18" s="51">
        <f>'Tabel 1.1'!C19</f>
        <v>52660</v>
      </c>
      <c r="O18" s="48"/>
    </row>
    <row r="19" spans="1:15" x14ac:dyDescent="0.35">
      <c r="A19" s="48"/>
      <c r="B19" s="48"/>
      <c r="C19" s="48"/>
      <c r="D19" s="48"/>
      <c r="E19" s="48"/>
      <c r="F19" s="48"/>
      <c r="G19" s="48"/>
      <c r="H19" s="48"/>
      <c r="I19" s="48"/>
      <c r="J19" s="48"/>
      <c r="K19" s="48"/>
      <c r="L19" s="48" t="s">
        <v>58</v>
      </c>
      <c r="M19" s="51">
        <f>'Tabel 1.1'!B20</f>
        <v>112297</v>
      </c>
      <c r="N19" s="51">
        <f>'Tabel 1.1'!C20</f>
        <v>177161</v>
      </c>
      <c r="O19" s="48"/>
    </row>
    <row r="20" spans="1:15" x14ac:dyDescent="0.35">
      <c r="A20" s="48"/>
      <c r="B20" s="48"/>
      <c r="C20" s="48"/>
      <c r="D20" s="48"/>
      <c r="E20" s="48"/>
      <c r="F20" s="48"/>
      <c r="G20" s="48"/>
      <c r="H20" s="48"/>
      <c r="I20" s="48"/>
      <c r="J20" s="48"/>
      <c r="K20" s="48"/>
      <c r="L20" s="48" t="s">
        <v>59</v>
      </c>
      <c r="M20" s="51">
        <f>'Tabel 1.1'!B21</f>
        <v>32229.312999999998</v>
      </c>
      <c r="N20" s="51">
        <f>'Tabel 1.1'!C21</f>
        <v>35801</v>
      </c>
      <c r="O20" s="48"/>
    </row>
    <row r="21" spans="1:15" x14ac:dyDescent="0.35">
      <c r="A21" s="48"/>
      <c r="B21" s="48"/>
      <c r="C21" s="48"/>
      <c r="D21" s="48"/>
      <c r="E21" s="48"/>
      <c r="F21" s="48"/>
      <c r="G21" s="48"/>
      <c r="H21" s="48"/>
      <c r="I21" s="48"/>
      <c r="J21" s="48"/>
      <c r="K21" s="48"/>
      <c r="L21" s="48" t="s">
        <v>60</v>
      </c>
      <c r="M21" s="51">
        <f>'Tabel 1.1'!B22</f>
        <v>1799637.4678502949</v>
      </c>
      <c r="N21" s="51">
        <f>'Tabel 1.1'!C22</f>
        <v>1992049.536412423</v>
      </c>
      <c r="O21" s="48"/>
    </row>
    <row r="22" spans="1:15" x14ac:dyDescent="0.35">
      <c r="A22" s="48"/>
      <c r="B22" s="48"/>
      <c r="C22" s="48"/>
      <c r="D22" s="48"/>
      <c r="E22" s="48"/>
      <c r="F22" s="48"/>
      <c r="G22" s="48"/>
      <c r="H22" s="48"/>
      <c r="I22" s="48"/>
      <c r="J22" s="48"/>
      <c r="K22" s="48"/>
      <c r="L22" s="48" t="s">
        <v>61</v>
      </c>
      <c r="M22" s="51">
        <f>'Tabel 1.1'!B23</f>
        <v>33970</v>
      </c>
      <c r="N22" s="51">
        <f>'Tabel 1.1'!C23</f>
        <v>36370</v>
      </c>
      <c r="O22" s="48"/>
    </row>
    <row r="23" spans="1:15" x14ac:dyDescent="0.35">
      <c r="A23" s="48"/>
      <c r="B23" s="48"/>
      <c r="C23" s="48"/>
      <c r="D23" s="48"/>
      <c r="E23" s="48"/>
      <c r="F23" s="48"/>
      <c r="G23" s="48"/>
      <c r="H23" s="48"/>
      <c r="I23" s="48"/>
      <c r="J23" s="48"/>
      <c r="K23" s="48"/>
      <c r="L23" s="48" t="s">
        <v>62</v>
      </c>
      <c r="M23" s="51">
        <f>'Tabel 1.1'!B24</f>
        <v>8288469.449</v>
      </c>
      <c r="N23" s="51">
        <f>'Tabel 1.1'!C24</f>
        <v>7886826</v>
      </c>
      <c r="O23" s="48"/>
    </row>
    <row r="24" spans="1:15" x14ac:dyDescent="0.35">
      <c r="A24" s="48"/>
      <c r="B24" s="48"/>
      <c r="C24" s="48"/>
      <c r="D24" s="48"/>
      <c r="E24" s="48"/>
      <c r="F24" s="48"/>
      <c r="G24" s="48"/>
      <c r="H24" s="48"/>
      <c r="I24" s="48"/>
      <c r="J24" s="48"/>
      <c r="K24" s="48"/>
      <c r="L24" s="48" t="s">
        <v>63</v>
      </c>
      <c r="M24" s="51">
        <f>'Tabel 1.1'!B25</f>
        <v>398078</v>
      </c>
      <c r="N24" s="51">
        <f>'Tabel 1.1'!C25</f>
        <v>421754.99</v>
      </c>
      <c r="O24" s="48"/>
    </row>
    <row r="25" spans="1:15" x14ac:dyDescent="0.35">
      <c r="A25" s="48"/>
      <c r="B25" s="48"/>
      <c r="C25" s="48"/>
      <c r="D25" s="48"/>
      <c r="E25" s="48"/>
      <c r="F25" s="48"/>
      <c r="G25" s="48"/>
      <c r="H25" s="48"/>
      <c r="I25" s="48"/>
      <c r="J25" s="48"/>
      <c r="K25" s="48"/>
      <c r="L25" s="48" t="s">
        <v>64</v>
      </c>
      <c r="M25" s="51">
        <f>'Tabel 1.1'!B26</f>
        <v>917537.71678000002</v>
      </c>
      <c r="N25" s="51">
        <f>'Tabel 1.1'!C26</f>
        <v>984220.4021699999</v>
      </c>
      <c r="O25" s="48"/>
    </row>
    <row r="26" spans="1:15" x14ac:dyDescent="0.35">
      <c r="A26" s="48"/>
      <c r="B26" s="48"/>
      <c r="C26" s="48"/>
      <c r="D26" s="48"/>
      <c r="E26" s="48"/>
      <c r="F26" s="48"/>
      <c r="G26" s="48"/>
      <c r="H26" s="48"/>
      <c r="I26" s="48"/>
      <c r="J26" s="48"/>
      <c r="K26" s="48"/>
      <c r="L26" s="48" t="s">
        <v>65</v>
      </c>
      <c r="M26" s="51">
        <f>'Tabel 1.1'!B27</f>
        <v>8057784.6228</v>
      </c>
      <c r="N26" s="51">
        <f>'Tabel 1.1'!C27</f>
        <v>8996950.7571099997</v>
      </c>
      <c r="O26" s="48"/>
    </row>
    <row r="27" spans="1:15" x14ac:dyDescent="0.35">
      <c r="A27" s="48"/>
      <c r="B27" s="48"/>
      <c r="C27" s="48"/>
      <c r="D27" s="48"/>
      <c r="E27" s="48"/>
      <c r="F27" s="48"/>
      <c r="G27" s="48"/>
      <c r="H27" s="48"/>
      <c r="I27" s="48"/>
      <c r="J27" s="48"/>
      <c r="K27" s="48"/>
      <c r="L27" s="48" t="s">
        <v>66</v>
      </c>
      <c r="M27" s="51">
        <f>'Tabel 1.1'!B28</f>
        <v>9397</v>
      </c>
      <c r="N27" s="51">
        <f>'Tabel 1.1'!C28</f>
        <v>7737</v>
      </c>
      <c r="O27" s="48"/>
    </row>
    <row r="28" spans="1:15" x14ac:dyDescent="0.35">
      <c r="A28" s="48"/>
      <c r="B28" s="48"/>
      <c r="C28" s="48"/>
      <c r="D28" s="48"/>
      <c r="E28" s="48"/>
      <c r="F28" s="48"/>
      <c r="G28" s="48"/>
      <c r="H28" s="48"/>
      <c r="I28" s="48"/>
      <c r="J28" s="48"/>
      <c r="K28" s="48"/>
      <c r="L28" s="48" t="s">
        <v>67</v>
      </c>
      <c r="M28" s="51">
        <f>'Tabel 1.1'!B29</f>
        <v>876213.18599999999</v>
      </c>
      <c r="N28" s="51">
        <f>'Tabel 1.1'!C29</f>
        <v>904615</v>
      </c>
    </row>
    <row r="29" spans="1:15" x14ac:dyDescent="0.35">
      <c r="A29" s="48"/>
      <c r="B29" s="48"/>
      <c r="C29" s="48"/>
      <c r="D29" s="48"/>
      <c r="E29" s="48"/>
      <c r="F29" s="48"/>
      <c r="G29" s="48"/>
      <c r="H29" s="48"/>
      <c r="I29" s="48"/>
      <c r="J29" s="48"/>
      <c r="K29" s="48"/>
      <c r="L29" s="48" t="s">
        <v>68</v>
      </c>
      <c r="M29" s="51">
        <f>'Tabel 1.1'!B30</f>
        <v>1705</v>
      </c>
      <c r="N29" s="51">
        <f>'Tabel 1.1'!C30</f>
        <v>1629</v>
      </c>
    </row>
    <row r="30" spans="1:15" x14ac:dyDescent="0.35">
      <c r="A30" s="48"/>
      <c r="B30" s="48"/>
      <c r="C30" s="48"/>
      <c r="D30" s="48"/>
      <c r="E30" s="48"/>
      <c r="F30" s="48"/>
      <c r="G30" s="48"/>
      <c r="H30" s="48"/>
      <c r="I30" s="48"/>
      <c r="J30" s="48"/>
      <c r="K30" s="48"/>
      <c r="L30" s="48" t="s">
        <v>69</v>
      </c>
      <c r="M30" s="51">
        <f>'Tabel 1.1'!B31</f>
        <v>63809</v>
      </c>
      <c r="N30" s="51">
        <f>'Tabel 1.1'!C31</f>
        <v>101840</v>
      </c>
    </row>
    <row r="31" spans="1:15" x14ac:dyDescent="0.35">
      <c r="A31" s="49" t="s">
        <v>484</v>
      </c>
      <c r="B31" s="48"/>
      <c r="C31" s="48"/>
      <c r="D31" s="48"/>
      <c r="E31" s="48"/>
      <c r="F31" s="48"/>
      <c r="G31" s="48"/>
      <c r="H31" s="48"/>
      <c r="I31" s="48"/>
      <c r="J31" s="48"/>
      <c r="K31" s="48"/>
    </row>
    <row r="32" spans="1:15" x14ac:dyDescent="0.35">
      <c r="B32" s="48"/>
      <c r="C32" s="48"/>
      <c r="D32" s="48"/>
      <c r="E32" s="48"/>
      <c r="F32" s="48"/>
      <c r="G32" s="48"/>
      <c r="H32" s="48"/>
      <c r="I32" s="48"/>
      <c r="J32" s="48"/>
      <c r="K32" s="48"/>
      <c r="L32" s="48" t="s">
        <v>45</v>
      </c>
    </row>
    <row r="33" spans="1:15" x14ac:dyDescent="0.35">
      <c r="B33" s="48"/>
      <c r="C33" s="48"/>
      <c r="D33" s="48"/>
      <c r="E33" s="48"/>
      <c r="F33" s="48"/>
      <c r="G33" s="48"/>
      <c r="H33" s="48"/>
      <c r="I33" s="48"/>
      <c r="J33" s="48"/>
      <c r="K33" s="48"/>
      <c r="L33" s="48" t="s">
        <v>70</v>
      </c>
    </row>
    <row r="34" spans="1:15" x14ac:dyDescent="0.35">
      <c r="A34" s="48"/>
      <c r="B34" s="48"/>
      <c r="C34" s="48"/>
      <c r="D34" s="48"/>
      <c r="E34" s="48"/>
      <c r="F34" s="48"/>
      <c r="G34" s="48"/>
      <c r="H34" s="48"/>
      <c r="I34" s="48"/>
      <c r="J34" s="48"/>
      <c r="K34" s="48"/>
      <c r="M34" s="48">
        <f>M7</f>
        <v>2024</v>
      </c>
      <c r="N34" s="48">
        <f>N7</f>
        <v>2025</v>
      </c>
    </row>
    <row r="35" spans="1:15" x14ac:dyDescent="0.35">
      <c r="A35" s="48"/>
      <c r="B35" s="48"/>
      <c r="C35" s="48"/>
      <c r="D35" s="48"/>
      <c r="E35" s="48"/>
      <c r="F35" s="48"/>
      <c r="G35" s="48"/>
      <c r="H35" s="48"/>
      <c r="I35" s="48"/>
      <c r="J35" s="48"/>
      <c r="K35" s="48"/>
      <c r="L35" s="48" t="s">
        <v>47</v>
      </c>
      <c r="M35" s="51">
        <f>'Tabel 1.1'!B35</f>
        <v>16859368.662</v>
      </c>
      <c r="N35" s="51">
        <f>'Tabel 1.1'!C35</f>
        <v>18227432.572000001</v>
      </c>
    </row>
    <row r="36" spans="1:15" x14ac:dyDescent="0.35">
      <c r="A36" s="48"/>
      <c r="B36" s="48"/>
      <c r="C36" s="48"/>
      <c r="D36" s="48"/>
      <c r="E36" s="48"/>
      <c r="F36" s="48"/>
      <c r="G36" s="48"/>
      <c r="H36" s="48"/>
      <c r="I36" s="48"/>
      <c r="J36" s="48"/>
      <c r="K36" s="48"/>
      <c r="L36" s="48" t="s">
        <v>53</v>
      </c>
      <c r="M36" s="51">
        <f>'Tabel 1.1'!B36</f>
        <v>6679158</v>
      </c>
      <c r="N36" s="51">
        <f>'Tabel 1.1'!C36</f>
        <v>7288498</v>
      </c>
    </row>
    <row r="37" spans="1:15" x14ac:dyDescent="0.35">
      <c r="A37" s="48"/>
      <c r="B37" s="48"/>
      <c r="C37" s="48"/>
      <c r="D37" s="48"/>
      <c r="E37" s="48"/>
      <c r="F37" s="48"/>
      <c r="G37" s="48"/>
      <c r="H37" s="48"/>
      <c r="I37" s="48"/>
      <c r="J37" s="48"/>
      <c r="K37" s="48"/>
      <c r="L37" s="48" t="s">
        <v>55</v>
      </c>
      <c r="M37" s="51">
        <f>'Tabel 1.1'!B37</f>
        <v>212249.59526999999</v>
      </c>
      <c r="N37" s="51">
        <f>'Tabel 1.1'!C37</f>
        <v>225395.45800000001</v>
      </c>
    </row>
    <row r="38" spans="1:15" x14ac:dyDescent="0.35">
      <c r="A38" s="48"/>
      <c r="B38" s="48"/>
      <c r="C38" s="48"/>
      <c r="D38" s="48"/>
      <c r="E38" s="48"/>
      <c r="F38" s="48"/>
      <c r="G38" s="48"/>
      <c r="H38" s="48"/>
      <c r="I38" s="48"/>
      <c r="J38" s="48"/>
      <c r="K38" s="48"/>
      <c r="L38" s="48" t="s">
        <v>60</v>
      </c>
      <c r="M38" s="51">
        <f>'Tabel 1.1'!B38</f>
        <v>20423874.86053</v>
      </c>
      <c r="N38" s="51">
        <f>'Tabel 1.1'!C38</f>
        <v>19600219.480189987</v>
      </c>
    </row>
    <row r="39" spans="1:15" x14ac:dyDescent="0.35">
      <c r="A39" s="48"/>
      <c r="B39" s="48"/>
      <c r="C39" s="48"/>
      <c r="D39" s="48"/>
      <c r="E39" s="48"/>
      <c r="F39" s="48"/>
      <c r="G39" s="48"/>
      <c r="H39" s="48"/>
      <c r="I39" s="48"/>
      <c r="J39" s="48"/>
      <c r="K39" s="48"/>
      <c r="L39" s="48" t="s">
        <v>64</v>
      </c>
      <c r="M39" s="51">
        <f>'Tabel 1.1'!B39</f>
        <v>7740231.3276799992</v>
      </c>
      <c r="N39" s="51">
        <f>'Tabel 1.1'!C39</f>
        <v>8434845.2067599986</v>
      </c>
    </row>
    <row r="40" spans="1:15" x14ac:dyDescent="0.35">
      <c r="A40" s="48"/>
      <c r="B40" s="48"/>
      <c r="C40" s="48"/>
      <c r="D40" s="48"/>
      <c r="E40" s="48"/>
      <c r="F40" s="48"/>
      <c r="G40" s="48"/>
      <c r="H40" s="48"/>
      <c r="I40" s="48"/>
      <c r="J40" s="48"/>
      <c r="K40" s="48"/>
      <c r="L40" s="48" t="s">
        <v>65</v>
      </c>
      <c r="M40" s="51">
        <f>'Tabel 1.1'!B40</f>
        <v>18250962.46195</v>
      </c>
      <c r="N40" s="51">
        <f>'Tabel 1.1'!C40</f>
        <v>19022843.448100001</v>
      </c>
    </row>
    <row r="41" spans="1:15" x14ac:dyDescent="0.35">
      <c r="A41" s="48"/>
      <c r="B41" s="48"/>
      <c r="C41" s="48"/>
      <c r="D41" s="48"/>
      <c r="E41" s="48"/>
      <c r="F41" s="48"/>
      <c r="G41" s="48"/>
      <c r="H41" s="48"/>
      <c r="I41" s="48"/>
      <c r="J41" s="48"/>
      <c r="K41" s="48"/>
      <c r="O41" s="48"/>
    </row>
    <row r="42" spans="1:15" x14ac:dyDescent="0.35">
      <c r="A42" s="48"/>
      <c r="B42" s="48"/>
      <c r="C42" s="48"/>
      <c r="D42" s="48"/>
      <c r="E42" s="48"/>
      <c r="F42" s="48"/>
      <c r="G42" s="48"/>
      <c r="H42" s="48"/>
      <c r="I42" s="48"/>
      <c r="J42" s="48"/>
      <c r="K42" s="48"/>
      <c r="M42" s="51"/>
      <c r="N42" s="51"/>
      <c r="O42" s="48"/>
    </row>
    <row r="43" spans="1:15" x14ac:dyDescent="0.35">
      <c r="A43" s="48"/>
      <c r="B43" s="48"/>
      <c r="C43" s="48"/>
      <c r="D43" s="48"/>
      <c r="E43" s="48"/>
      <c r="F43" s="48"/>
      <c r="G43" s="48"/>
      <c r="H43" s="48"/>
      <c r="I43" s="48"/>
      <c r="J43" s="48"/>
      <c r="K43" s="48"/>
      <c r="M43" s="51"/>
      <c r="N43" s="51"/>
      <c r="O43" s="48"/>
    </row>
    <row r="44" spans="1:15" x14ac:dyDescent="0.35">
      <c r="A44" s="48"/>
      <c r="B44" s="48"/>
      <c r="C44" s="48"/>
      <c r="D44" s="48"/>
      <c r="E44" s="48"/>
      <c r="F44" s="48"/>
      <c r="G44" s="48"/>
      <c r="H44" s="48"/>
      <c r="I44" s="48"/>
      <c r="J44" s="48"/>
      <c r="K44" s="48"/>
      <c r="M44" s="51"/>
      <c r="N44" s="51"/>
      <c r="O44" s="48"/>
    </row>
    <row r="45" spans="1:15" x14ac:dyDescent="0.35">
      <c r="A45" s="48"/>
      <c r="B45" s="48"/>
      <c r="C45" s="48"/>
      <c r="D45" s="48"/>
      <c r="E45" s="48"/>
      <c r="F45" s="48"/>
      <c r="G45" s="48"/>
      <c r="H45" s="48"/>
      <c r="I45" s="48"/>
      <c r="J45" s="48"/>
      <c r="K45" s="48"/>
      <c r="M45" s="51"/>
      <c r="N45" s="51"/>
      <c r="O45" s="48"/>
    </row>
    <row r="46" spans="1:15" x14ac:dyDescent="0.35">
      <c r="A46" s="48"/>
      <c r="B46" s="48"/>
      <c r="C46" s="48"/>
      <c r="D46" s="48"/>
      <c r="E46" s="48"/>
      <c r="F46" s="48"/>
      <c r="G46" s="48"/>
      <c r="H46" s="48"/>
      <c r="I46" s="48"/>
      <c r="J46" s="48"/>
      <c r="K46" s="48"/>
      <c r="M46" s="51"/>
      <c r="N46" s="51"/>
      <c r="O46" s="48"/>
    </row>
    <row r="47" spans="1:15" x14ac:dyDescent="0.35">
      <c r="A47" s="48"/>
      <c r="B47" s="48"/>
      <c r="C47" s="48"/>
      <c r="D47" s="48"/>
      <c r="E47" s="48"/>
      <c r="F47" s="48"/>
      <c r="G47" s="48"/>
      <c r="H47" s="48"/>
      <c r="I47" s="48"/>
      <c r="J47" s="48"/>
      <c r="K47" s="48"/>
      <c r="O47" s="48"/>
    </row>
    <row r="48" spans="1:15" x14ac:dyDescent="0.35">
      <c r="A48" s="48"/>
      <c r="B48" s="48"/>
      <c r="C48" s="48"/>
      <c r="D48" s="48"/>
      <c r="E48" s="48"/>
      <c r="F48" s="48"/>
      <c r="G48" s="48"/>
      <c r="H48" s="48"/>
      <c r="I48" s="48"/>
      <c r="J48" s="48"/>
      <c r="K48" s="48"/>
      <c r="O48" s="48"/>
    </row>
    <row r="49" spans="1:15" x14ac:dyDescent="0.35">
      <c r="A49" s="48"/>
      <c r="B49" s="48"/>
      <c r="C49" s="48"/>
      <c r="D49" s="48"/>
      <c r="E49" s="48"/>
      <c r="F49" s="48"/>
      <c r="G49" s="48"/>
      <c r="H49" s="48"/>
      <c r="I49" s="48"/>
      <c r="J49" s="48"/>
      <c r="K49" s="48"/>
      <c r="O49" s="48"/>
    </row>
    <row r="50" spans="1:15" x14ac:dyDescent="0.35">
      <c r="A50" s="48"/>
      <c r="B50" s="48"/>
      <c r="C50" s="48"/>
      <c r="D50" s="48"/>
      <c r="E50" s="48"/>
      <c r="F50" s="48"/>
      <c r="G50" s="48"/>
      <c r="H50" s="48"/>
      <c r="I50" s="48"/>
      <c r="J50" s="48"/>
      <c r="K50" s="48"/>
      <c r="L50" s="48" t="s">
        <v>71</v>
      </c>
      <c r="O50" s="48"/>
    </row>
    <row r="51" spans="1:15" x14ac:dyDescent="0.35">
      <c r="A51" s="48"/>
      <c r="B51" s="48"/>
      <c r="C51" s="48"/>
      <c r="D51" s="48"/>
      <c r="E51" s="48"/>
      <c r="F51" s="48"/>
      <c r="G51" s="48"/>
      <c r="H51" s="48"/>
      <c r="I51" s="48"/>
      <c r="J51" s="48"/>
      <c r="K51" s="48"/>
      <c r="L51" s="48" t="s">
        <v>46</v>
      </c>
      <c r="O51" s="48"/>
    </row>
    <row r="52" spans="1:15" x14ac:dyDescent="0.35">
      <c r="A52" s="48"/>
      <c r="B52" s="48"/>
      <c r="C52" s="48"/>
      <c r="D52" s="48"/>
      <c r="E52" s="48"/>
      <c r="F52" s="48"/>
      <c r="G52" s="48"/>
      <c r="H52" s="48"/>
      <c r="I52" s="48"/>
      <c r="J52" s="48"/>
      <c r="K52" s="48"/>
      <c r="M52" s="48">
        <f>M7</f>
        <v>2024</v>
      </c>
      <c r="N52" s="48">
        <f>N7</f>
        <v>2025</v>
      </c>
      <c r="O52" s="48"/>
    </row>
    <row r="53" spans="1:15" x14ac:dyDescent="0.35">
      <c r="A53" s="48"/>
      <c r="B53" s="48"/>
      <c r="C53" s="48"/>
      <c r="D53" s="48"/>
      <c r="E53" s="48"/>
      <c r="F53" s="48"/>
      <c r="G53" s="48"/>
      <c r="H53" s="48"/>
      <c r="I53" s="48"/>
      <c r="J53" s="48"/>
      <c r="K53" s="48"/>
      <c r="L53" s="48" t="s">
        <v>47</v>
      </c>
      <c r="M53" s="51">
        <f>'Tabel 1.1'!G9</f>
        <v>180833727.40624002</v>
      </c>
      <c r="N53" s="51">
        <f>'Tabel 1.1'!H9</f>
        <v>179445597.19069999</v>
      </c>
      <c r="O53" s="48"/>
    </row>
    <row r="54" spans="1:15" x14ac:dyDescent="0.35">
      <c r="A54" s="48"/>
      <c r="B54" s="48"/>
      <c r="C54" s="48"/>
      <c r="D54" s="48"/>
      <c r="E54" s="48"/>
      <c r="F54" s="48"/>
      <c r="G54" s="48"/>
      <c r="H54" s="48"/>
      <c r="I54" s="48"/>
      <c r="J54" s="48"/>
      <c r="K54" s="48"/>
      <c r="L54" s="48" t="s">
        <v>48</v>
      </c>
      <c r="M54" s="51">
        <f>'Tabel 1.1'!G10</f>
        <v>0</v>
      </c>
      <c r="N54" s="51">
        <f>'Tabel 1.1'!H10</f>
        <v>0</v>
      </c>
      <c r="O54" s="48"/>
    </row>
    <row r="55" spans="1:15" x14ac:dyDescent="0.35">
      <c r="A55" s="48"/>
      <c r="B55" s="48"/>
      <c r="C55" s="48"/>
      <c r="D55" s="48"/>
      <c r="E55" s="48"/>
      <c r="F55" s="48"/>
      <c r="G55" s="48"/>
      <c r="H55" s="48"/>
      <c r="I55" s="48"/>
      <c r="J55" s="48"/>
      <c r="K55" s="48"/>
      <c r="L55" s="48" t="s">
        <v>49</v>
      </c>
      <c r="M55" s="51">
        <f>'Tabel 1.1'!G11</f>
        <v>6584967.8127199998</v>
      </c>
      <c r="N55" s="51">
        <f>'Tabel 1.1'!H11</f>
        <v>7209116.00973</v>
      </c>
      <c r="O55" s="48"/>
    </row>
    <row r="56" spans="1:15" x14ac:dyDescent="0.35">
      <c r="A56" s="49" t="s">
        <v>485</v>
      </c>
      <c r="B56" s="48"/>
      <c r="C56" s="48"/>
      <c r="D56" s="48"/>
      <c r="E56" s="48"/>
      <c r="F56" s="48"/>
      <c r="G56" s="48"/>
      <c r="H56" s="48"/>
      <c r="I56" s="48"/>
      <c r="J56" s="48"/>
      <c r="K56" s="48"/>
      <c r="L56" s="48" t="s">
        <v>50</v>
      </c>
      <c r="M56" s="51">
        <f>'Tabel 1.1'!G12</f>
        <v>1788691</v>
      </c>
      <c r="N56" s="51">
        <f>'Tabel 1.1'!H12</f>
        <v>2151638</v>
      </c>
      <c r="O56" s="48"/>
    </row>
    <row r="57" spans="1:15" x14ac:dyDescent="0.35">
      <c r="A57" s="48"/>
      <c r="B57" s="48"/>
      <c r="C57" s="48"/>
      <c r="D57" s="48"/>
      <c r="E57" s="48"/>
      <c r="F57" s="48"/>
      <c r="G57" s="48"/>
      <c r="H57" s="48"/>
      <c r="I57" s="48"/>
      <c r="J57" s="48"/>
      <c r="K57" s="48"/>
      <c r="L57" s="48" t="s">
        <v>52</v>
      </c>
      <c r="M57" s="51">
        <f>'Tabel 1.1'!G13</f>
        <v>0</v>
      </c>
      <c r="N57" s="51">
        <f>'Tabel 1.1'!H13</f>
        <v>0</v>
      </c>
      <c r="O57" s="48"/>
    </row>
    <row r="58" spans="1:15" x14ac:dyDescent="0.35">
      <c r="A58" s="48"/>
      <c r="B58" s="48"/>
      <c r="C58" s="48"/>
      <c r="D58" s="48"/>
      <c r="E58" s="48"/>
      <c r="F58" s="48"/>
      <c r="G58" s="48"/>
      <c r="H58" s="48"/>
      <c r="I58" s="48"/>
      <c r="J58" s="48"/>
      <c r="K58" s="48"/>
      <c r="L58" s="48" t="s">
        <v>53</v>
      </c>
      <c r="M58" s="51">
        <f>'Tabel 1.1'!G15</f>
        <v>10849100</v>
      </c>
      <c r="N58" s="51">
        <f>'Tabel 1.1'!H15</f>
        <v>11860831</v>
      </c>
      <c r="O58" s="48"/>
    </row>
    <row r="59" spans="1:15" x14ac:dyDescent="0.35">
      <c r="A59" s="48"/>
      <c r="B59" s="48"/>
      <c r="C59" s="48"/>
      <c r="D59" s="48"/>
      <c r="E59" s="48"/>
      <c r="F59" s="48"/>
      <c r="G59" s="48"/>
      <c r="H59" s="48"/>
      <c r="I59" s="48"/>
      <c r="J59" s="48"/>
      <c r="K59" s="48"/>
      <c r="L59" s="48" t="s">
        <v>54</v>
      </c>
      <c r="M59" s="51">
        <f>'Tabel 1.1'!G16</f>
        <v>629850.56915</v>
      </c>
      <c r="N59" s="51">
        <f>'Tabel 1.1'!H16</f>
        <v>1056749.0176899999</v>
      </c>
      <c r="O59" s="48"/>
    </row>
    <row r="60" spans="1:15" x14ac:dyDescent="0.35">
      <c r="A60" s="48"/>
      <c r="B60" s="48"/>
      <c r="C60" s="48"/>
      <c r="D60" s="48"/>
      <c r="E60" s="48"/>
      <c r="F60" s="48"/>
      <c r="G60" s="48"/>
      <c r="H60" s="48"/>
      <c r="I60" s="48"/>
      <c r="J60" s="48"/>
      <c r="K60" s="48"/>
      <c r="L60" s="48" t="s">
        <v>55</v>
      </c>
      <c r="M60" s="51">
        <f>'Tabel 1.1'!G17</f>
        <v>799889817.73760998</v>
      </c>
      <c r="N60" s="51">
        <f>'Tabel 1.1'!H17</f>
        <v>867538617.59638</v>
      </c>
      <c r="O60" s="48"/>
    </row>
    <row r="61" spans="1:15" x14ac:dyDescent="0.35">
      <c r="A61" s="48"/>
      <c r="B61" s="48"/>
      <c r="C61" s="48"/>
      <c r="D61" s="48"/>
      <c r="E61" s="48"/>
      <c r="F61" s="48"/>
      <c r="G61" s="48"/>
      <c r="H61" s="48"/>
      <c r="I61" s="48"/>
      <c r="J61" s="48"/>
      <c r="K61" s="48"/>
      <c r="L61" s="48" t="s">
        <v>56</v>
      </c>
      <c r="M61" s="51">
        <f>'Tabel 1.1'!G18</f>
        <v>170090.69199999998</v>
      </c>
      <c r="N61" s="51">
        <f>'Tabel 1.1'!H18</f>
        <v>261965</v>
      </c>
      <c r="O61" s="48"/>
    </row>
    <row r="62" spans="1:15" x14ac:dyDescent="0.35">
      <c r="A62" s="48"/>
      <c r="B62" s="48"/>
      <c r="C62" s="48"/>
      <c r="D62" s="48"/>
      <c r="E62" s="48"/>
      <c r="F62" s="48"/>
      <c r="G62" s="48"/>
      <c r="H62" s="48"/>
      <c r="I62" s="48"/>
      <c r="J62" s="48"/>
      <c r="K62" s="48"/>
      <c r="L62" s="48" t="s">
        <v>57</v>
      </c>
      <c r="M62" s="51">
        <f>'Tabel 1.1'!G19</f>
        <v>12104</v>
      </c>
      <c r="N62" s="51">
        <f>'Tabel 1.1'!H19</f>
        <v>10968</v>
      </c>
      <c r="O62" s="48"/>
    </row>
    <row r="63" spans="1:15" x14ac:dyDescent="0.35">
      <c r="A63" s="48"/>
      <c r="B63" s="48"/>
      <c r="C63" s="48"/>
      <c r="D63" s="48"/>
      <c r="E63" s="48"/>
      <c r="F63" s="48"/>
      <c r="G63" s="48"/>
      <c r="H63" s="48"/>
      <c r="I63" s="48"/>
      <c r="J63" s="48"/>
      <c r="K63" s="48"/>
      <c r="L63" s="48" t="s">
        <v>72</v>
      </c>
      <c r="M63" s="51">
        <f>'Tabel 1.1'!G20</f>
        <v>0</v>
      </c>
      <c r="N63" s="51">
        <f>'Tabel 1.1'!H20</f>
        <v>0</v>
      </c>
      <c r="O63" s="48"/>
    </row>
    <row r="64" spans="1:15" x14ac:dyDescent="0.35">
      <c r="A64" s="48"/>
      <c r="B64" s="48"/>
      <c r="C64" s="48"/>
      <c r="D64" s="48"/>
      <c r="E64" s="48"/>
      <c r="F64" s="48"/>
      <c r="G64" s="48"/>
      <c r="H64" s="48"/>
      <c r="I64" s="48"/>
      <c r="J64" s="48"/>
      <c r="K64" s="48"/>
      <c r="L64" s="48" t="s">
        <v>59</v>
      </c>
      <c r="M64" s="51">
        <f>'Tabel 1.1'!G21</f>
        <v>0</v>
      </c>
      <c r="N64" s="51">
        <f>'Tabel 1.1'!H21</f>
        <v>0</v>
      </c>
      <c r="O64" s="48"/>
    </row>
    <row r="65" spans="1:15" x14ac:dyDescent="0.35">
      <c r="A65" s="48"/>
      <c r="B65" s="48"/>
      <c r="C65" s="48"/>
      <c r="D65" s="48"/>
      <c r="E65" s="48"/>
      <c r="F65" s="48"/>
      <c r="G65" s="48"/>
      <c r="H65" s="48"/>
      <c r="I65" s="48"/>
      <c r="J65" s="48"/>
      <c r="K65" s="48"/>
      <c r="L65" s="48" t="s">
        <v>60</v>
      </c>
      <c r="M65" s="51">
        <f>'Tabel 1.1'!G22</f>
        <v>54748349.999999203</v>
      </c>
      <c r="N65" s="51">
        <f>'Tabel 1.1'!H22</f>
        <v>56197529.99999965</v>
      </c>
      <c r="O65" s="48"/>
    </row>
    <row r="66" spans="1:15" x14ac:dyDescent="0.35">
      <c r="A66" s="48"/>
      <c r="B66" s="48"/>
      <c r="C66" s="48"/>
      <c r="D66" s="48"/>
      <c r="E66" s="48"/>
      <c r="F66" s="48"/>
      <c r="G66" s="48"/>
      <c r="H66" s="48"/>
      <c r="I66" s="48"/>
      <c r="J66" s="48"/>
      <c r="K66" s="48"/>
      <c r="L66" s="48" t="s">
        <v>61</v>
      </c>
      <c r="M66" s="51">
        <f>'Tabel 1.1'!G23</f>
        <v>0</v>
      </c>
      <c r="N66" s="51">
        <f>'Tabel 1.1'!H23</f>
        <v>0</v>
      </c>
      <c r="O66" s="48"/>
    </row>
    <row r="67" spans="1:15" x14ac:dyDescent="0.35">
      <c r="A67" s="48"/>
      <c r="B67" s="48"/>
      <c r="C67" s="48"/>
      <c r="D67" s="48"/>
      <c r="E67" s="48"/>
      <c r="F67" s="48"/>
      <c r="G67" s="48"/>
      <c r="H67" s="48"/>
      <c r="I67" s="48"/>
      <c r="J67" s="48"/>
      <c r="K67" s="48"/>
      <c r="L67" s="48" t="s">
        <v>62</v>
      </c>
      <c r="M67" s="51">
        <f>'Tabel 1.1'!G24</f>
        <v>130120437</v>
      </c>
      <c r="N67" s="51">
        <f>'Tabel 1.1'!H24</f>
        <v>140520533</v>
      </c>
      <c r="O67" s="48"/>
    </row>
    <row r="68" spans="1:15" x14ac:dyDescent="0.35">
      <c r="A68" s="48"/>
      <c r="B68" s="48"/>
      <c r="C68" s="48"/>
      <c r="D68" s="48"/>
      <c r="E68" s="48"/>
      <c r="F68" s="48"/>
      <c r="G68" s="48"/>
      <c r="H68" s="48"/>
      <c r="I68" s="48"/>
      <c r="J68" s="48"/>
      <c r="K68" s="48"/>
      <c r="L68" s="48" t="s">
        <v>64</v>
      </c>
      <c r="M68" s="51">
        <f>'Tabel 1.1'!G26</f>
        <v>22598085.538499996</v>
      </c>
      <c r="N68" s="51">
        <f>'Tabel 1.1'!H26</f>
        <v>26604089.189259999</v>
      </c>
      <c r="O68" s="48"/>
    </row>
    <row r="69" spans="1:15" x14ac:dyDescent="0.35">
      <c r="A69" s="48"/>
      <c r="B69" s="48"/>
      <c r="C69" s="48"/>
      <c r="D69" s="48"/>
      <c r="E69" s="48"/>
      <c r="F69" s="48"/>
      <c r="G69" s="48"/>
      <c r="H69" s="48"/>
      <c r="I69" s="48"/>
      <c r="J69" s="48"/>
      <c r="K69" s="48"/>
      <c r="L69" s="48" t="s">
        <v>65</v>
      </c>
      <c r="M69" s="51">
        <f>'Tabel 1.1'!G27</f>
        <v>211434057.99526995</v>
      </c>
      <c r="N69" s="51">
        <f>'Tabel 1.1'!H27</f>
        <v>221885288.55203003</v>
      </c>
      <c r="O69" s="48"/>
    </row>
    <row r="70" spans="1:15" x14ac:dyDescent="0.35">
      <c r="A70" s="48"/>
      <c r="B70" s="48"/>
      <c r="C70" s="48"/>
      <c r="D70" s="48"/>
      <c r="E70" s="48"/>
      <c r="F70" s="48"/>
      <c r="G70" s="48"/>
      <c r="H70" s="48"/>
      <c r="I70" s="48"/>
      <c r="J70" s="48"/>
      <c r="K70" s="48"/>
      <c r="L70" s="48" t="s">
        <v>73</v>
      </c>
      <c r="M70" s="51">
        <f>'Tabel 1.1'!G28</f>
        <v>0</v>
      </c>
      <c r="N70" s="51">
        <f>'Tabel 1.1'!H28</f>
        <v>0</v>
      </c>
      <c r="O70" s="48"/>
    </row>
    <row r="71" spans="1:15" x14ac:dyDescent="0.35">
      <c r="A71" s="48"/>
      <c r="B71" s="48"/>
      <c r="C71" s="48"/>
      <c r="D71" s="48"/>
      <c r="E71" s="48"/>
      <c r="F71" s="48"/>
      <c r="G71" s="48"/>
      <c r="H71" s="48"/>
      <c r="I71" s="48"/>
      <c r="J71" s="48"/>
      <c r="K71" s="48"/>
      <c r="L71" s="48" t="s">
        <v>74</v>
      </c>
      <c r="M71" s="51">
        <f>'Tabel 1.1'!G29</f>
        <v>0</v>
      </c>
      <c r="N71" s="51">
        <f>'Tabel 1.1'!H29</f>
        <v>0</v>
      </c>
      <c r="O71" s="48"/>
    </row>
    <row r="72" spans="1:15" x14ac:dyDescent="0.35">
      <c r="A72" s="48"/>
      <c r="B72" s="48"/>
      <c r="C72" s="48"/>
      <c r="D72" s="48"/>
      <c r="E72" s="48"/>
      <c r="F72" s="48"/>
      <c r="G72" s="48"/>
      <c r="H72" s="48"/>
      <c r="I72" s="48"/>
      <c r="J72" s="48"/>
      <c r="K72" s="48"/>
      <c r="L72" s="48" t="s">
        <v>75</v>
      </c>
      <c r="M72" s="51">
        <f>'Tabel 1.1'!G30</f>
        <v>0</v>
      </c>
      <c r="N72" s="51">
        <f>'Tabel 1.1'!H30</f>
        <v>0</v>
      </c>
      <c r="O72" s="48"/>
    </row>
    <row r="73" spans="1:15" x14ac:dyDescent="0.35">
      <c r="A73" s="48"/>
      <c r="B73" s="48"/>
      <c r="C73" s="48"/>
      <c r="D73" s="48"/>
      <c r="E73" s="48"/>
      <c r="F73" s="48"/>
      <c r="G73" s="48"/>
      <c r="H73" s="48"/>
      <c r="I73" s="48"/>
      <c r="J73" s="48"/>
      <c r="K73" s="48"/>
      <c r="L73" s="48" t="s">
        <v>69</v>
      </c>
      <c r="M73" s="51">
        <f>'Tabel 1.1'!G31</f>
        <v>53820</v>
      </c>
      <c r="N73" s="51">
        <f>'Tabel 1.1'!H31</f>
        <v>97369</v>
      </c>
      <c r="O73" s="48"/>
    </row>
    <row r="74" spans="1:15" x14ac:dyDescent="0.35">
      <c r="A74" s="48"/>
      <c r="B74" s="48"/>
      <c r="C74" s="48"/>
      <c r="D74" s="48"/>
      <c r="E74" s="48"/>
      <c r="F74" s="48"/>
      <c r="G74" s="48"/>
      <c r="H74" s="48"/>
      <c r="I74" s="48"/>
      <c r="J74" s="48"/>
      <c r="K74" s="48"/>
      <c r="O74" s="48"/>
    </row>
    <row r="75" spans="1:15" x14ac:dyDescent="0.35">
      <c r="A75" s="48"/>
      <c r="B75" s="48"/>
      <c r="C75" s="48"/>
      <c r="D75" s="48"/>
      <c r="E75" s="48"/>
      <c r="F75" s="48"/>
      <c r="G75" s="48"/>
      <c r="H75" s="48"/>
      <c r="I75" s="48"/>
      <c r="J75" s="48"/>
      <c r="K75" s="48"/>
      <c r="O75" s="48"/>
    </row>
    <row r="76" spans="1:15" x14ac:dyDescent="0.35">
      <c r="A76" s="48"/>
      <c r="B76" s="48"/>
      <c r="C76" s="48"/>
      <c r="D76" s="48"/>
      <c r="E76" s="48"/>
      <c r="F76" s="48"/>
      <c r="G76" s="48"/>
      <c r="H76" s="48"/>
      <c r="I76" s="48"/>
      <c r="J76" s="48"/>
      <c r="K76" s="48"/>
      <c r="O76" s="48"/>
    </row>
    <row r="77" spans="1:15" x14ac:dyDescent="0.35">
      <c r="A77" s="48"/>
      <c r="B77" s="48"/>
      <c r="C77" s="48"/>
      <c r="D77" s="48"/>
      <c r="E77" s="48"/>
      <c r="F77" s="48"/>
      <c r="G77" s="48"/>
      <c r="H77" s="48"/>
      <c r="I77" s="48"/>
      <c r="J77" s="48"/>
      <c r="K77" s="48"/>
      <c r="O77" s="48"/>
    </row>
    <row r="78" spans="1:15" x14ac:dyDescent="0.35">
      <c r="A78" s="48"/>
      <c r="B78" s="48"/>
      <c r="C78" s="48"/>
      <c r="D78" s="48"/>
      <c r="E78" s="48"/>
      <c r="F78" s="48"/>
      <c r="G78" s="48"/>
      <c r="H78" s="48"/>
      <c r="I78" s="48"/>
      <c r="J78" s="48"/>
      <c r="K78" s="48"/>
      <c r="O78" s="48"/>
    </row>
    <row r="79" spans="1:15" x14ac:dyDescent="0.35">
      <c r="A79" s="48"/>
      <c r="B79" s="48"/>
      <c r="C79" s="48"/>
      <c r="D79" s="48"/>
      <c r="E79" s="48"/>
      <c r="F79" s="48"/>
      <c r="G79" s="48"/>
      <c r="H79" s="48"/>
      <c r="I79" s="48"/>
      <c r="J79" s="48"/>
      <c r="K79" s="48"/>
      <c r="O79" s="48"/>
    </row>
    <row r="80" spans="1:15" x14ac:dyDescent="0.35">
      <c r="A80" s="49" t="s">
        <v>486</v>
      </c>
      <c r="B80" s="48"/>
      <c r="C80" s="48"/>
      <c r="D80" s="48"/>
      <c r="E80" s="48"/>
      <c r="F80" s="48"/>
      <c r="G80" s="48"/>
      <c r="H80" s="48"/>
      <c r="I80" s="48"/>
      <c r="J80" s="48"/>
      <c r="K80" s="48"/>
      <c r="O80" s="48"/>
    </row>
    <row r="81" spans="1:15" x14ac:dyDescent="0.35">
      <c r="B81" s="48"/>
      <c r="C81" s="48"/>
      <c r="D81" s="48"/>
      <c r="E81" s="48"/>
      <c r="F81" s="48"/>
      <c r="G81" s="48"/>
      <c r="H81" s="48"/>
      <c r="I81" s="48"/>
      <c r="J81" s="48"/>
      <c r="K81" s="48"/>
      <c r="O81" s="48"/>
    </row>
    <row r="82" spans="1:15" x14ac:dyDescent="0.35">
      <c r="A82" s="48"/>
      <c r="B82" s="48"/>
      <c r="C82" s="48"/>
      <c r="D82" s="48"/>
      <c r="E82" s="48"/>
      <c r="F82" s="48"/>
      <c r="G82" s="48"/>
      <c r="H82" s="48"/>
      <c r="I82" s="48"/>
      <c r="J82" s="48"/>
      <c r="K82" s="48"/>
      <c r="L82" s="48" t="s">
        <v>71</v>
      </c>
      <c r="O82" s="48"/>
    </row>
    <row r="83" spans="1:15" x14ac:dyDescent="0.35">
      <c r="A83" s="48"/>
      <c r="B83" s="48"/>
      <c r="C83" s="48"/>
      <c r="D83" s="48"/>
      <c r="E83" s="48"/>
      <c r="F83" s="48"/>
      <c r="G83" s="48"/>
      <c r="H83" s="48"/>
      <c r="I83" s="48"/>
      <c r="J83" s="48"/>
      <c r="K83" s="48"/>
      <c r="L83" s="48" t="s">
        <v>70</v>
      </c>
      <c r="O83" s="48"/>
    </row>
    <row r="84" spans="1:15" x14ac:dyDescent="0.35">
      <c r="A84" s="48"/>
      <c r="B84" s="48"/>
      <c r="C84" s="48"/>
      <c r="D84" s="48"/>
      <c r="E84" s="48"/>
      <c r="F84" s="48"/>
      <c r="G84" s="48"/>
      <c r="H84" s="48"/>
      <c r="I84" s="48"/>
      <c r="J84" s="48"/>
      <c r="K84" s="48"/>
      <c r="M84" s="48">
        <f>M7</f>
        <v>2024</v>
      </c>
      <c r="N84" s="48">
        <f>N7</f>
        <v>2025</v>
      </c>
      <c r="O84" s="48"/>
    </row>
    <row r="85" spans="1:15" x14ac:dyDescent="0.35">
      <c r="B85" s="48"/>
      <c r="C85" s="48"/>
      <c r="D85" s="48"/>
      <c r="E85" s="48"/>
      <c r="F85" s="48"/>
      <c r="G85" s="48"/>
      <c r="H85" s="48"/>
      <c r="I85" s="48"/>
      <c r="J85" s="48"/>
      <c r="K85" s="48"/>
      <c r="L85" s="48" t="s">
        <v>47</v>
      </c>
      <c r="M85" s="51">
        <f>'Tabel 1.1'!G35</f>
        <v>202254881.60222104</v>
      </c>
      <c r="N85" s="51">
        <f>'Tabel 1.1'!H35</f>
        <v>246023350.20497</v>
      </c>
      <c r="O85" s="48"/>
    </row>
    <row r="86" spans="1:15" x14ac:dyDescent="0.35">
      <c r="B86" s="48"/>
      <c r="C86" s="48"/>
      <c r="D86" s="48"/>
      <c r="E86" s="48"/>
      <c r="F86" s="48"/>
      <c r="G86" s="48"/>
      <c r="H86" s="48"/>
      <c r="I86" s="48"/>
      <c r="J86" s="48"/>
      <c r="K86" s="48"/>
      <c r="L86" s="48" t="s">
        <v>53</v>
      </c>
      <c r="M86" s="51">
        <f>'Tabel 1.1'!G36</f>
        <v>76891950</v>
      </c>
      <c r="N86" s="51">
        <f>'Tabel 1.1'!H36</f>
        <v>91581450</v>
      </c>
      <c r="O86" s="48"/>
    </row>
    <row r="87" spans="1:15" x14ac:dyDescent="0.35">
      <c r="B87" s="48"/>
      <c r="C87" s="48"/>
      <c r="D87" s="48"/>
      <c r="E87" s="48"/>
      <c r="F87" s="48"/>
      <c r="G87" s="48"/>
      <c r="H87" s="48"/>
      <c r="I87" s="48"/>
      <c r="J87" s="48"/>
      <c r="K87" s="48"/>
      <c r="L87" s="48" t="s">
        <v>55</v>
      </c>
      <c r="M87" s="51">
        <f>'Tabel 1.1'!G37</f>
        <v>2886767.1387900002</v>
      </c>
      <c r="N87" s="51">
        <f>'Tabel 1.1'!H37</f>
        <v>3013494.0432199999</v>
      </c>
      <c r="O87" s="48"/>
    </row>
    <row r="88" spans="1:15" x14ac:dyDescent="0.35">
      <c r="B88" s="48"/>
      <c r="C88" s="48"/>
      <c r="D88" s="48"/>
      <c r="E88" s="48"/>
      <c r="F88" s="48"/>
      <c r="G88" s="48"/>
      <c r="H88" s="48"/>
      <c r="I88" s="48"/>
      <c r="J88" s="48"/>
      <c r="K88" s="48"/>
      <c r="L88" s="48" t="s">
        <v>60</v>
      </c>
      <c r="M88" s="51">
        <f>'Tabel 1.1'!G38</f>
        <v>184044040</v>
      </c>
      <c r="N88" s="51">
        <f>'Tabel 1.1'!H38</f>
        <v>215644490</v>
      </c>
      <c r="O88" s="48"/>
    </row>
    <row r="89" spans="1:15" x14ac:dyDescent="0.35">
      <c r="B89" s="48"/>
      <c r="C89" s="48"/>
      <c r="D89" s="48"/>
      <c r="E89" s="48"/>
      <c r="F89" s="48"/>
      <c r="G89" s="48"/>
      <c r="H89" s="48"/>
      <c r="I89" s="48"/>
      <c r="J89" s="48"/>
      <c r="K89" s="48"/>
      <c r="L89" s="48" t="s">
        <v>64</v>
      </c>
      <c r="M89" s="51">
        <f>'Tabel 1.1'!G39</f>
        <v>85361398.641639888</v>
      </c>
      <c r="N89" s="51">
        <f>'Tabel 1.1'!H39</f>
        <v>97749643.522389993</v>
      </c>
      <c r="O89" s="48"/>
    </row>
    <row r="90" spans="1:15" x14ac:dyDescent="0.35">
      <c r="B90" s="48"/>
      <c r="C90" s="48"/>
      <c r="D90" s="48"/>
      <c r="E90" s="48"/>
      <c r="F90" s="48"/>
      <c r="G90" s="48"/>
      <c r="H90" s="48"/>
      <c r="I90" s="48"/>
      <c r="J90" s="48"/>
      <c r="K90" s="48"/>
      <c r="L90" s="48" t="s">
        <v>65</v>
      </c>
      <c r="M90" s="51">
        <f>'Tabel 1.1'!G40</f>
        <v>248216030.50176004</v>
      </c>
      <c r="N90" s="51">
        <f>'Tabel 1.1'!H40</f>
        <v>282187700.89528</v>
      </c>
      <c r="O90" s="48"/>
    </row>
    <row r="91" spans="1:15" x14ac:dyDescent="0.35">
      <c r="A91" s="48"/>
      <c r="B91" s="48"/>
      <c r="C91" s="48"/>
      <c r="D91" s="48"/>
      <c r="E91" s="48"/>
      <c r="F91" s="48"/>
      <c r="G91" s="48"/>
      <c r="H91" s="48"/>
      <c r="I91" s="48"/>
      <c r="J91" s="48"/>
      <c r="K91" s="48"/>
      <c r="O91" s="48"/>
    </row>
    <row r="92" spans="1:15" ht="18.75" customHeight="1" x14ac:dyDescent="0.35">
      <c r="A92" s="48"/>
      <c r="B92" s="48"/>
      <c r="C92" s="48"/>
      <c r="D92" s="48"/>
      <c r="E92" s="48"/>
      <c r="F92" s="48"/>
      <c r="G92" s="48"/>
      <c r="H92" s="48"/>
      <c r="I92" s="48"/>
      <c r="J92" s="48"/>
      <c r="K92" s="48"/>
      <c r="O92" s="48"/>
    </row>
    <row r="93" spans="1:15" ht="18.75" customHeight="1" x14ac:dyDescent="0.35">
      <c r="A93" s="48"/>
      <c r="B93" s="48"/>
      <c r="C93" s="48"/>
      <c r="D93" s="48"/>
      <c r="E93" s="48"/>
      <c r="F93" s="48"/>
      <c r="G93" s="48"/>
      <c r="H93" s="48"/>
      <c r="I93" s="48"/>
      <c r="J93" s="48"/>
      <c r="K93" s="48"/>
      <c r="O93" s="48"/>
    </row>
    <row r="94" spans="1:15" ht="18.75" customHeight="1" x14ac:dyDescent="0.35">
      <c r="A94" s="48"/>
      <c r="B94" s="48"/>
      <c r="C94" s="48"/>
      <c r="D94" s="48"/>
      <c r="E94" s="48"/>
      <c r="F94" s="48"/>
      <c r="G94" s="48"/>
      <c r="H94" s="48"/>
      <c r="I94" s="48"/>
      <c r="J94" s="48"/>
      <c r="K94" s="48"/>
      <c r="O94" s="48"/>
    </row>
    <row r="95" spans="1:15" ht="18.75" customHeight="1" x14ac:dyDescent="0.35">
      <c r="A95" s="48"/>
      <c r="B95" s="48"/>
      <c r="C95" s="48"/>
      <c r="D95" s="48"/>
      <c r="E95" s="48"/>
      <c r="F95" s="48"/>
      <c r="G95" s="48"/>
      <c r="H95" s="48"/>
      <c r="I95" s="48"/>
      <c r="J95" s="48"/>
      <c r="K95" s="48"/>
      <c r="O95" s="48"/>
    </row>
    <row r="96" spans="1:15" ht="18.75" customHeight="1" x14ac:dyDescent="0.35">
      <c r="A96" s="48"/>
      <c r="B96" s="48"/>
      <c r="C96" s="48"/>
      <c r="D96" s="48"/>
      <c r="E96" s="48"/>
      <c r="F96" s="48"/>
      <c r="G96" s="48"/>
      <c r="H96" s="48"/>
      <c r="I96" s="48"/>
      <c r="J96" s="48"/>
      <c r="K96" s="48"/>
      <c r="O96" s="48"/>
    </row>
    <row r="97" spans="1:17" ht="18.75" customHeight="1" x14ac:dyDescent="0.35">
      <c r="A97" s="48"/>
      <c r="B97" s="48"/>
      <c r="C97" s="48"/>
      <c r="D97" s="48"/>
      <c r="E97" s="48"/>
      <c r="F97" s="48"/>
      <c r="G97" s="48"/>
      <c r="H97" s="48"/>
      <c r="I97" s="48"/>
      <c r="J97" s="48"/>
      <c r="K97" s="48"/>
      <c r="L97" s="48" t="s">
        <v>76</v>
      </c>
      <c r="O97" s="48"/>
      <c r="Q97" s="48"/>
    </row>
    <row r="98" spans="1:17" ht="18.75" customHeight="1" x14ac:dyDescent="0.35">
      <c r="A98" s="48"/>
      <c r="B98" s="48"/>
      <c r="C98" s="48"/>
      <c r="D98" s="48"/>
      <c r="E98" s="48"/>
      <c r="F98" s="48"/>
      <c r="G98" s="48"/>
      <c r="H98" s="48"/>
      <c r="I98" s="48"/>
      <c r="J98" s="48"/>
      <c r="K98" s="48"/>
      <c r="L98" s="48" t="s">
        <v>46</v>
      </c>
      <c r="O98" s="48"/>
      <c r="Q98" s="48"/>
    </row>
    <row r="99" spans="1:17" ht="18.75" customHeight="1" x14ac:dyDescent="0.35">
      <c r="A99" s="48"/>
      <c r="B99" s="48"/>
      <c r="C99" s="48"/>
      <c r="D99" s="48"/>
      <c r="E99" s="48"/>
      <c r="F99" s="48"/>
      <c r="G99" s="48"/>
      <c r="H99" s="48"/>
      <c r="I99" s="48"/>
      <c r="J99" s="48"/>
      <c r="K99" s="48"/>
      <c r="M99" s="48">
        <f>M7</f>
        <v>2024</v>
      </c>
      <c r="N99" s="48">
        <f>N7</f>
        <v>2025</v>
      </c>
      <c r="O99" s="48"/>
      <c r="Q99" s="48"/>
    </row>
    <row r="100" spans="1:17" ht="18.75" customHeight="1" x14ac:dyDescent="0.35">
      <c r="A100" s="48"/>
      <c r="B100" s="48"/>
      <c r="C100" s="48"/>
      <c r="D100" s="48"/>
      <c r="E100" s="48"/>
      <c r="F100" s="48"/>
      <c r="G100" s="48"/>
      <c r="H100" s="48"/>
      <c r="I100" s="48"/>
      <c r="J100" s="48"/>
      <c r="K100" s="48"/>
      <c r="L100" s="48" t="s">
        <v>47</v>
      </c>
      <c r="M100" s="51">
        <f>'DNB Livsforsikring'!B11-'DNB Livsforsikring'!B12+'DNB Livsforsikring'!B34-'DNB Livsforsikring'!B35+'DNB Livsforsikring'!B38-'DNB Livsforsikring'!B39+'DNB Livsforsikring'!B111-'DNB Livsforsikring'!B119+'DNB Livsforsikring'!B136-'DNB Livsforsikring'!B137</f>
        <v>761574</v>
      </c>
      <c r="N100" s="51">
        <f>'DNB Livsforsikring'!C11-'DNB Livsforsikring'!C12+'DNB Livsforsikring'!C34-'DNB Livsforsikring'!C35+'DNB Livsforsikring'!C38-'DNB Livsforsikring'!C39+'DNB Livsforsikring'!C111-'DNB Livsforsikring'!C119+'DNB Livsforsikring'!C136-'DNB Livsforsikring'!C137</f>
        <v>1043732</v>
      </c>
      <c r="O100" s="48"/>
      <c r="Q100" s="48"/>
    </row>
    <row r="101" spans="1:17" ht="18.75" customHeight="1" x14ac:dyDescent="0.35">
      <c r="A101" s="48"/>
      <c r="B101" s="48"/>
      <c r="C101" s="48"/>
      <c r="D101" s="48"/>
      <c r="E101" s="48"/>
      <c r="F101" s="48"/>
      <c r="G101" s="48"/>
      <c r="H101" s="48"/>
      <c r="I101" s="48"/>
      <c r="J101" s="48"/>
      <c r="K101" s="48"/>
      <c r="L101" s="48" t="s">
        <v>53</v>
      </c>
      <c r="M101" s="51">
        <f>'Gjensidige Pensjon'!B11-'Gjensidige Pensjon'!B12+'Gjensidige Pensjon'!B34-'Gjensidige Pensjon'!B35+'Gjensidige Pensjon'!B38-'Gjensidige Pensjon'!B39+'Gjensidige Pensjon'!B111-'Gjensidige Pensjon'!B119+'Gjensidige Pensjon'!B136-'Gjensidige Pensjon'!B137</f>
        <v>71465</v>
      </c>
      <c r="N101" s="51">
        <f>'Gjensidige Pensjon'!C11-'Gjensidige Pensjon'!C12+'Gjensidige Pensjon'!C34-'Gjensidige Pensjon'!C35+'Gjensidige Pensjon'!C38-'Gjensidige Pensjon'!C39+'Gjensidige Pensjon'!C111-'Gjensidige Pensjon'!C119+'Gjensidige Pensjon'!C136-'Gjensidige Pensjon'!C137</f>
        <v>112388</v>
      </c>
      <c r="O101" s="48"/>
      <c r="Q101" s="48"/>
    </row>
    <row r="102" spans="1:17" ht="18.75" customHeight="1" x14ac:dyDescent="0.35">
      <c r="A102" s="48"/>
      <c r="B102" s="48"/>
      <c r="C102" s="48"/>
      <c r="D102" s="48"/>
      <c r="E102" s="48"/>
      <c r="F102" s="48"/>
      <c r="G102" s="48"/>
      <c r="H102" s="48"/>
      <c r="I102" s="48"/>
      <c r="J102" s="48"/>
      <c r="K102" s="48"/>
      <c r="L102" s="48" t="s">
        <v>55</v>
      </c>
      <c r="M102" s="51">
        <f>KLP!B11-KLP!B12+KLP!B34-KLP!B35+KLP!B38-KLP!B39+KLP!B111-KLP!B119+KLP!B136-KLP!B137</f>
        <v>-2420417.111</v>
      </c>
      <c r="N102" s="51">
        <f>KLP!C11-KLP!C12+KLP!C34-KLP!C35+KLP!C38-KLP!C39+KLP!C111-KLP!C119+KLP!C136-KLP!C137</f>
        <v>-4126398.057</v>
      </c>
      <c r="O102" s="48"/>
      <c r="Q102" s="48"/>
    </row>
    <row r="103" spans="1:17" ht="18.75" customHeight="1" x14ac:dyDescent="0.35">
      <c r="A103" s="48"/>
      <c r="B103" s="48"/>
      <c r="C103" s="48"/>
      <c r="D103" s="48"/>
      <c r="E103" s="48"/>
      <c r="F103" s="48"/>
      <c r="G103" s="48"/>
      <c r="H103" s="48"/>
      <c r="I103" s="48"/>
      <c r="J103" s="48"/>
      <c r="K103" s="48"/>
      <c r="L103" s="48" t="s">
        <v>60</v>
      </c>
      <c r="M103" s="51">
        <f>'Nordea Liv '!B11-'Nordea Liv '!B12+'Nordea Liv '!B34-'Nordea Liv '!B35+'Nordea Liv '!B38-'Nordea Liv '!B39+'Nordea Liv '!B111-'Nordea Liv '!B119+'Nordea Liv '!B136-'Nordea Liv '!B137</f>
        <v>18021.551449999803</v>
      </c>
      <c r="N103" s="51">
        <f>'Nordea Liv '!C11-'Nordea Liv '!C12+'Nordea Liv '!C34-'Nordea Liv '!C35+'Nordea Liv '!C38-'Nordea Liv '!C39+'Nordea Liv '!C111-'Nordea Liv '!C119+'Nordea Liv '!C136-'Nordea Liv '!C137</f>
        <v>-4235.0054200007007</v>
      </c>
      <c r="O103" s="48"/>
      <c r="Q103" s="48"/>
    </row>
    <row r="104" spans="1:17" ht="18.75" customHeight="1" x14ac:dyDescent="0.35">
      <c r="A104" s="48"/>
      <c r="B104" s="48"/>
      <c r="C104" s="48"/>
      <c r="D104" s="48"/>
      <c r="E104" s="48"/>
      <c r="F104" s="48"/>
      <c r="G104" s="48"/>
      <c r="H104" s="48"/>
      <c r="I104" s="48"/>
      <c r="J104" s="48"/>
      <c r="K104" s="48"/>
      <c r="L104" s="48" t="s">
        <v>64</v>
      </c>
      <c r="M104" s="51">
        <f>'Sparebank 1 Fors.'!B11-'Sparebank 1 Fors.'!B12+'Sparebank 1 Fors.'!B34-'Sparebank 1 Fors.'!B35+'Sparebank 1 Fors.'!B38-'Sparebank 1 Fors.'!B39+'Sparebank 1 Fors.'!B111-'Sparebank 1 Fors.'!B119+'Sparebank 1 Fors.'!B136-'Sparebank 1 Fors.'!B137</f>
        <v>-5650.6208700000061</v>
      </c>
      <c r="N104" s="51">
        <f>'Sparebank 1 Fors.'!C11-'Sparebank 1 Fors.'!C12+'Sparebank 1 Fors.'!C34-'Sparebank 1 Fors.'!C35+'Sparebank 1 Fors.'!C38-'Sparebank 1 Fors.'!C39+'Sparebank 1 Fors.'!C111-'Sparebank 1 Fors.'!C119+'Sparebank 1 Fors.'!C136-'Sparebank 1 Fors.'!C137</f>
        <v>961605.20893999992</v>
      </c>
      <c r="O104" s="48"/>
      <c r="Q104" s="48"/>
    </row>
    <row r="105" spans="1:17" ht="18.75" customHeight="1" x14ac:dyDescent="0.35">
      <c r="A105" s="48"/>
      <c r="B105" s="48"/>
      <c r="C105" s="48"/>
      <c r="D105" s="48"/>
      <c r="E105" s="48"/>
      <c r="F105" s="48"/>
      <c r="G105" s="48"/>
      <c r="H105" s="48"/>
      <c r="I105" s="48"/>
      <c r="J105" s="48"/>
      <c r="K105" s="48"/>
      <c r="L105" s="48" t="s">
        <v>65</v>
      </c>
      <c r="M105" s="51">
        <f>'Storebrand Livsforsikring'!B11-'Storebrand Livsforsikring'!B12+'Storebrand Livsforsikring'!B34-'Storebrand Livsforsikring'!B35+'Storebrand Livsforsikring'!B38-'Storebrand Livsforsikring'!B39+'Storebrand Livsforsikring'!B111-'Storebrand Livsforsikring'!B119+'Storebrand Livsforsikring'!B136-'Storebrand Livsforsikring'!B137</f>
        <v>2283149.0040899999</v>
      </c>
      <c r="N105" s="51">
        <f>'Storebrand Livsforsikring'!C11-'Storebrand Livsforsikring'!C12+'Storebrand Livsforsikring'!C34-'Storebrand Livsforsikring'!C35+'Storebrand Livsforsikring'!C38-'Storebrand Livsforsikring'!C39+'Storebrand Livsforsikring'!C111-'Storebrand Livsforsikring'!C119+'Storebrand Livsforsikring'!C136-'Storebrand Livsforsikring'!C137</f>
        <v>3506527.6740899999</v>
      </c>
      <c r="O105" s="48"/>
      <c r="Q105" s="48"/>
    </row>
    <row r="106" spans="1:17" ht="18.75" customHeight="1" x14ac:dyDescent="0.35">
      <c r="A106" s="49" t="s">
        <v>487</v>
      </c>
      <c r="B106" s="48"/>
      <c r="C106" s="48"/>
      <c r="D106" s="48"/>
      <c r="E106" s="48"/>
      <c r="F106" s="48"/>
      <c r="G106" s="48"/>
      <c r="H106" s="48"/>
      <c r="I106" s="48"/>
      <c r="J106" s="48"/>
      <c r="K106" s="48"/>
      <c r="M106" s="51"/>
      <c r="N106" s="51"/>
      <c r="O106" s="48"/>
      <c r="Q106" s="48"/>
    </row>
    <row r="107" spans="1:17" ht="18.75" customHeight="1" x14ac:dyDescent="0.35">
      <c r="A107" s="48"/>
      <c r="B107" s="48"/>
      <c r="C107" s="48"/>
      <c r="D107" s="48"/>
      <c r="E107" s="48"/>
      <c r="F107" s="48"/>
      <c r="G107" s="48"/>
      <c r="H107" s="48"/>
      <c r="I107" s="48"/>
      <c r="J107" s="48"/>
      <c r="K107" s="48"/>
      <c r="M107" s="51"/>
      <c r="N107" s="51"/>
      <c r="O107" s="48"/>
      <c r="Q107" s="48"/>
    </row>
    <row r="108" spans="1:17" ht="18.75" customHeight="1" x14ac:dyDescent="0.35">
      <c r="A108" s="48"/>
      <c r="B108" s="48"/>
      <c r="C108" s="48"/>
      <c r="D108" s="48"/>
      <c r="E108" s="48"/>
      <c r="F108" s="48"/>
      <c r="G108" s="48"/>
      <c r="H108" s="48"/>
      <c r="I108" s="48"/>
      <c r="J108" s="48"/>
      <c r="K108" s="48"/>
      <c r="M108" s="51"/>
      <c r="N108" s="51"/>
      <c r="O108" s="48"/>
      <c r="Q108" s="48"/>
    </row>
    <row r="109" spans="1:17" ht="18.75" customHeight="1" x14ac:dyDescent="0.35">
      <c r="A109" s="48"/>
      <c r="B109" s="48"/>
      <c r="C109" s="48"/>
      <c r="D109" s="48"/>
      <c r="E109" s="48"/>
      <c r="F109" s="48"/>
      <c r="G109" s="48"/>
      <c r="H109" s="48"/>
      <c r="I109" s="48"/>
      <c r="J109" s="48"/>
      <c r="K109" s="48"/>
      <c r="M109" s="51"/>
      <c r="N109" s="51"/>
      <c r="O109" s="48"/>
      <c r="Q109" s="48"/>
    </row>
    <row r="110" spans="1:17" ht="18.75" customHeight="1" x14ac:dyDescent="0.35">
      <c r="A110" s="48"/>
      <c r="B110" s="48"/>
      <c r="C110" s="48"/>
      <c r="D110" s="48"/>
      <c r="E110" s="48"/>
      <c r="F110" s="48"/>
      <c r="G110" s="48"/>
      <c r="H110" s="48"/>
      <c r="I110" s="48"/>
      <c r="J110" s="48"/>
      <c r="K110" s="48"/>
      <c r="M110" s="51"/>
      <c r="N110" s="51"/>
      <c r="O110" s="48"/>
      <c r="Q110" s="48"/>
    </row>
    <row r="111" spans="1:17" ht="18.75" customHeight="1" x14ac:dyDescent="0.35">
      <c r="A111" s="48"/>
      <c r="B111" s="48"/>
      <c r="C111" s="48"/>
      <c r="D111" s="48"/>
      <c r="E111" s="48"/>
      <c r="F111" s="48"/>
      <c r="G111" s="48"/>
      <c r="H111" s="48"/>
      <c r="I111" s="48"/>
      <c r="J111" s="48"/>
      <c r="K111" s="48"/>
      <c r="M111" s="51"/>
      <c r="N111" s="51"/>
      <c r="O111" s="48"/>
      <c r="Q111" s="48"/>
    </row>
    <row r="112" spans="1:17" ht="18.75" customHeight="1" x14ac:dyDescent="0.35">
      <c r="A112" s="48"/>
      <c r="B112" s="48"/>
      <c r="C112" s="48"/>
      <c r="D112" s="48"/>
      <c r="E112" s="48"/>
      <c r="F112" s="48"/>
      <c r="G112" s="48"/>
      <c r="H112" s="48"/>
      <c r="I112" s="48"/>
      <c r="J112" s="48"/>
      <c r="K112" s="48"/>
      <c r="M112" s="51"/>
      <c r="N112" s="51"/>
      <c r="O112" s="48"/>
      <c r="Q112" s="48"/>
    </row>
    <row r="113" spans="1:17" ht="18.75" customHeight="1" x14ac:dyDescent="0.35">
      <c r="A113" s="48"/>
      <c r="B113" s="48"/>
      <c r="C113" s="48"/>
      <c r="D113" s="48"/>
      <c r="E113" s="48"/>
      <c r="F113" s="48"/>
      <c r="G113" s="48"/>
      <c r="H113" s="48"/>
      <c r="I113" s="48"/>
      <c r="J113" s="48"/>
      <c r="K113" s="48"/>
      <c r="O113" s="48"/>
      <c r="Q113" s="48"/>
    </row>
    <row r="114" spans="1:17" ht="18.75" customHeight="1" x14ac:dyDescent="0.35">
      <c r="A114" s="48"/>
      <c r="B114" s="48"/>
      <c r="C114" s="48"/>
      <c r="D114" s="48"/>
      <c r="E114" s="48"/>
      <c r="F114" s="48"/>
      <c r="G114" s="48"/>
      <c r="H114" s="48"/>
      <c r="I114" s="48"/>
      <c r="J114" s="48"/>
      <c r="K114" s="48"/>
      <c r="O114" s="48"/>
      <c r="Q114" s="48"/>
    </row>
    <row r="115" spans="1:17" ht="18.75" customHeight="1" x14ac:dyDescent="0.35">
      <c r="A115" s="48"/>
      <c r="B115" s="48"/>
      <c r="C115" s="48"/>
      <c r="D115" s="48"/>
      <c r="E115" s="48"/>
      <c r="F115" s="48"/>
      <c r="G115" s="48"/>
      <c r="H115" s="48"/>
      <c r="I115" s="48"/>
      <c r="J115" s="48"/>
      <c r="K115" s="48"/>
      <c r="O115" s="48"/>
      <c r="Q115" s="48"/>
    </row>
    <row r="116" spans="1:17" ht="18.75" customHeight="1" x14ac:dyDescent="0.35">
      <c r="A116" s="48"/>
      <c r="B116" s="48"/>
      <c r="C116" s="48"/>
      <c r="D116" s="48"/>
      <c r="E116" s="48"/>
      <c r="F116" s="48"/>
      <c r="G116" s="48"/>
      <c r="H116" s="48"/>
      <c r="I116" s="48"/>
      <c r="J116" s="48"/>
      <c r="K116" s="48"/>
      <c r="O116" s="48"/>
      <c r="Q116" s="48"/>
    </row>
    <row r="117" spans="1:17" ht="18.75" customHeight="1" x14ac:dyDescent="0.35">
      <c r="A117" s="48"/>
      <c r="B117" s="48"/>
      <c r="C117" s="48"/>
      <c r="D117" s="48"/>
      <c r="E117" s="48"/>
      <c r="F117" s="48"/>
      <c r="G117" s="48"/>
      <c r="H117" s="48"/>
      <c r="I117" s="48"/>
      <c r="J117" s="48"/>
      <c r="K117" s="48"/>
      <c r="O117" s="48"/>
    </row>
    <row r="118" spans="1:17" ht="18.75" customHeight="1" x14ac:dyDescent="0.35">
      <c r="A118" s="48"/>
      <c r="B118" s="48"/>
      <c r="C118" s="48"/>
      <c r="D118" s="48"/>
      <c r="E118" s="48"/>
      <c r="F118" s="48"/>
      <c r="G118" s="48"/>
      <c r="H118" s="48"/>
      <c r="I118" s="48"/>
      <c r="J118" s="48"/>
      <c r="K118" s="48"/>
      <c r="O118" s="48"/>
    </row>
    <row r="119" spans="1:17" ht="18.75" customHeight="1" x14ac:dyDescent="0.35">
      <c r="A119" s="48"/>
      <c r="B119" s="48"/>
      <c r="C119" s="48"/>
      <c r="D119" s="48"/>
      <c r="E119" s="48"/>
      <c r="F119" s="48"/>
      <c r="G119" s="48"/>
      <c r="H119" s="48"/>
      <c r="I119" s="48"/>
      <c r="J119" s="48"/>
      <c r="K119" s="48"/>
      <c r="L119" s="48" t="s">
        <v>77</v>
      </c>
      <c r="O119" s="48"/>
    </row>
    <row r="120" spans="1:17" ht="18.75" customHeight="1" x14ac:dyDescent="0.35">
      <c r="A120" s="48"/>
      <c r="B120" s="48"/>
      <c r="C120" s="48"/>
      <c r="D120" s="48"/>
      <c r="E120" s="48"/>
      <c r="F120" s="48"/>
      <c r="G120" s="48"/>
      <c r="H120" s="48"/>
      <c r="I120" s="48"/>
      <c r="J120" s="48"/>
      <c r="K120" s="48"/>
      <c r="L120" s="48" t="s">
        <v>70</v>
      </c>
      <c r="O120" s="48"/>
    </row>
    <row r="121" spans="1:17" ht="18.75" customHeight="1" x14ac:dyDescent="0.35">
      <c r="A121" s="48"/>
      <c r="B121" s="48"/>
      <c r="C121" s="48"/>
      <c r="D121" s="48"/>
      <c r="E121" s="48"/>
      <c r="F121" s="48"/>
      <c r="G121" s="48"/>
      <c r="H121" s="48"/>
      <c r="I121" s="48"/>
      <c r="J121" s="48"/>
      <c r="K121" s="48"/>
      <c r="M121" s="48">
        <f>M7</f>
        <v>2024</v>
      </c>
      <c r="N121" s="48">
        <f>N7</f>
        <v>2025</v>
      </c>
      <c r="O121" s="48"/>
    </row>
    <row r="122" spans="1:17" ht="18.75" customHeight="1" x14ac:dyDescent="0.35">
      <c r="A122" s="48"/>
      <c r="B122" s="48"/>
      <c r="C122" s="48"/>
      <c r="D122" s="48"/>
      <c r="E122" s="48"/>
      <c r="F122" s="48"/>
      <c r="G122" s="48"/>
      <c r="H122" s="48"/>
      <c r="I122" s="48"/>
      <c r="J122" s="48"/>
      <c r="K122" s="48"/>
      <c r="L122" s="48" t="s">
        <v>47</v>
      </c>
      <c r="M122" s="51">
        <f>'DNB Livsforsikring'!F11-'DNB Livsforsikring'!F12+'DNB Livsforsikring'!F34-'DNB Livsforsikring'!F35+'DNB Livsforsikring'!F38-'DNB Livsforsikring'!F39+'DNB Livsforsikring'!F111-'DNB Livsforsikring'!F119+'DNB Livsforsikring'!F136-'DNB Livsforsikring'!F137</f>
        <v>-2758047</v>
      </c>
      <c r="N122" s="51">
        <f>'DNB Livsforsikring'!G11-'DNB Livsforsikring'!G12+'DNB Livsforsikring'!G34-'DNB Livsforsikring'!G35+'DNB Livsforsikring'!G38-'DNB Livsforsikring'!G39+'DNB Livsforsikring'!G111-'DNB Livsforsikring'!G119+'DNB Livsforsikring'!G136-'DNB Livsforsikring'!G137</f>
        <v>942398.09800000116</v>
      </c>
      <c r="O122" s="48"/>
    </row>
    <row r="123" spans="1:17" x14ac:dyDescent="0.35">
      <c r="A123" s="48"/>
      <c r="B123" s="48"/>
      <c r="C123" s="48"/>
      <c r="D123" s="48"/>
      <c r="E123" s="48"/>
      <c r="F123" s="48"/>
      <c r="G123" s="48"/>
      <c r="H123" s="48"/>
      <c r="I123" s="48"/>
      <c r="J123" s="48"/>
      <c r="K123" s="48"/>
      <c r="L123" s="48" t="s">
        <v>53</v>
      </c>
      <c r="M123" s="51">
        <f>'Gjensidige Pensjon'!F11-'Gjensidige Pensjon'!F12+'Gjensidige Pensjon'!F34-'Gjensidige Pensjon'!F35+'Gjensidige Pensjon'!F38-'Gjensidige Pensjon'!F39+'Gjensidige Pensjon'!F111-'Gjensidige Pensjon'!F119+'Gjensidige Pensjon'!F136-'Gjensidige Pensjon'!F137</f>
        <v>1422067</v>
      </c>
      <c r="N123" s="51">
        <f>'Gjensidige Pensjon'!G11-'Gjensidige Pensjon'!G12+'Gjensidige Pensjon'!G34-'Gjensidige Pensjon'!G35+'Gjensidige Pensjon'!G38-'Gjensidige Pensjon'!G39+'Gjensidige Pensjon'!G111-'Gjensidige Pensjon'!G119+'Gjensidige Pensjon'!G136-'Gjensidige Pensjon'!G137</f>
        <v>518363</v>
      </c>
      <c r="O123" s="48"/>
    </row>
    <row r="124" spans="1:17" x14ac:dyDescent="0.35">
      <c r="A124" s="48"/>
      <c r="B124" s="48"/>
      <c r="C124" s="48"/>
      <c r="D124" s="48"/>
      <c r="E124" s="48"/>
      <c r="F124" s="48"/>
      <c r="G124" s="48"/>
      <c r="H124" s="48"/>
      <c r="I124" s="48"/>
      <c r="J124" s="48"/>
      <c r="K124" s="48"/>
      <c r="L124" s="48" t="s">
        <v>55</v>
      </c>
      <c r="M124" s="51">
        <f>KLP!F11-KLP!F12+KLP!F34-KLP!F35+KLP!F38-KLP!F39+KLP!F111-KLP!F119+KLP!F136-KLP!F137</f>
        <v>-1022.97</v>
      </c>
      <c r="N124" s="51">
        <f>KLP!G11-KLP!G12+KLP!G34-KLP!G35+KLP!G38-KLP!G39+KLP!G111-KLP!G119+KLP!G136-KLP!G137</f>
        <v>-3933.2139999999999</v>
      </c>
      <c r="O124" s="48"/>
    </row>
    <row r="125" spans="1:17" x14ac:dyDescent="0.35">
      <c r="A125" s="48"/>
      <c r="B125" s="48"/>
      <c r="C125" s="48"/>
      <c r="D125" s="48"/>
      <c r="E125" s="48"/>
      <c r="F125" s="48"/>
      <c r="G125" s="48"/>
      <c r="H125" s="48"/>
      <c r="I125" s="48"/>
      <c r="J125" s="48"/>
      <c r="K125" s="48"/>
      <c r="L125" s="48" t="s">
        <v>60</v>
      </c>
      <c r="M125" s="51">
        <f>'Nordea Liv '!F11-'Nordea Liv '!F12+'Nordea Liv '!F34-'Nordea Liv '!F35+'Nordea Liv '!F38-'Nordea Liv '!F39+'Nordea Liv '!F111-'Nordea Liv '!F119+'Nordea Liv '!F136-'Nordea Liv '!F137</f>
        <v>1235747.5686399993</v>
      </c>
      <c r="N125" s="51">
        <f>'Nordea Liv '!G11-'Nordea Liv '!G12+'Nordea Liv '!G34-'Nordea Liv '!G35+'Nordea Liv '!G38-'Nordea Liv '!G39+'Nordea Liv '!G111-'Nordea Liv '!G119+'Nordea Liv '!G136-'Nordea Liv '!G137</f>
        <v>2065667.5428100005</v>
      </c>
      <c r="O125" s="48"/>
    </row>
    <row r="126" spans="1:17" x14ac:dyDescent="0.35">
      <c r="A126" s="48"/>
      <c r="B126" s="48"/>
      <c r="C126" s="48"/>
      <c r="D126" s="48"/>
      <c r="E126" s="48"/>
      <c r="F126" s="48"/>
      <c r="G126" s="48"/>
      <c r="H126" s="48"/>
      <c r="I126" s="48"/>
      <c r="J126" s="48"/>
      <c r="K126" s="48"/>
      <c r="L126" s="48" t="s">
        <v>64</v>
      </c>
      <c r="M126" s="51">
        <f>'Sparebank 1 Fors.'!F11-'Sparebank 1 Fors.'!F12+'Sparebank 1 Fors.'!F34-'Sparebank 1 Fors.'!F35+'Sparebank 1 Fors.'!F38-'Sparebank 1 Fors.'!F39+'Sparebank 1 Fors.'!F111-'Sparebank 1 Fors.'!F119+'Sparebank 1 Fors.'!F136-'Sparebank 1 Fors.'!F137</f>
        <v>-120529.58741999976</v>
      </c>
      <c r="N126" s="51">
        <f>'Sparebank 1 Fors.'!G11-'Sparebank 1 Fors.'!G12+'Sparebank 1 Fors.'!G34-'Sparebank 1 Fors.'!G35+'Sparebank 1 Fors.'!G38-'Sparebank 1 Fors.'!G39+'Sparebank 1 Fors.'!G111-'Sparebank 1 Fors.'!G119+'Sparebank 1 Fors.'!G136-'Sparebank 1 Fors.'!G137</f>
        <v>-311584.14071999956</v>
      </c>
      <c r="O126" s="48"/>
    </row>
    <row r="127" spans="1:17" x14ac:dyDescent="0.35">
      <c r="A127" s="48"/>
      <c r="B127" s="48"/>
      <c r="C127" s="48"/>
      <c r="D127" s="48"/>
      <c r="E127" s="48"/>
      <c r="F127" s="48"/>
      <c r="G127" s="48"/>
      <c r="H127" s="48"/>
      <c r="I127" s="48"/>
      <c r="J127" s="48"/>
      <c r="K127" s="48"/>
      <c r="L127" s="48" t="s">
        <v>65</v>
      </c>
      <c r="M127" s="51">
        <f>'Storebrand Livsforsikring'!F11-'Storebrand Livsforsikring'!F12+'Storebrand Livsforsikring'!F34-'Storebrand Livsforsikring'!F35+'Storebrand Livsforsikring'!F38-'Storebrand Livsforsikring'!F39+'Storebrand Livsforsikring'!F111-'Storebrand Livsforsikring'!F119+'Storebrand Livsforsikring'!F136-'Storebrand Livsforsikring'!F137</f>
        <v>-5044639.8881800007</v>
      </c>
      <c r="N127" s="51">
        <f>'Storebrand Livsforsikring'!G11-'Storebrand Livsforsikring'!G12+'Storebrand Livsforsikring'!G34-'Storebrand Livsforsikring'!G35+'Storebrand Livsforsikring'!G38-'Storebrand Livsforsikring'!G39+'Storebrand Livsforsikring'!G111-'Storebrand Livsforsikring'!G119+'Storebrand Livsforsikring'!G136-'Storebrand Livsforsikring'!G137</f>
        <v>-7489197.776949998</v>
      </c>
      <c r="O127" s="48"/>
    </row>
    <row r="128" spans="1:17" x14ac:dyDescent="0.35">
      <c r="A128" s="48"/>
      <c r="B128" s="48"/>
      <c r="C128" s="48"/>
      <c r="D128" s="48"/>
      <c r="E128" s="48"/>
      <c r="F128" s="48"/>
      <c r="G128" s="48"/>
      <c r="H128" s="48"/>
      <c r="I128" s="48"/>
      <c r="J128" s="48"/>
      <c r="K128" s="48"/>
      <c r="O128" s="48"/>
    </row>
    <row r="129" spans="1:15" x14ac:dyDescent="0.35">
      <c r="A129" s="48"/>
      <c r="B129" s="48"/>
      <c r="C129" s="48"/>
      <c r="D129" s="48"/>
      <c r="E129" s="48"/>
      <c r="F129" s="48"/>
      <c r="G129" s="48"/>
      <c r="H129" s="48"/>
      <c r="I129" s="48"/>
      <c r="J129" s="48"/>
      <c r="K129" s="48"/>
      <c r="O129" s="48"/>
    </row>
    <row r="130" spans="1:15" x14ac:dyDescent="0.35">
      <c r="A130" s="49" t="s">
        <v>488</v>
      </c>
      <c r="B130" s="48"/>
      <c r="C130" s="48"/>
      <c r="D130" s="48"/>
      <c r="E130" s="48"/>
      <c r="F130" s="48"/>
      <c r="G130" s="48"/>
      <c r="H130" s="48"/>
      <c r="I130" s="48"/>
      <c r="J130" s="48"/>
      <c r="K130" s="48"/>
      <c r="O130" s="48"/>
    </row>
    <row r="131" spans="1:15" x14ac:dyDescent="0.35">
      <c r="B131" s="48"/>
      <c r="C131" s="48"/>
      <c r="D131" s="48"/>
      <c r="E131" s="48"/>
      <c r="F131" s="48"/>
      <c r="G131" s="48"/>
      <c r="H131" s="48"/>
      <c r="I131" s="48"/>
      <c r="J131" s="48"/>
      <c r="K131" s="48"/>
      <c r="O131" s="48"/>
    </row>
    <row r="132" spans="1:15" x14ac:dyDescent="0.35">
      <c r="A132" s="48"/>
      <c r="B132" s="48"/>
      <c r="C132" s="48"/>
      <c r="D132" s="48"/>
      <c r="E132" s="48"/>
      <c r="F132" s="48"/>
      <c r="G132" s="48"/>
      <c r="H132" s="48"/>
      <c r="I132" s="48"/>
      <c r="J132" s="48"/>
      <c r="K132" s="48"/>
      <c r="O132" s="48"/>
    </row>
    <row r="133" spans="1:15" x14ac:dyDescent="0.35">
      <c r="A133" s="48"/>
      <c r="B133" s="48"/>
      <c r="C133" s="48"/>
      <c r="D133" s="48"/>
      <c r="E133" s="48"/>
      <c r="F133" s="48"/>
      <c r="G133" s="48"/>
      <c r="H133" s="48"/>
      <c r="I133" s="48"/>
      <c r="J133" s="48"/>
      <c r="K133" s="48"/>
      <c r="O133" s="48"/>
    </row>
    <row r="134" spans="1:15" x14ac:dyDescent="0.35">
      <c r="A134" s="48"/>
      <c r="B134" s="48"/>
      <c r="C134" s="48"/>
      <c r="D134" s="48"/>
      <c r="E134" s="48"/>
      <c r="F134" s="48"/>
      <c r="G134" s="48"/>
      <c r="H134" s="48"/>
      <c r="I134" s="48"/>
      <c r="J134" s="48"/>
      <c r="K134" s="48"/>
      <c r="O134" s="48"/>
    </row>
    <row r="135" spans="1:15" x14ac:dyDescent="0.35">
      <c r="A135" s="48"/>
      <c r="B135" s="48"/>
      <c r="C135" s="48"/>
      <c r="D135" s="48"/>
      <c r="E135" s="48"/>
      <c r="F135" s="48"/>
      <c r="G135" s="48"/>
      <c r="H135" s="48"/>
      <c r="I135" s="48"/>
      <c r="J135" s="48"/>
      <c r="K135" s="48"/>
      <c r="O135" s="48"/>
    </row>
    <row r="136" spans="1:15" x14ac:dyDescent="0.35">
      <c r="A136" s="48"/>
      <c r="B136" s="48"/>
      <c r="C136" s="48"/>
      <c r="D136" s="48"/>
      <c r="E136" s="48"/>
      <c r="F136" s="48"/>
      <c r="G136" s="48"/>
      <c r="H136" s="48"/>
      <c r="I136" s="48"/>
      <c r="J136" s="48"/>
      <c r="K136" s="48"/>
      <c r="O136" s="48"/>
    </row>
    <row r="137" spans="1:15" x14ac:dyDescent="0.35">
      <c r="A137" s="48"/>
      <c r="B137" s="48"/>
      <c r="C137" s="48"/>
      <c r="D137" s="48"/>
      <c r="E137" s="48"/>
      <c r="F137" s="48"/>
      <c r="G137" s="48"/>
      <c r="H137" s="48"/>
      <c r="I137" s="48"/>
      <c r="J137" s="48"/>
      <c r="K137" s="48"/>
      <c r="O137" s="48"/>
    </row>
    <row r="138" spans="1:15" x14ac:dyDescent="0.35">
      <c r="A138" s="48"/>
      <c r="B138" s="48"/>
      <c r="C138" s="48"/>
      <c r="D138" s="48"/>
      <c r="E138" s="48"/>
      <c r="F138" s="48"/>
      <c r="G138" s="48"/>
      <c r="H138" s="48"/>
      <c r="I138" s="48"/>
      <c r="J138" s="48"/>
      <c r="K138" s="48"/>
      <c r="O138" s="48"/>
    </row>
    <row r="139" spans="1:15" x14ac:dyDescent="0.35">
      <c r="A139" s="48"/>
      <c r="B139" s="48"/>
      <c r="C139" s="48"/>
      <c r="D139" s="48"/>
      <c r="E139" s="48"/>
      <c r="F139" s="48"/>
      <c r="G139" s="48"/>
      <c r="H139" s="48"/>
      <c r="I139" s="48"/>
      <c r="J139" s="48"/>
      <c r="K139" s="48"/>
      <c r="O139" s="48"/>
    </row>
    <row r="140" spans="1:15" x14ac:dyDescent="0.35">
      <c r="A140" s="48"/>
      <c r="B140" s="48"/>
      <c r="C140" s="48"/>
      <c r="D140" s="48"/>
      <c r="E140" s="48"/>
      <c r="F140" s="48"/>
      <c r="G140" s="48"/>
      <c r="H140" s="48"/>
      <c r="I140" s="48"/>
      <c r="J140" s="48"/>
      <c r="K140" s="48"/>
      <c r="O140" s="48"/>
    </row>
    <row r="141" spans="1:15" x14ac:dyDescent="0.35">
      <c r="A141" s="48"/>
      <c r="B141" s="48"/>
      <c r="C141" s="48"/>
      <c r="D141" s="48"/>
      <c r="E141" s="48"/>
      <c r="F141" s="48"/>
      <c r="G141" s="48"/>
      <c r="H141" s="48"/>
      <c r="I141" s="48"/>
      <c r="J141" s="48"/>
      <c r="K141" s="48"/>
      <c r="O141" s="48"/>
    </row>
    <row r="142" spans="1:15" x14ac:dyDescent="0.35">
      <c r="A142" s="48"/>
      <c r="B142" s="48"/>
      <c r="C142" s="48"/>
      <c r="D142" s="48"/>
      <c r="E142" s="48"/>
      <c r="F142" s="48"/>
      <c r="G142" s="48"/>
      <c r="H142" s="48"/>
      <c r="I142" s="48"/>
      <c r="J142" s="48"/>
      <c r="K142" s="48"/>
      <c r="O142" s="48"/>
    </row>
    <row r="143" spans="1:15" x14ac:dyDescent="0.35">
      <c r="A143" s="48"/>
      <c r="B143" s="48"/>
      <c r="C143" s="48"/>
      <c r="D143" s="48"/>
      <c r="E143" s="48"/>
      <c r="F143" s="48"/>
      <c r="G143" s="48"/>
      <c r="H143" s="48"/>
      <c r="I143" s="48"/>
      <c r="J143" s="48"/>
      <c r="K143" s="48"/>
      <c r="O143" s="48"/>
    </row>
    <row r="144" spans="1:15" x14ac:dyDescent="0.35">
      <c r="A144" s="48"/>
      <c r="B144" s="48"/>
      <c r="C144" s="48"/>
      <c r="D144" s="48"/>
      <c r="E144" s="48"/>
      <c r="F144" s="48"/>
      <c r="G144" s="48"/>
      <c r="H144" s="48"/>
      <c r="I144" s="48"/>
      <c r="J144" s="48"/>
      <c r="K144" s="48"/>
      <c r="O144" s="48"/>
    </row>
    <row r="145" spans="1:15" x14ac:dyDescent="0.35">
      <c r="A145" s="48"/>
      <c r="B145" s="48"/>
      <c r="C145" s="48"/>
      <c r="D145" s="48"/>
      <c r="E145" s="48"/>
      <c r="F145" s="48"/>
      <c r="G145" s="48"/>
      <c r="H145" s="48"/>
      <c r="I145" s="48"/>
      <c r="J145" s="48"/>
      <c r="K145" s="48"/>
      <c r="O145" s="48"/>
    </row>
    <row r="146" spans="1:15" x14ac:dyDescent="0.35">
      <c r="A146" s="48"/>
      <c r="B146" s="48"/>
      <c r="C146" s="48"/>
      <c r="D146" s="48"/>
      <c r="E146" s="48"/>
      <c r="F146" s="48"/>
      <c r="G146" s="48"/>
      <c r="H146" s="48"/>
      <c r="I146" s="48"/>
      <c r="J146" s="48"/>
      <c r="K146" s="48"/>
      <c r="O146" s="48"/>
    </row>
    <row r="147" spans="1:15" x14ac:dyDescent="0.35">
      <c r="A147" s="48"/>
      <c r="B147" s="48"/>
      <c r="C147" s="48"/>
      <c r="D147" s="48"/>
      <c r="E147" s="48"/>
      <c r="F147" s="48"/>
      <c r="G147" s="48"/>
      <c r="H147" s="48"/>
      <c r="I147" s="48"/>
      <c r="J147" s="48"/>
      <c r="K147" s="48"/>
      <c r="O147" s="48"/>
    </row>
    <row r="148" spans="1:15" x14ac:dyDescent="0.35">
      <c r="A148" s="48"/>
      <c r="B148" s="48"/>
      <c r="C148" s="48"/>
      <c r="D148" s="48"/>
      <c r="E148" s="48"/>
      <c r="F148" s="48"/>
      <c r="G148" s="48"/>
      <c r="H148" s="48"/>
      <c r="I148" s="48"/>
      <c r="J148" s="48"/>
      <c r="K148" s="48"/>
      <c r="O148" s="48"/>
    </row>
    <row r="149" spans="1:15" x14ac:dyDescent="0.35">
      <c r="A149" s="48"/>
      <c r="B149" s="48"/>
      <c r="C149" s="48"/>
      <c r="D149" s="48"/>
      <c r="E149" s="48"/>
      <c r="F149" s="48"/>
      <c r="G149" s="48"/>
      <c r="H149" s="48"/>
      <c r="I149" s="48"/>
      <c r="J149" s="48"/>
      <c r="K149" s="48"/>
      <c r="O149" s="48"/>
    </row>
    <row r="150" spans="1:15" x14ac:dyDescent="0.35">
      <c r="A150" s="48"/>
      <c r="B150" s="48"/>
      <c r="C150" s="48"/>
      <c r="D150" s="48"/>
      <c r="E150" s="48"/>
      <c r="F150" s="48"/>
      <c r="G150" s="48"/>
      <c r="H150" s="48"/>
      <c r="I150" s="48"/>
      <c r="J150" s="48"/>
      <c r="K150" s="48"/>
      <c r="O150" s="48"/>
    </row>
    <row r="151" spans="1:15" x14ac:dyDescent="0.35">
      <c r="A151" s="48"/>
      <c r="B151" s="48"/>
      <c r="C151" s="48"/>
      <c r="D151" s="48"/>
      <c r="E151" s="48"/>
      <c r="F151" s="48"/>
      <c r="G151" s="48"/>
      <c r="H151" s="48"/>
      <c r="I151" s="48"/>
      <c r="J151" s="48"/>
      <c r="K151" s="48"/>
      <c r="O151" s="48"/>
    </row>
    <row r="152" spans="1:15" x14ac:dyDescent="0.35">
      <c r="A152" s="48"/>
      <c r="B152" s="48"/>
      <c r="C152" s="48"/>
      <c r="D152" s="48"/>
      <c r="E152" s="48"/>
      <c r="F152" s="48"/>
      <c r="G152" s="48"/>
      <c r="H152" s="48"/>
      <c r="I152" s="48"/>
      <c r="J152" s="48"/>
      <c r="K152" s="48"/>
      <c r="O152" s="48"/>
    </row>
    <row r="153" spans="1:15" x14ac:dyDescent="0.35">
      <c r="A153" s="48"/>
      <c r="B153" s="48"/>
      <c r="C153" s="48"/>
      <c r="D153" s="48"/>
      <c r="E153" s="48"/>
      <c r="F153" s="48"/>
      <c r="G153" s="48"/>
      <c r="H153" s="48"/>
      <c r="I153" s="48"/>
      <c r="J153" s="48"/>
      <c r="K153" s="48"/>
      <c r="O153" s="48"/>
    </row>
    <row r="154" spans="1:15" x14ac:dyDescent="0.35">
      <c r="O154" s="48"/>
    </row>
    <row r="155" spans="1:15" x14ac:dyDescent="0.35">
      <c r="O155" s="48"/>
    </row>
    <row r="156" spans="1:15" x14ac:dyDescent="0.35">
      <c r="O156" s="48"/>
    </row>
    <row r="157" spans="1:15" x14ac:dyDescent="0.35">
      <c r="O157" s="48"/>
    </row>
    <row r="158" spans="1:15" x14ac:dyDescent="0.35">
      <c r="O158" s="48"/>
    </row>
    <row r="159" spans="1:15" x14ac:dyDescent="0.35">
      <c r="O159" s="48"/>
    </row>
    <row r="160" spans="1:15" x14ac:dyDescent="0.35">
      <c r="O160" s="48"/>
    </row>
    <row r="161" spans="1:15" x14ac:dyDescent="0.35">
      <c r="O161" s="48"/>
    </row>
    <row r="162" spans="1:15" x14ac:dyDescent="0.35">
      <c r="O162" s="48"/>
    </row>
    <row r="163" spans="1:15" x14ac:dyDescent="0.35">
      <c r="O163" s="48"/>
    </row>
    <row r="164" spans="1:15" x14ac:dyDescent="0.35">
      <c r="O164" s="48"/>
    </row>
    <row r="165" spans="1:15" x14ac:dyDescent="0.35">
      <c r="O165" s="48"/>
    </row>
    <row r="166" spans="1:15" x14ac:dyDescent="0.35">
      <c r="O166" s="48"/>
    </row>
    <row r="167" spans="1:15" x14ac:dyDescent="0.35">
      <c r="O167" s="48"/>
    </row>
    <row r="168" spans="1:15" x14ac:dyDescent="0.35">
      <c r="O168" s="48"/>
    </row>
    <row r="169" spans="1:15" x14ac:dyDescent="0.35">
      <c r="O169" s="48"/>
    </row>
    <row r="170" spans="1:15" x14ac:dyDescent="0.35">
      <c r="A170" s="48"/>
      <c r="B170" s="48"/>
      <c r="C170" s="48"/>
      <c r="D170" s="48"/>
      <c r="E170" s="48"/>
      <c r="F170" s="48"/>
      <c r="G170" s="48"/>
      <c r="H170" s="48"/>
      <c r="I170" s="48"/>
      <c r="J170" s="48"/>
      <c r="K170" s="48"/>
      <c r="O170" s="48"/>
    </row>
    <row r="171" spans="1:15" x14ac:dyDescent="0.35">
      <c r="A171" s="48"/>
      <c r="B171" s="48"/>
      <c r="C171" s="48"/>
      <c r="D171" s="48"/>
      <c r="E171" s="48"/>
      <c r="F171" s="48"/>
      <c r="G171" s="48"/>
      <c r="H171" s="48"/>
      <c r="I171" s="48"/>
      <c r="J171" s="48"/>
      <c r="K171" s="48"/>
      <c r="O171" s="48"/>
    </row>
    <row r="172" spans="1:15" x14ac:dyDescent="0.35">
      <c r="A172" s="48"/>
      <c r="B172" s="48"/>
      <c r="C172" s="48"/>
      <c r="D172" s="48"/>
      <c r="E172" s="48"/>
      <c r="F172" s="48"/>
      <c r="G172" s="48"/>
      <c r="H172" s="48"/>
      <c r="I172" s="48"/>
      <c r="J172" s="48"/>
      <c r="K172" s="48"/>
      <c r="O172" s="48"/>
    </row>
    <row r="173" spans="1:15" x14ac:dyDescent="0.35">
      <c r="A173" s="48"/>
      <c r="B173" s="48"/>
      <c r="C173" s="48"/>
      <c r="D173" s="48"/>
      <c r="E173" s="48"/>
      <c r="F173" s="48"/>
      <c r="G173" s="48"/>
      <c r="H173" s="48"/>
      <c r="I173" s="48"/>
      <c r="J173" s="48"/>
      <c r="K173" s="48"/>
      <c r="O173" s="48"/>
    </row>
    <row r="174" spans="1:15" x14ac:dyDescent="0.35">
      <c r="A174" s="48"/>
      <c r="B174" s="48"/>
      <c r="C174" s="48"/>
      <c r="D174" s="48"/>
      <c r="E174" s="48"/>
      <c r="F174" s="48"/>
      <c r="G174" s="48"/>
      <c r="H174" s="48"/>
      <c r="I174" s="48"/>
      <c r="J174" s="48"/>
      <c r="K174" s="48"/>
      <c r="O174" s="48"/>
    </row>
    <row r="175" spans="1:15" x14ac:dyDescent="0.35">
      <c r="A175" s="48"/>
      <c r="B175" s="48"/>
      <c r="C175" s="48"/>
      <c r="D175" s="48"/>
      <c r="E175" s="48"/>
      <c r="F175" s="48"/>
      <c r="G175" s="48"/>
      <c r="H175" s="48"/>
      <c r="I175" s="48"/>
      <c r="J175" s="48"/>
      <c r="K175" s="48"/>
      <c r="O175" s="48"/>
    </row>
    <row r="176" spans="1:15" x14ac:dyDescent="0.35">
      <c r="A176" s="48"/>
      <c r="B176" s="48"/>
      <c r="C176" s="48"/>
      <c r="D176" s="48"/>
      <c r="E176" s="48"/>
      <c r="F176" s="48"/>
      <c r="G176" s="48"/>
      <c r="H176" s="48"/>
      <c r="I176" s="48"/>
      <c r="J176" s="48"/>
      <c r="K176" s="48"/>
      <c r="O176" s="48"/>
    </row>
  </sheetData>
  <hyperlinks>
    <hyperlink ref="A1" location="Innhold!A1" display="Tilbake" xr:uid="{00000000-0004-0000-0200-000000000000}"/>
  </hyperlinks>
  <pageMargins left="0.7" right="0.7" top="0.78740157499999996" bottom="0.78740157499999996"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737C7-9E35-491E-AA5D-FD2A7954B218}">
  <sheetPr codeName="Ark33"/>
  <dimension ref="A1:O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112</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v>12531</v>
      </c>
      <c r="C7" s="252">
        <v>17157</v>
      </c>
      <c r="D7" s="288">
        <f>IF(B7=0, "    ---- ", IF(ABS(ROUND(100/B7*C7-100,1))&lt;999,ROUND(100/B7*C7-100,1),IF(ROUND(100/B7*C7-100,1)&gt;999,999,-999)))</f>
        <v>36.9</v>
      </c>
      <c r="E7" s="8">
        <f>IFERROR(100/'Skjema total MA'!C7*C7,0)</f>
        <v>0.29476664951718889</v>
      </c>
      <c r="F7" s="251"/>
      <c r="G7" s="252"/>
      <c r="H7" s="288"/>
      <c r="I7" s="119"/>
      <c r="J7" s="253">
        <f t="shared" ref="J7:K10" si="0">SUM(B7,F7)</f>
        <v>12531</v>
      </c>
      <c r="K7" s="254">
        <f t="shared" si="0"/>
        <v>17157</v>
      </c>
      <c r="L7" s="348">
        <f>IF(J7=0, "    ---- ", IF(ABS(ROUND(100/J7*K7-100,1))&lt;999,ROUND(100/J7*K7-100,1),IF(ROUND(100/J7*K7-100,1)&gt;999,999,-999)))</f>
        <v>36.9</v>
      </c>
      <c r="M7" s="8">
        <f>IFERROR(100/'Skjema total MA'!I7*K7,0)</f>
        <v>9.6221665151308963E-2</v>
      </c>
    </row>
    <row r="8" spans="1:15" ht="15.6" x14ac:dyDescent="0.25">
      <c r="A8" s="18" t="s">
        <v>169</v>
      </c>
      <c r="B8" s="228">
        <v>6782</v>
      </c>
      <c r="C8" s="229">
        <v>9348</v>
      </c>
      <c r="D8" s="123">
        <f t="shared" ref="D8:D10" si="1">IF(B8=0, "    ---- ", IF(ABS(ROUND(100/B8*C8-100,1))&lt;999,ROUND(100/B8*C8-100,1),IF(ROUND(100/B8*C8-100,1)&gt;999,999,-999)))</f>
        <v>37.799999999999997</v>
      </c>
      <c r="E8" s="23">
        <f>IFERROR(100/'Skjema total MA'!C8*C8,0)</f>
        <v>0.23763526002695706</v>
      </c>
      <c r="F8" s="232"/>
      <c r="G8" s="233"/>
      <c r="H8" s="123"/>
      <c r="I8" s="132"/>
      <c r="J8" s="181">
        <f t="shared" si="0"/>
        <v>6782</v>
      </c>
      <c r="K8" s="234">
        <f t="shared" si="0"/>
        <v>9348</v>
      </c>
      <c r="L8" s="123">
        <f t="shared" ref="L8:L10" si="2">IF(J8=0, "    ---- ", IF(ABS(ROUND(100/J8*K8-100,1))&lt;999,ROUND(100/J8*K8-100,1),IF(ROUND(100/J8*K8-100,1)&gt;999,999,-999)))</f>
        <v>37.799999999999997</v>
      </c>
      <c r="M8" s="23">
        <f>IFERROR(100/'Skjema total MA'!I8*K8,0)</f>
        <v>0.23763526002695706</v>
      </c>
    </row>
    <row r="9" spans="1:15" ht="15.6" x14ac:dyDescent="0.25">
      <c r="A9" s="18" t="s">
        <v>170</v>
      </c>
      <c r="B9" s="228">
        <v>2564</v>
      </c>
      <c r="C9" s="229">
        <v>3513</v>
      </c>
      <c r="D9" s="123">
        <f t="shared" si="1"/>
        <v>37</v>
      </c>
      <c r="E9" s="23">
        <f>IFERROR(100/'Skjema total MA'!C9*C9,0)</f>
        <v>0.32485585815990203</v>
      </c>
      <c r="F9" s="232"/>
      <c r="G9" s="233"/>
      <c r="H9" s="123"/>
      <c r="I9" s="132"/>
      <c r="J9" s="181">
        <f t="shared" si="0"/>
        <v>2564</v>
      </c>
      <c r="K9" s="234">
        <f t="shared" si="0"/>
        <v>3513</v>
      </c>
      <c r="L9" s="123">
        <f t="shared" si="2"/>
        <v>37</v>
      </c>
      <c r="M9" s="23">
        <f>IFERROR(100/'Skjema total MA'!I9*K9,0)</f>
        <v>0.32485585815990203</v>
      </c>
    </row>
    <row r="10" spans="1:15" ht="15.6" x14ac:dyDescent="0.25">
      <c r="A10" s="10" t="s">
        <v>171</v>
      </c>
      <c r="B10" s="255">
        <v>3683</v>
      </c>
      <c r="C10" s="256">
        <v>6360</v>
      </c>
      <c r="D10" s="127">
        <f t="shared" si="1"/>
        <v>72.7</v>
      </c>
      <c r="E10" s="8">
        <f>IFERROR(100/'Skjema total MA'!C10*C10,0)</f>
        <v>4.0935128062373996E-2</v>
      </c>
      <c r="F10" s="255"/>
      <c r="G10" s="256"/>
      <c r="H10" s="127"/>
      <c r="I10" s="119"/>
      <c r="J10" s="253">
        <f t="shared" si="0"/>
        <v>3683</v>
      </c>
      <c r="K10" s="254">
        <f t="shared" si="0"/>
        <v>6360</v>
      </c>
      <c r="L10" s="349">
        <f t="shared" si="2"/>
        <v>72.7</v>
      </c>
      <c r="M10" s="8">
        <f>IFERROR(100/'Skjema total MA'!I10*K10,0)</f>
        <v>5.1096983470237511E-3</v>
      </c>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v>2944</v>
      </c>
      <c r="C22" s="255">
        <v>5533</v>
      </c>
      <c r="D22" s="288">
        <f t="shared" ref="D22:D37" si="3">IF(B22=0, "    ---- ", IF(ABS(ROUND(100/B22*C22-100,1))&lt;999,ROUND(100/B22*C22-100,1),IF(ROUND(100/B22*C22-100,1)&gt;999,999,-999)))</f>
        <v>87.9</v>
      </c>
      <c r="E22" s="8">
        <f>IFERROR(100/'Skjema total MA'!C22*C22,0)</f>
        <v>0.20593150494081125</v>
      </c>
      <c r="F22" s="263"/>
      <c r="G22" s="263"/>
      <c r="H22" s="288"/>
      <c r="I22" s="8"/>
      <c r="J22" s="261">
        <f t="shared" ref="J22:K37" si="4">SUM(B22,F22)</f>
        <v>2944</v>
      </c>
      <c r="K22" s="261">
        <f t="shared" si="4"/>
        <v>5533</v>
      </c>
      <c r="L22" s="348">
        <f t="shared" ref="L22:L37" si="5">IF(J22=0, "    ---- ", IF(ABS(ROUND(100/J22*K22-100,1))&lt;999,ROUND(100/J22*K22-100,1),IF(ROUND(100/J22*K22-100,1)&gt;999,999,-999)))</f>
        <v>87.9</v>
      </c>
      <c r="M22" s="21">
        <f>IFERROR(100/'Skjema total MA'!I22*K22,0)</f>
        <v>0.14321983869617042</v>
      </c>
    </row>
    <row r="23" spans="1:13" ht="15.6" x14ac:dyDescent="0.25">
      <c r="A23" s="389" t="s">
        <v>177</v>
      </c>
      <c r="B23" s="228">
        <v>2944</v>
      </c>
      <c r="C23" s="228">
        <v>5533</v>
      </c>
      <c r="D23" s="123">
        <f t="shared" si="3"/>
        <v>87.9</v>
      </c>
      <c r="E23" s="8">
        <f>IFERROR(100/'Skjema total MA'!C23*C23,0)</f>
        <v>0.34147830245482441</v>
      </c>
      <c r="F23" s="237"/>
      <c r="G23" s="237"/>
      <c r="H23" s="123"/>
      <c r="I23" s="341"/>
      <c r="J23" s="237">
        <f t="shared" si="4"/>
        <v>2944</v>
      </c>
      <c r="K23" s="237">
        <f t="shared" si="4"/>
        <v>5533</v>
      </c>
      <c r="L23" s="123">
        <f t="shared" si="5"/>
        <v>87.9</v>
      </c>
      <c r="M23" s="20">
        <f>IFERROR(100/'Skjema total MA'!I23*K23,0)</f>
        <v>0.33220950826868317</v>
      </c>
    </row>
    <row r="24" spans="1:13" ht="15.6" x14ac:dyDescent="0.25">
      <c r="A24" s="389" t="s">
        <v>178</v>
      </c>
      <c r="B24" s="228"/>
      <c r="C24" s="228"/>
      <c r="D24" s="123"/>
      <c r="E24" s="8"/>
      <c r="F24" s="237"/>
      <c r="G24" s="237"/>
      <c r="H24" s="123"/>
      <c r="I24" s="341"/>
      <c r="J24" s="237"/>
      <c r="K24" s="237"/>
      <c r="L24" s="123"/>
      <c r="M24" s="20"/>
    </row>
    <row r="25" spans="1:13" ht="15.6" x14ac:dyDescent="0.25">
      <c r="A25" s="389" t="s">
        <v>179</v>
      </c>
      <c r="B25" s="228"/>
      <c r="C25" s="228"/>
      <c r="D25" s="123"/>
      <c r="E25" s="8"/>
      <c r="F25" s="237"/>
      <c r="G25" s="237"/>
      <c r="H25" s="123"/>
      <c r="I25" s="341"/>
      <c r="J25" s="237"/>
      <c r="K25" s="237"/>
      <c r="L25" s="123"/>
      <c r="M25" s="20"/>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v>1974</v>
      </c>
      <c r="C28" s="234">
        <v>4171</v>
      </c>
      <c r="D28" s="123">
        <f t="shared" si="3"/>
        <v>111.3</v>
      </c>
      <c r="E28" s="8">
        <f>IFERROR(100/'Skjema total MA'!C28*C28,0)</f>
        <v>0.12316388590175532</v>
      </c>
      <c r="F28" s="181"/>
      <c r="G28" s="234"/>
      <c r="H28" s="123"/>
      <c r="I28" s="23"/>
      <c r="J28" s="36">
        <f t="shared" si="4"/>
        <v>1974</v>
      </c>
      <c r="K28" s="36">
        <f t="shared" si="4"/>
        <v>4171</v>
      </c>
      <c r="L28" s="206">
        <f t="shared" si="5"/>
        <v>111.3</v>
      </c>
      <c r="M28" s="20">
        <f>IFERROR(100/'Skjema total MA'!I28*K28,0)</f>
        <v>0.12316388590175532</v>
      </c>
    </row>
    <row r="29" spans="1:13" ht="15.6" x14ac:dyDescent="0.25">
      <c r="A29" s="10" t="s">
        <v>171</v>
      </c>
      <c r="B29" s="183">
        <v>9156</v>
      </c>
      <c r="C29" s="183">
        <v>17901</v>
      </c>
      <c r="D29" s="127">
        <f t="shared" si="3"/>
        <v>95.5</v>
      </c>
      <c r="E29" s="8">
        <f>IFERROR(100/'Skjema total MA'!C29*C29,0)</f>
        <v>4.0583102693589272E-2</v>
      </c>
      <c r="F29" s="253"/>
      <c r="G29" s="253"/>
      <c r="H29" s="127"/>
      <c r="I29" s="8"/>
      <c r="J29" s="183">
        <f t="shared" si="4"/>
        <v>9156</v>
      </c>
      <c r="K29" s="183">
        <f t="shared" si="4"/>
        <v>17901</v>
      </c>
      <c r="L29" s="349">
        <f t="shared" si="5"/>
        <v>95.5</v>
      </c>
      <c r="M29" s="21">
        <f>IFERROR(100/'Skjema total MA'!I29*K29,0)</f>
        <v>2.3542132551372139E-2</v>
      </c>
    </row>
    <row r="30" spans="1:13" ht="15.6" x14ac:dyDescent="0.25">
      <c r="A30" s="389" t="s">
        <v>177</v>
      </c>
      <c r="B30" s="228">
        <v>9156</v>
      </c>
      <c r="C30" s="228">
        <v>17901</v>
      </c>
      <c r="D30" s="123">
        <f t="shared" si="3"/>
        <v>95.5</v>
      </c>
      <c r="E30" s="8">
        <f>IFERROR(100/'Skjema total MA'!C30*C30,0)</f>
        <v>9.3390893927334628E-2</v>
      </c>
      <c r="F30" s="237"/>
      <c r="G30" s="237"/>
      <c r="H30" s="123"/>
      <c r="I30" s="341"/>
      <c r="J30" s="237">
        <f t="shared" si="4"/>
        <v>9156</v>
      </c>
      <c r="K30" s="237">
        <f t="shared" si="4"/>
        <v>17901</v>
      </c>
      <c r="L30" s="123">
        <f t="shared" si="5"/>
        <v>95.5</v>
      </c>
      <c r="M30" s="20">
        <f>IFERROR(100/'Skjema total MA'!I30*K30,0)</f>
        <v>7.815455398274633E-2</v>
      </c>
    </row>
    <row r="31" spans="1:13" ht="15.6" x14ac:dyDescent="0.25">
      <c r="A31" s="389" t="s">
        <v>178</v>
      </c>
      <c r="B31" s="228"/>
      <c r="C31" s="228"/>
      <c r="D31" s="123"/>
      <c r="E31" s="8"/>
      <c r="F31" s="237"/>
      <c r="G31" s="237"/>
      <c r="H31" s="123"/>
      <c r="I31" s="341"/>
      <c r="J31" s="237"/>
      <c r="K31" s="237"/>
      <c r="L31" s="123"/>
      <c r="M31" s="20"/>
    </row>
    <row r="32" spans="1:13" ht="15.6" x14ac:dyDescent="0.25">
      <c r="A32" s="389" t="s">
        <v>179</v>
      </c>
      <c r="B32" s="228"/>
      <c r="C32" s="228"/>
      <c r="D32" s="123"/>
      <c r="E32" s="8"/>
      <c r="F32" s="237"/>
      <c r="G32" s="237"/>
      <c r="H32" s="123"/>
      <c r="I32" s="341"/>
      <c r="J32" s="237"/>
      <c r="K32" s="237"/>
      <c r="L32" s="123"/>
      <c r="M32" s="20"/>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c r="C34" s="254"/>
      <c r="D34" s="127"/>
      <c r="E34" s="8"/>
      <c r="F34" s="253"/>
      <c r="G34" s="254"/>
      <c r="H34" s="127"/>
      <c r="I34" s="8"/>
      <c r="J34" s="183"/>
      <c r="K34" s="183"/>
      <c r="L34" s="349"/>
      <c r="M34" s="21"/>
    </row>
    <row r="35" spans="1:13" ht="15.6" x14ac:dyDescent="0.25">
      <c r="A35" s="10" t="s">
        <v>173</v>
      </c>
      <c r="B35" s="183"/>
      <c r="C35" s="254"/>
      <c r="D35" s="127"/>
      <c r="E35" s="8"/>
      <c r="F35" s="253"/>
      <c r="G35" s="254"/>
      <c r="H35" s="127"/>
      <c r="I35" s="8"/>
      <c r="J35" s="183"/>
      <c r="K35" s="183"/>
      <c r="L35" s="349"/>
      <c r="M35" s="21"/>
    </row>
    <row r="36" spans="1:13" ht="15.6" x14ac:dyDescent="0.25">
      <c r="A36" s="9" t="s">
        <v>184</v>
      </c>
      <c r="B36" s="183">
        <v>4228</v>
      </c>
      <c r="C36" s="254">
        <v>13484</v>
      </c>
      <c r="D36" s="127">
        <f t="shared" si="3"/>
        <v>218.9</v>
      </c>
      <c r="E36" s="8">
        <f>IFERROR(100/'Skjema total MA'!C36*C36,0)</f>
        <v>76.254029293671891</v>
      </c>
      <c r="F36" s="264"/>
      <c r="G36" s="265"/>
      <c r="H36" s="127"/>
      <c r="I36" s="355"/>
      <c r="J36" s="183">
        <f t="shared" si="4"/>
        <v>4228</v>
      </c>
      <c r="K36" s="183">
        <f t="shared" si="4"/>
        <v>13484</v>
      </c>
      <c r="L36" s="349">
        <f t="shared" si="5"/>
        <v>218.9</v>
      </c>
      <c r="M36" s="21">
        <f>IFERROR(100/'Skjema total MA'!I36*K36,0)</f>
        <v>76.254029293671891</v>
      </c>
    </row>
    <row r="37" spans="1:13" ht="15.6" x14ac:dyDescent="0.25">
      <c r="A37" s="9" t="s">
        <v>185</v>
      </c>
      <c r="B37" s="183">
        <v>3595</v>
      </c>
      <c r="C37" s="254">
        <v>15474</v>
      </c>
      <c r="D37" s="127">
        <f t="shared" si="3"/>
        <v>330.4</v>
      </c>
      <c r="E37" s="8">
        <f>IFERROR(100/'Skjema total MA'!C37*C37,0)</f>
        <v>0.6651336112786953</v>
      </c>
      <c r="F37" s="264"/>
      <c r="G37" s="266"/>
      <c r="H37" s="127"/>
      <c r="I37" s="355"/>
      <c r="J37" s="183">
        <f t="shared" si="4"/>
        <v>3595</v>
      </c>
      <c r="K37" s="183">
        <f t="shared" si="4"/>
        <v>15474</v>
      </c>
      <c r="L37" s="349">
        <f t="shared" si="5"/>
        <v>330.4</v>
      </c>
      <c r="M37" s="21">
        <f>IFERROR(100/'Skjema total MA'!I37*K37,0)</f>
        <v>0.6651336112786953</v>
      </c>
    </row>
    <row r="38" spans="1:13" ht="15.6" x14ac:dyDescent="0.25">
      <c r="A38" s="9" t="s">
        <v>186</v>
      </c>
      <c r="B38" s="183"/>
      <c r="C38" s="254"/>
      <c r="D38" s="353"/>
      <c r="E38" s="21"/>
      <c r="F38" s="264"/>
      <c r="G38" s="265"/>
      <c r="H38" s="127"/>
      <c r="I38" s="355"/>
      <c r="J38" s="183"/>
      <c r="K38" s="183"/>
      <c r="L38" s="349"/>
      <c r="M38" s="21"/>
    </row>
    <row r="39" spans="1:13" ht="15.6" x14ac:dyDescent="0.25">
      <c r="A39" s="15" t="s">
        <v>187</v>
      </c>
      <c r="B39" s="223"/>
      <c r="C39" s="260"/>
      <c r="D39" s="354"/>
      <c r="E39" s="30"/>
      <c r="F39" s="267"/>
      <c r="G39" s="268"/>
      <c r="H39" s="125"/>
      <c r="I39" s="30"/>
      <c r="J39" s="183"/>
      <c r="K39" s="183"/>
      <c r="L39" s="350"/>
      <c r="M39" s="30"/>
    </row>
    <row r="40" spans="1:13" ht="15.6" x14ac:dyDescent="0.3">
      <c r="A40" s="35"/>
      <c r="B40" s="205"/>
      <c r="C40" s="205"/>
      <c r="D40" s="780"/>
      <c r="E40" s="779"/>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19703</v>
      </c>
      <c r="C47" s="256">
        <v>38341</v>
      </c>
      <c r="D47" s="348">
        <f t="shared" ref="D47:D48" si="6">IF(B47=0, "    ---- ", IF(ABS(ROUND(100/B47*C47-100,1))&lt;999,ROUND(100/B47*C47-100,1),IF(ROUND(100/B47*C47-100,1)&gt;999,999,-999)))</f>
        <v>94.6</v>
      </c>
      <c r="E47" s="8">
        <f>IFERROR(100/'Skjema total MA'!C47*C47,0)</f>
        <v>0.53551277982959689</v>
      </c>
      <c r="F47" s="109"/>
      <c r="G47" s="27"/>
      <c r="H47" s="118"/>
      <c r="I47" s="118"/>
      <c r="J47" s="31"/>
      <c r="K47" s="31"/>
      <c r="L47" s="118"/>
      <c r="M47" s="118"/>
    </row>
    <row r="48" spans="1:13" ht="15.6" x14ac:dyDescent="0.25">
      <c r="A48" s="18" t="s">
        <v>189</v>
      </c>
      <c r="B48" s="228">
        <v>19703</v>
      </c>
      <c r="C48" s="229">
        <v>38341</v>
      </c>
      <c r="D48" s="206">
        <f t="shared" si="6"/>
        <v>94.6</v>
      </c>
      <c r="E48" s="23">
        <f>IFERROR(100/'Skjema total MA'!C48*C48,0)</f>
        <v>0.93870661422039048</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c r="C53" s="256"/>
      <c r="D53" s="349"/>
      <c r="E53" s="8"/>
      <c r="F53" s="109"/>
      <c r="G53" s="27"/>
      <c r="H53" s="109"/>
      <c r="I53" s="109"/>
      <c r="J53" s="27"/>
      <c r="K53" s="27"/>
      <c r="L53" s="118"/>
      <c r="M53" s="118"/>
    </row>
    <row r="54" spans="1:13" ht="15.6" x14ac:dyDescent="0.25">
      <c r="A54" s="18" t="s">
        <v>189</v>
      </c>
      <c r="B54" s="228"/>
      <c r="C54" s="229"/>
      <c r="D54" s="206"/>
      <c r="E54" s="23"/>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v>24403</v>
      </c>
      <c r="C66" s="291">
        <v>27325</v>
      </c>
      <c r="D66" s="288">
        <f t="shared" ref="D66:D122" si="7">IF(B66=0, "    ---- ", IF(ABS(ROUND(100/B66*C66-100,1))&lt;999,ROUND(100/B66*C66-100,1),IF(ROUND(100/B66*C66-100,1)&gt;999,999,-999)))</f>
        <v>12</v>
      </c>
      <c r="E66" s="8">
        <f>IFERROR(100/'Skjema total MA'!C66*C66,0)</f>
        <v>0.29087236535446737</v>
      </c>
      <c r="F66" s="290"/>
      <c r="G66" s="290"/>
      <c r="H66" s="288"/>
      <c r="I66" s="8"/>
      <c r="J66" s="254">
        <f t="shared" ref="J66:K76" si="8">SUM(B66,F66)</f>
        <v>24403</v>
      </c>
      <c r="K66" s="261">
        <f t="shared" si="8"/>
        <v>27325</v>
      </c>
      <c r="L66" s="349">
        <f t="shared" ref="L66:L122" si="9">IF(J66=0, "    ---- ", IF(ABS(ROUND(100/J66*K66-100,1))&lt;999,ROUND(100/J66*K66-100,1),IF(ROUND(100/J66*K66-100,1)&gt;999,999,-999)))</f>
        <v>12</v>
      </c>
      <c r="M66" s="8">
        <f>IFERROR(100/'Skjema total MA'!I66*K66,0)</f>
        <v>3.9727338778598582E-2</v>
      </c>
    </row>
    <row r="67" spans="1:13" x14ac:dyDescent="0.25">
      <c r="A67" s="39"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v>24403</v>
      </c>
      <c r="C76" s="109">
        <v>27325</v>
      </c>
      <c r="D76" s="123">
        <f t="shared" si="7"/>
        <v>12</v>
      </c>
      <c r="E76" s="23">
        <f>IFERROR(100/'Skjema total MA'!C76*C76,0)</f>
        <v>0.6520433585839539</v>
      </c>
      <c r="F76" s="181"/>
      <c r="G76" s="109"/>
      <c r="H76" s="123"/>
      <c r="I76" s="23"/>
      <c r="J76" s="234">
        <f t="shared" si="8"/>
        <v>24403</v>
      </c>
      <c r="K76" s="36">
        <f t="shared" si="8"/>
        <v>27325</v>
      </c>
      <c r="L76" s="206">
        <f t="shared" si="9"/>
        <v>12</v>
      </c>
      <c r="M76" s="23">
        <f>IFERROR(100/'Skjema total MA'!I76*K76,0)</f>
        <v>0.6520433585839539</v>
      </c>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v>37386</v>
      </c>
      <c r="C87" s="291">
        <v>57634</v>
      </c>
      <c r="D87" s="127">
        <f t="shared" si="7"/>
        <v>54.2</v>
      </c>
      <c r="E87" s="8">
        <f>IFERROR(100/'Skjema total MA'!C87*C87,0)</f>
        <v>1.3868661102728679E-2</v>
      </c>
      <c r="F87" s="290"/>
      <c r="G87" s="290"/>
      <c r="H87" s="127"/>
      <c r="I87" s="8"/>
      <c r="J87" s="254">
        <f t="shared" ref="J87:K111" si="10">SUM(B87,F87)</f>
        <v>37386</v>
      </c>
      <c r="K87" s="183">
        <f t="shared" si="10"/>
        <v>57634</v>
      </c>
      <c r="L87" s="349">
        <f t="shared" si="9"/>
        <v>54.2</v>
      </c>
      <c r="M87" s="8">
        <f>IFERROR(100/'Skjema total MA'!I87*K87,0)</f>
        <v>4.7714388101190598E-3</v>
      </c>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v>37386</v>
      </c>
      <c r="C97" s="109">
        <v>57634</v>
      </c>
      <c r="D97" s="123">
        <f t="shared" si="7"/>
        <v>54.2</v>
      </c>
      <c r="E97" s="23">
        <f>IFERROR(100/'Skjema total MA'!C97*C97,0)</f>
        <v>0.41254323991962638</v>
      </c>
      <c r="F97" s="181"/>
      <c r="G97" s="109"/>
      <c r="H97" s="123"/>
      <c r="I97" s="23"/>
      <c r="J97" s="234">
        <f t="shared" si="10"/>
        <v>37386</v>
      </c>
      <c r="K97" s="36">
        <f t="shared" si="10"/>
        <v>57634</v>
      </c>
      <c r="L97" s="206">
        <f t="shared" si="9"/>
        <v>54.2</v>
      </c>
      <c r="M97" s="23">
        <f>IFERROR(100/'Skjema total MA'!I97*K97,0)</f>
        <v>0.41254323991962638</v>
      </c>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v>7914</v>
      </c>
      <c r="C111" s="118">
        <v>4128</v>
      </c>
      <c r="D111" s="127">
        <f t="shared" si="7"/>
        <v>-47.8</v>
      </c>
      <c r="E111" s="8">
        <f>IFERROR(100/'Skjema total MA'!C111*C111,0)</f>
        <v>0.16719567168530833</v>
      </c>
      <c r="F111" s="253"/>
      <c r="G111" s="118"/>
      <c r="H111" s="127"/>
      <c r="I111" s="8"/>
      <c r="J111" s="254">
        <f t="shared" si="10"/>
        <v>7914</v>
      </c>
      <c r="K111" s="183">
        <f t="shared" si="10"/>
        <v>4128</v>
      </c>
      <c r="L111" s="349">
        <f t="shared" si="9"/>
        <v>-47.8</v>
      </c>
      <c r="M111" s="8">
        <f>IFERROR(100/'Skjema total MA'!I111*K111,0)</f>
        <v>5.7834924356799074E-3</v>
      </c>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v>7914</v>
      </c>
      <c r="C114" s="109">
        <v>4128</v>
      </c>
      <c r="D114" s="123">
        <f t="shared" si="7"/>
        <v>-47.8</v>
      </c>
      <c r="E114" s="23">
        <f>IFERROR(100/'Skjema total MA'!C114*C114,0)</f>
        <v>2.1748136230244421</v>
      </c>
      <c r="F114" s="181"/>
      <c r="G114" s="109"/>
      <c r="H114" s="123"/>
      <c r="I114" s="23"/>
      <c r="J114" s="234">
        <f t="shared" ref="J114:K122" si="11">SUM(B114,F114)</f>
        <v>7914</v>
      </c>
      <c r="K114" s="36">
        <f t="shared" si="11"/>
        <v>4128</v>
      </c>
      <c r="L114" s="206">
        <f t="shared" si="9"/>
        <v>-47.8</v>
      </c>
      <c r="M114" s="23">
        <f>IFERROR(100/'Skjema total MA'!I114*K114,0)</f>
        <v>0.62425199432931977</v>
      </c>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v>4198</v>
      </c>
      <c r="C119" s="118">
        <v>5120</v>
      </c>
      <c r="D119" s="127">
        <f t="shared" si="7"/>
        <v>22</v>
      </c>
      <c r="E119" s="8">
        <f>IFERROR(100/'Skjema total MA'!C119*C119,0)</f>
        <v>2.2809576331808423</v>
      </c>
      <c r="F119" s="253"/>
      <c r="G119" s="118"/>
      <c r="H119" s="127"/>
      <c r="I119" s="8"/>
      <c r="J119" s="254">
        <f t="shared" si="11"/>
        <v>4198</v>
      </c>
      <c r="K119" s="183">
        <f t="shared" si="11"/>
        <v>5120</v>
      </c>
      <c r="L119" s="349">
        <f t="shared" si="9"/>
        <v>22</v>
      </c>
      <c r="M119" s="8">
        <f>IFERROR(100/'Skjema total MA'!I119*K119,0)</f>
        <v>6.9720525773657414E-3</v>
      </c>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v>4198</v>
      </c>
      <c r="C122" s="109">
        <v>5120</v>
      </c>
      <c r="D122" s="123">
        <f t="shared" si="7"/>
        <v>22</v>
      </c>
      <c r="E122" s="23">
        <f>IFERROR(100/'Skjema total MA'!C122*C122,0)</f>
        <v>1.1405013694848303</v>
      </c>
      <c r="F122" s="181"/>
      <c r="G122" s="109"/>
      <c r="H122" s="123"/>
      <c r="I122" s="23"/>
      <c r="J122" s="234">
        <f t="shared" si="11"/>
        <v>4198</v>
      </c>
      <c r="K122" s="36">
        <f t="shared" si="11"/>
        <v>5120</v>
      </c>
      <c r="L122" s="206">
        <f t="shared" si="9"/>
        <v>22</v>
      </c>
      <c r="M122" s="23">
        <f>IFERROR(100/'Skjema total MA'!I122*K122,0)</f>
        <v>1.1405013694848303</v>
      </c>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69:A74">
    <cfRule type="expression" dxfId="738" priority="6">
      <formula>kvartal &lt; 4</formula>
    </cfRule>
  </conditionalFormatting>
  <conditionalFormatting sqref="A80:A85">
    <cfRule type="expression" dxfId="737" priority="5">
      <formula>kvartal &lt; 4</formula>
    </cfRule>
  </conditionalFormatting>
  <conditionalFormatting sqref="A90:A95">
    <cfRule type="expression" dxfId="736" priority="4">
      <formula>kvartal &lt; 4</formula>
    </cfRule>
  </conditionalFormatting>
  <conditionalFormatting sqref="A101:A106">
    <cfRule type="expression" dxfId="735" priority="3">
      <formula>kvartal &lt; 4</formula>
    </cfRule>
  </conditionalFormatting>
  <conditionalFormatting sqref="A50:C52">
    <cfRule type="expression" dxfId="734" priority="7">
      <formula>kvartal &lt; 4</formula>
    </cfRule>
  </conditionalFormatting>
  <conditionalFormatting sqref="A115:C115">
    <cfRule type="expression" dxfId="733" priority="2">
      <formula>kvartal &lt; 4</formula>
    </cfRule>
  </conditionalFormatting>
  <conditionalFormatting sqref="A123:C123">
    <cfRule type="expression" dxfId="732" priority="1">
      <formula>kvartal &lt; 4</formula>
    </cfRule>
  </conditionalFormatting>
  <conditionalFormatting sqref="B69:C69">
    <cfRule type="expression" dxfId="731" priority="57">
      <formula>kvartal &lt; 4</formula>
    </cfRule>
  </conditionalFormatting>
  <conditionalFormatting sqref="B72:C72">
    <cfRule type="expression" dxfId="730" priority="55">
      <formula>kvartal &lt; 4</formula>
    </cfRule>
  </conditionalFormatting>
  <conditionalFormatting sqref="B80:C80">
    <cfRule type="expression" dxfId="729" priority="53">
      <formula>kvartal &lt; 4</formula>
    </cfRule>
  </conditionalFormatting>
  <conditionalFormatting sqref="B83:C83">
    <cfRule type="expression" dxfId="728" priority="51">
      <formula>kvartal &lt; 4</formula>
    </cfRule>
  </conditionalFormatting>
  <conditionalFormatting sqref="B90:C90">
    <cfRule type="expression" dxfId="727" priority="49">
      <formula>kvartal &lt; 4</formula>
    </cfRule>
  </conditionalFormatting>
  <conditionalFormatting sqref="B93:C93">
    <cfRule type="expression" dxfId="726" priority="47">
      <formula>kvartal &lt; 4</formula>
    </cfRule>
  </conditionalFormatting>
  <conditionalFormatting sqref="B101:C101">
    <cfRule type="expression" dxfId="725" priority="45">
      <formula>kvartal &lt; 4</formula>
    </cfRule>
  </conditionalFormatting>
  <conditionalFormatting sqref="B104:C104">
    <cfRule type="expression" dxfId="724" priority="43">
      <formula>kvartal &lt; 4</formula>
    </cfRule>
  </conditionalFormatting>
  <conditionalFormatting sqref="F69:G74">
    <cfRule type="expression" dxfId="723" priority="24">
      <formula>kvartal &lt; 4</formula>
    </cfRule>
  </conditionalFormatting>
  <conditionalFormatting sqref="F80:G85">
    <cfRule type="expression" dxfId="722" priority="22">
      <formula>kvartal &lt; 4</formula>
    </cfRule>
  </conditionalFormatting>
  <conditionalFormatting sqref="F90:G95">
    <cfRule type="expression" dxfId="721" priority="19">
      <formula>kvartal &lt; 4</formula>
    </cfRule>
  </conditionalFormatting>
  <conditionalFormatting sqref="F101:G106">
    <cfRule type="expression" dxfId="720" priority="15">
      <formula>kvartal &lt; 4</formula>
    </cfRule>
  </conditionalFormatting>
  <conditionalFormatting sqref="F115:G115">
    <cfRule type="expression" dxfId="719" priority="27">
      <formula>kvartal &lt; 4</formula>
    </cfRule>
  </conditionalFormatting>
  <conditionalFormatting sqref="F123:G123">
    <cfRule type="expression" dxfId="718" priority="26">
      <formula>kvartal &lt; 4</formula>
    </cfRule>
  </conditionalFormatting>
  <conditionalFormatting sqref="J69:K71 J73:K73">
    <cfRule type="expression" dxfId="717" priority="14">
      <formula>kvartal &lt; 4</formula>
    </cfRule>
  </conditionalFormatting>
  <conditionalFormatting sqref="J80:K82 J84:K84">
    <cfRule type="expression" dxfId="716" priority="12">
      <formula>kvartal &lt; 4</formula>
    </cfRule>
  </conditionalFormatting>
  <conditionalFormatting sqref="J92:K92 J94:K94">
    <cfRule type="expression" dxfId="715" priority="11">
      <formula>kvartal &lt; 4</formula>
    </cfRule>
  </conditionalFormatting>
  <conditionalFormatting sqref="J101:K103 J105:K105">
    <cfRule type="expression" dxfId="714" priority="10">
      <formula>kvartal &lt; 4</formula>
    </cfRule>
  </conditionalFormatting>
  <conditionalFormatting sqref="J115:K115">
    <cfRule type="expression" dxfId="713" priority="9">
      <formula>kvartal &lt; 4</formula>
    </cfRule>
  </conditionalFormatting>
  <conditionalFormatting sqref="J123:K123">
    <cfRule type="expression" dxfId="712" priority="8">
      <formula>kvartal &lt; 4</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6044-2CB6-449D-AC95-3178BBB2285A}">
  <sheetPr codeName="Ark34"/>
  <dimension ref="A1:AK63"/>
  <sheetViews>
    <sheetView showGridLines="0" zoomScale="70" zoomScaleNormal="70" workbookViewId="0">
      <pane xSplit="1" ySplit="8" topLeftCell="B10" activePane="bottomRight" state="frozen"/>
      <selection activeCell="X52" sqref="X52"/>
      <selection pane="topRight" activeCell="X52" sqref="X52"/>
      <selection pane="bottomLeft" activeCell="X52" sqref="X52"/>
      <selection pane="bottomRight" activeCell="A4" sqref="A4"/>
    </sheetView>
  </sheetViews>
  <sheetFormatPr baseColWidth="10" defaultColWidth="11.44140625" defaultRowHeight="13.2" x14ac:dyDescent="0.25"/>
  <cols>
    <col min="1" max="1" width="123.5546875" style="371" customWidth="1"/>
    <col min="2" max="37" width="11.6640625" style="371" customWidth="1"/>
    <col min="38" max="16384" width="11.44140625" style="371"/>
  </cols>
  <sheetData>
    <row r="1" spans="1:37" ht="20.399999999999999" x14ac:dyDescent="0.35">
      <c r="A1" s="374" t="s">
        <v>233</v>
      </c>
      <c r="B1" s="375"/>
      <c r="C1" s="375"/>
      <c r="D1" s="375"/>
      <c r="E1" s="375"/>
      <c r="F1" s="375"/>
      <c r="G1" s="375"/>
      <c r="H1" s="375"/>
      <c r="I1" s="375"/>
      <c r="J1" s="375"/>
    </row>
    <row r="2" spans="1:37" ht="20.399999999999999" x14ac:dyDescent="0.35">
      <c r="A2" s="374" t="s">
        <v>27</v>
      </c>
      <c r="B2" s="514"/>
      <c r="C2" s="514"/>
      <c r="D2" s="515"/>
      <c r="E2" s="515"/>
      <c r="F2" s="516"/>
      <c r="G2" s="372"/>
      <c r="H2" s="372"/>
      <c r="I2" s="372"/>
      <c r="J2" s="372"/>
      <c r="K2" s="372"/>
      <c r="L2" s="372"/>
      <c r="M2" s="372"/>
      <c r="N2" s="372"/>
      <c r="O2" s="372"/>
      <c r="P2" s="372"/>
      <c r="Q2" s="372"/>
      <c r="R2" s="372"/>
      <c r="S2" s="372"/>
      <c r="T2" s="372"/>
      <c r="U2" s="372"/>
      <c r="V2" s="372"/>
      <c r="W2" s="372"/>
      <c r="X2" s="372"/>
      <c r="Y2" s="372"/>
      <c r="Z2" s="372"/>
      <c r="AA2" s="517"/>
      <c r="AB2" s="372"/>
      <c r="AC2" s="372"/>
      <c r="AD2" s="517"/>
      <c r="AE2" s="372"/>
      <c r="AF2" s="372"/>
      <c r="AG2" s="372"/>
      <c r="AH2" s="372"/>
      <c r="AI2" s="372"/>
      <c r="AJ2" s="372"/>
      <c r="AK2" s="372"/>
    </row>
    <row r="3" spans="1:37" ht="17.399999999999999" x14ac:dyDescent="0.3">
      <c r="A3" s="518" t="s">
        <v>234</v>
      </c>
      <c r="B3" s="519"/>
      <c r="C3" s="519"/>
      <c r="D3" s="519"/>
      <c r="E3" s="515"/>
      <c r="F3" s="684"/>
      <c r="G3" s="684"/>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row>
    <row r="4" spans="1:37" ht="18.75" customHeight="1" x14ac:dyDescent="0.3">
      <c r="A4" s="520" t="s">
        <v>235</v>
      </c>
      <c r="B4" s="521"/>
      <c r="C4" s="522"/>
      <c r="D4" s="523"/>
      <c r="E4" s="521"/>
      <c r="F4" s="522"/>
      <c r="G4" s="523"/>
      <c r="H4" s="521"/>
      <c r="I4" s="522"/>
      <c r="J4" s="523"/>
      <c r="K4" s="377"/>
      <c r="L4" s="377"/>
      <c r="M4" s="377"/>
      <c r="N4" s="378"/>
      <c r="O4" s="377"/>
      <c r="P4" s="379"/>
      <c r="Q4" s="378"/>
      <c r="R4" s="377"/>
      <c r="S4" s="379"/>
      <c r="T4" s="378"/>
      <c r="U4" s="377"/>
      <c r="V4" s="379"/>
      <c r="W4" s="378"/>
      <c r="X4" s="377"/>
      <c r="Y4" s="379"/>
      <c r="Z4" s="378"/>
      <c r="AA4" s="377"/>
      <c r="AB4" s="379"/>
      <c r="AC4" s="378"/>
      <c r="AD4" s="377"/>
      <c r="AE4" s="379"/>
      <c r="AF4" s="524"/>
      <c r="AG4" s="525"/>
      <c r="AH4" s="526"/>
      <c r="AI4" s="378"/>
      <c r="AJ4" s="377"/>
      <c r="AK4" s="527"/>
    </row>
    <row r="5" spans="1:37" ht="18.75" customHeight="1" x14ac:dyDescent="0.3">
      <c r="A5" s="461" t="s">
        <v>120</v>
      </c>
      <c r="B5" s="781" t="s">
        <v>236</v>
      </c>
      <c r="C5" s="782"/>
      <c r="D5" s="783"/>
      <c r="E5" s="781"/>
      <c r="F5" s="782"/>
      <c r="G5" s="783"/>
      <c r="H5" s="781" t="s">
        <v>237</v>
      </c>
      <c r="I5" s="782"/>
      <c r="J5" s="783"/>
      <c r="K5" s="781" t="s">
        <v>238</v>
      </c>
      <c r="L5" s="782"/>
      <c r="M5" s="783"/>
      <c r="N5" s="781"/>
      <c r="O5" s="782"/>
      <c r="P5" s="783"/>
      <c r="Q5" s="669"/>
      <c r="R5" s="670"/>
      <c r="S5" s="671"/>
      <c r="T5" s="781" t="s">
        <v>239</v>
      </c>
      <c r="U5" s="782"/>
      <c r="V5" s="783"/>
      <c r="W5" s="781"/>
      <c r="X5" s="782"/>
      <c r="Y5" s="783"/>
      <c r="Z5" s="781" t="s">
        <v>240</v>
      </c>
      <c r="AA5" s="782"/>
      <c r="AB5" s="783"/>
      <c r="AC5" s="781" t="s">
        <v>241</v>
      </c>
      <c r="AD5" s="782"/>
      <c r="AE5" s="783"/>
      <c r="AF5" s="781" t="s">
        <v>121</v>
      </c>
      <c r="AG5" s="782"/>
      <c r="AH5" s="783"/>
      <c r="AI5" s="781" t="s">
        <v>242</v>
      </c>
      <c r="AJ5" s="782"/>
      <c r="AK5" s="783"/>
    </row>
    <row r="6" spans="1:37" ht="21" customHeight="1" x14ac:dyDescent="0.3">
      <c r="A6" s="462"/>
      <c r="B6" s="784" t="s">
        <v>243</v>
      </c>
      <c r="C6" s="785"/>
      <c r="D6" s="786"/>
      <c r="E6" s="784" t="s">
        <v>244</v>
      </c>
      <c r="F6" s="785"/>
      <c r="G6" s="786"/>
      <c r="H6" s="784" t="s">
        <v>243</v>
      </c>
      <c r="I6" s="785"/>
      <c r="J6" s="786"/>
      <c r="K6" s="784" t="s">
        <v>245</v>
      </c>
      <c r="L6" s="785"/>
      <c r="M6" s="786"/>
      <c r="N6" s="784" t="s">
        <v>55</v>
      </c>
      <c r="O6" s="785"/>
      <c r="P6" s="786"/>
      <c r="Q6" s="784" t="s">
        <v>60</v>
      </c>
      <c r="R6" s="785"/>
      <c r="S6" s="786"/>
      <c r="T6" s="784" t="s">
        <v>246</v>
      </c>
      <c r="U6" s="785"/>
      <c r="V6" s="786"/>
      <c r="W6" s="784" t="s">
        <v>247</v>
      </c>
      <c r="X6" s="785"/>
      <c r="Y6" s="786"/>
      <c r="Z6" s="784" t="s">
        <v>243</v>
      </c>
      <c r="AA6" s="785"/>
      <c r="AB6" s="786"/>
      <c r="AC6" s="784" t="s">
        <v>243</v>
      </c>
      <c r="AD6" s="785"/>
      <c r="AE6" s="786"/>
      <c r="AF6" s="784" t="s">
        <v>248</v>
      </c>
      <c r="AG6" s="785"/>
      <c r="AH6" s="786"/>
      <c r="AI6" s="784" t="s">
        <v>249</v>
      </c>
      <c r="AJ6" s="785"/>
      <c r="AK6" s="786"/>
    </row>
    <row r="7" spans="1:37" ht="18.75" customHeight="1" x14ac:dyDescent="0.3">
      <c r="A7" s="462"/>
      <c r="B7" s="462"/>
      <c r="C7" s="462"/>
      <c r="D7" s="463" t="s">
        <v>85</v>
      </c>
      <c r="E7" s="462"/>
      <c r="F7" s="462"/>
      <c r="G7" s="463" t="s">
        <v>85</v>
      </c>
      <c r="H7" s="462"/>
      <c r="I7" s="462"/>
      <c r="J7" s="463" t="s">
        <v>85</v>
      </c>
      <c r="K7" s="462"/>
      <c r="L7" s="462"/>
      <c r="M7" s="463" t="s">
        <v>85</v>
      </c>
      <c r="N7" s="462"/>
      <c r="O7" s="462"/>
      <c r="P7" s="463" t="s">
        <v>85</v>
      </c>
      <c r="Q7" s="462"/>
      <c r="R7" s="462"/>
      <c r="S7" s="463" t="s">
        <v>85</v>
      </c>
      <c r="T7" s="462"/>
      <c r="U7" s="462"/>
      <c r="V7" s="463" t="s">
        <v>85</v>
      </c>
      <c r="W7" s="462"/>
      <c r="X7" s="462"/>
      <c r="Y7" s="463" t="s">
        <v>85</v>
      </c>
      <c r="Z7" s="462"/>
      <c r="AA7" s="462"/>
      <c r="AB7" s="463" t="s">
        <v>85</v>
      </c>
      <c r="AC7" s="462"/>
      <c r="AD7" s="462"/>
      <c r="AE7" s="463" t="s">
        <v>85</v>
      </c>
      <c r="AF7" s="462"/>
      <c r="AG7" s="462"/>
      <c r="AH7" s="463" t="s">
        <v>85</v>
      </c>
      <c r="AI7" s="462"/>
      <c r="AJ7" s="462"/>
      <c r="AK7" s="463" t="s">
        <v>85</v>
      </c>
    </row>
    <row r="8" spans="1:37" ht="18.75" customHeight="1" x14ac:dyDescent="0.35">
      <c r="A8" s="464" t="s">
        <v>250</v>
      </c>
      <c r="B8" s="426">
        <v>2024</v>
      </c>
      <c r="C8" s="426">
        <v>2025</v>
      </c>
      <c r="D8" s="465" t="s">
        <v>88</v>
      </c>
      <c r="E8" s="426">
        <f>$B$8</f>
        <v>2024</v>
      </c>
      <c r="F8" s="426">
        <f>$C$8</f>
        <v>2025</v>
      </c>
      <c r="G8" s="465" t="s">
        <v>88</v>
      </c>
      <c r="H8" s="426">
        <f>$B$8</f>
        <v>2024</v>
      </c>
      <c r="I8" s="426">
        <f>$C$8</f>
        <v>2025</v>
      </c>
      <c r="J8" s="465" t="s">
        <v>88</v>
      </c>
      <c r="K8" s="426">
        <f>$B$8</f>
        <v>2024</v>
      </c>
      <c r="L8" s="426">
        <f>$C$8</f>
        <v>2025</v>
      </c>
      <c r="M8" s="465" t="s">
        <v>88</v>
      </c>
      <c r="N8" s="426">
        <f>$B$8</f>
        <v>2024</v>
      </c>
      <c r="O8" s="426">
        <f>$C$8</f>
        <v>2025</v>
      </c>
      <c r="P8" s="465" t="s">
        <v>88</v>
      </c>
      <c r="Q8" s="426">
        <f>$B$8</f>
        <v>2024</v>
      </c>
      <c r="R8" s="426">
        <f>$C$8</f>
        <v>2025</v>
      </c>
      <c r="S8" s="465" t="s">
        <v>88</v>
      </c>
      <c r="T8" s="426">
        <f>$B$8</f>
        <v>2024</v>
      </c>
      <c r="U8" s="426">
        <f>$C$8</f>
        <v>2025</v>
      </c>
      <c r="V8" s="465" t="s">
        <v>88</v>
      </c>
      <c r="W8" s="426">
        <f>$B$8</f>
        <v>2024</v>
      </c>
      <c r="X8" s="426">
        <f>$C$8</f>
        <v>2025</v>
      </c>
      <c r="Y8" s="465" t="s">
        <v>88</v>
      </c>
      <c r="Z8" s="426">
        <f>$B$8</f>
        <v>2024</v>
      </c>
      <c r="AA8" s="426">
        <f>$C$8</f>
        <v>2025</v>
      </c>
      <c r="AB8" s="465" t="s">
        <v>88</v>
      </c>
      <c r="AC8" s="426">
        <f>$B$8</f>
        <v>2024</v>
      </c>
      <c r="AD8" s="426">
        <f>$C$8</f>
        <v>2025</v>
      </c>
      <c r="AE8" s="465" t="s">
        <v>88</v>
      </c>
      <c r="AF8" s="426">
        <f>$B$8</f>
        <v>2024</v>
      </c>
      <c r="AG8" s="426">
        <f>$C$8</f>
        <v>2025</v>
      </c>
      <c r="AH8" s="465" t="s">
        <v>88</v>
      </c>
      <c r="AI8" s="426">
        <f>$B$8</f>
        <v>2024</v>
      </c>
      <c r="AJ8" s="426">
        <f>$C$8</f>
        <v>2025</v>
      </c>
      <c r="AK8" s="465" t="s">
        <v>88</v>
      </c>
    </row>
    <row r="9" spans="1:37" ht="18.75" customHeight="1" x14ac:dyDescent="0.35">
      <c r="A9" s="462" t="s">
        <v>251</v>
      </c>
      <c r="B9" s="672"/>
      <c r="C9" s="391"/>
      <c r="D9" s="393"/>
      <c r="E9" s="672"/>
      <c r="F9" s="391"/>
      <c r="G9" s="393"/>
      <c r="H9" s="672"/>
      <c r="I9" s="391"/>
      <c r="J9" s="393"/>
      <c r="K9" s="672"/>
      <c r="L9" s="391"/>
      <c r="M9" s="391"/>
      <c r="N9" s="658"/>
      <c r="O9" s="393"/>
      <c r="P9" s="393"/>
      <c r="Q9" s="672"/>
      <c r="R9" s="391"/>
      <c r="S9" s="393"/>
      <c r="T9" s="658"/>
      <c r="U9" s="393"/>
      <c r="V9" s="393"/>
      <c r="W9" s="672"/>
      <c r="X9" s="391"/>
      <c r="Y9" s="393"/>
      <c r="Z9" s="672"/>
      <c r="AA9" s="391"/>
      <c r="AB9" s="393"/>
      <c r="AC9" s="672"/>
      <c r="AD9" s="391"/>
      <c r="AE9" s="393"/>
      <c r="AF9" s="393"/>
      <c r="AG9" s="393"/>
      <c r="AH9" s="393"/>
      <c r="AI9" s="466"/>
      <c r="AJ9" s="466"/>
      <c r="AK9" s="466"/>
    </row>
    <row r="10" spans="1:37" s="372" customFormat="1" ht="18.75" customHeight="1" x14ac:dyDescent="0.35">
      <c r="A10" s="460" t="s">
        <v>252</v>
      </c>
      <c r="B10" s="467"/>
      <c r="C10" s="357"/>
      <c r="D10" s="280"/>
      <c r="E10" s="467"/>
      <c r="F10" s="357"/>
      <c r="G10" s="280"/>
      <c r="H10" s="467"/>
      <c r="I10" s="357"/>
      <c r="J10" s="280"/>
      <c r="K10" s="467"/>
      <c r="L10" s="357"/>
      <c r="M10" s="357"/>
      <c r="N10" s="468"/>
      <c r="O10" s="280"/>
      <c r="P10" s="280"/>
      <c r="Q10" s="467"/>
      <c r="R10" s="357"/>
      <c r="S10" s="280"/>
      <c r="T10" s="468"/>
      <c r="U10" s="280"/>
      <c r="V10" s="280"/>
      <c r="W10" s="467"/>
      <c r="X10" s="357"/>
      <c r="Y10" s="280"/>
      <c r="Z10" s="467"/>
      <c r="AA10" s="357"/>
      <c r="AB10" s="280"/>
      <c r="AC10" s="467"/>
      <c r="AD10" s="357"/>
      <c r="AE10" s="280"/>
      <c r="AF10" s="280"/>
      <c r="AG10" s="280"/>
      <c r="AH10" s="280"/>
      <c r="AI10" s="469"/>
      <c r="AJ10" s="469"/>
      <c r="AK10" s="469"/>
    </row>
    <row r="11" spans="1:37" s="372" customFormat="1" ht="18.75" customHeight="1" x14ac:dyDescent="0.35">
      <c r="A11" s="460" t="s">
        <v>253</v>
      </c>
      <c r="B11" s="468">
        <v>21733.897000000001</v>
      </c>
      <c r="C11" s="280">
        <v>23453.78815774</v>
      </c>
      <c r="D11" s="280">
        <f t="shared" ref="D11:D17" si="0">IF(B11=0, "    ---- ", IF(ABS(ROUND(100/B11*C11-100,1))&lt;999,ROUND(100/B11*C11-100,1),IF(ROUND(100/B11*C11-100,1)&gt;999,999,-999)))</f>
        <v>7.9</v>
      </c>
      <c r="E11" s="468">
        <v>4372.3222818199993</v>
      </c>
      <c r="F11" s="280">
        <v>4680.4622609699991</v>
      </c>
      <c r="G11" s="280">
        <f t="shared" ref="G11:G17" si="1">IF(E11=0, "    ---- ", IF(ABS(ROUND(100/E11*F11-100,1))&lt;999,ROUND(100/E11*F11-100,1),IF(ROUND(100/E11*F11-100,1)&gt;999,999,-999)))</f>
        <v>7</v>
      </c>
      <c r="H11" s="468">
        <v>756.47699999999998</v>
      </c>
      <c r="I11" s="280">
        <v>861.45100000000002</v>
      </c>
      <c r="J11" s="280">
        <f t="shared" ref="J11:J17" si="2">IF(H11=0, "    ---- ", IF(ABS(ROUND(100/H11*I11-100,1))&lt;999,ROUND(100/H11*I11-100,1),IF(ROUND(100/H11*I11-100,1)&gt;999,999,-999)))</f>
        <v>13.9</v>
      </c>
      <c r="K11" s="468">
        <v>7756</v>
      </c>
      <c r="L11" s="280">
        <v>8508</v>
      </c>
      <c r="M11" s="280">
        <f t="shared" ref="M11:M16" si="3">IF(K11=0, "    ---- ", IF(ABS(ROUND(100/K11*L11-100,1))&lt;999,ROUND(100/K11*L11-100,1),IF(ROUND(100/K11*L11-100,1)&gt;999,999,-999)))</f>
        <v>9.6999999999999993</v>
      </c>
      <c r="N11" s="468">
        <v>60881.872822919999</v>
      </c>
      <c r="O11" s="280">
        <v>65079.680991829999</v>
      </c>
      <c r="P11" s="280">
        <f t="shared" ref="P11:P17" si="4">IF(N11=0, "    ---- ", IF(ABS(ROUND(100/N11*O11-100,1))&lt;999,ROUND(100/N11*O11-100,1),IF(ROUND(100/N11*O11-100,1)&gt;999,999,-999)))</f>
        <v>6.9</v>
      </c>
      <c r="Q11" s="468">
        <v>22494.765299999999</v>
      </c>
      <c r="R11" s="280">
        <v>21899.5324</v>
      </c>
      <c r="S11" s="280">
        <f t="shared" ref="S11:S17" si="5">IF(Q11=0, "    ---- ", IF(ABS(ROUND(100/Q11*R11-100,1))&lt;999,ROUND(100/Q11*R11-100,1),IF(ROUND(100/Q11*R11-100,1)&gt;999,999,-999)))</f>
        <v>-2.6</v>
      </c>
      <c r="T11" s="468">
        <v>8288</v>
      </c>
      <c r="U11" s="280">
        <v>7887</v>
      </c>
      <c r="V11" s="280">
        <f t="shared" ref="V11:V17" si="6">IF(T11=0, "    ---- ", IF(ABS(ROUND(100/T11*U11-100,1))&lt;999,ROUND(100/T11*U11-100,1),IF(ROUND(100/T11*U11-100,1)&gt;999,999,-999)))</f>
        <v>-4.8</v>
      </c>
      <c r="W11" s="468">
        <v>8657.7690444599993</v>
      </c>
      <c r="X11" s="280">
        <v>9419.0656089299973</v>
      </c>
      <c r="Y11" s="280">
        <f t="shared" ref="Y11:Y17" si="7">IF(W11=0, "    ---- ", IF(ABS(ROUND(100/W11*X11-100,1))&lt;999,ROUND(100/W11*X11-100,1),IF(ROUND(100/W11*X11-100,1)&gt;999,999,-999)))</f>
        <v>8.8000000000000007</v>
      </c>
      <c r="Z11" s="468">
        <v>26843.67138489</v>
      </c>
      <c r="AA11" s="280">
        <v>28594.051737279991</v>
      </c>
      <c r="AB11" s="280">
        <f t="shared" ref="AB11:AB17" si="8">IF(Z11=0, "    ---- ", IF(ABS(ROUND(100/Z11*AA11-100,1))&lt;999,ROUND(100/Z11*AA11-100,1),IF(ROUND(100/Z11*AA11-100,1)&gt;999,999,-999)))</f>
        <v>6.5</v>
      </c>
      <c r="AC11" s="468">
        <v>147</v>
      </c>
      <c r="AD11" s="280">
        <v>207</v>
      </c>
      <c r="AE11" s="280">
        <f t="shared" ref="AE11:AE15" si="9">IF(AC11=0, "    ---- ", IF(ABS(ROUND(100/AC11*AD11-100,1))&lt;999,ROUND(100/AC11*AD11-100,1),IF(ROUND(100/AC11*AD11-100,1)&gt;999,999,-999)))</f>
        <v>40.799999999999997</v>
      </c>
      <c r="AF11" s="280">
        <f t="shared" ref="AF11:AG26" si="10">B11+E11+H11+K11+N11+Q11+T11+W11+Z11</f>
        <v>161784.77483409</v>
      </c>
      <c r="AG11" s="280">
        <f t="shared" si="10"/>
        <v>170383.03215674995</v>
      </c>
      <c r="AH11" s="280">
        <f t="shared" ref="AH11:AH46" si="11">IF(AF11=0, "    ---- ", IF(ABS(ROUND(100/AF11*AG11-100,1))&lt;999,ROUND(100/AF11*AG11-100,1),IF(ROUND(100/AF11*AG11-100,1)&gt;999,999,-999)))</f>
        <v>5.3</v>
      </c>
      <c r="AI11" s="360">
        <f t="shared" ref="AI11:AJ21" si="12">B11+E11+H11+K11+N11+Q11+T11+W11+Z11+AC11</f>
        <v>161931.77483409</v>
      </c>
      <c r="AJ11" s="360">
        <f t="shared" si="12"/>
        <v>170590.03215674995</v>
      </c>
      <c r="AK11" s="280">
        <f t="shared" ref="AK11:AK17" si="13">IF(AI11=0, "    ---- ", IF(ABS(ROUND(100/AI11*AJ11-100,1))&lt;999,ROUND(100/AI11*AJ11-100,1),IF(ROUND(100/AI11*AJ11-100,1)&gt;999,999,-999)))</f>
        <v>5.3</v>
      </c>
    </row>
    <row r="12" spans="1:37" s="372" customFormat="1" ht="18.75" customHeight="1" x14ac:dyDescent="0.35">
      <c r="A12" s="460" t="s">
        <v>254</v>
      </c>
      <c r="B12" s="468">
        <v>-219.77799999999999</v>
      </c>
      <c r="C12" s="280">
        <v>-252.63151073</v>
      </c>
      <c r="D12" s="280">
        <f t="shared" si="0"/>
        <v>14.9</v>
      </c>
      <c r="E12" s="468">
        <v>-65.296880880000003</v>
      </c>
      <c r="F12" s="280">
        <v>-52.959655179999992</v>
      </c>
      <c r="G12" s="280">
        <f t="shared" si="1"/>
        <v>-18.899999999999999</v>
      </c>
      <c r="H12" s="468">
        <v>-21.382999999999999</v>
      </c>
      <c r="I12" s="280">
        <v>-7.6120000000000001</v>
      </c>
      <c r="J12" s="280">
        <f t="shared" si="2"/>
        <v>-64.400000000000006</v>
      </c>
      <c r="K12" s="468">
        <v>-103</v>
      </c>
      <c r="L12" s="280">
        <v>-11</v>
      </c>
      <c r="M12" s="280">
        <f t="shared" si="3"/>
        <v>-89.3</v>
      </c>
      <c r="N12" s="468"/>
      <c r="O12" s="280"/>
      <c r="P12" s="280"/>
      <c r="Q12" s="468">
        <v>-112.2</v>
      </c>
      <c r="R12" s="280">
        <v>-124.42</v>
      </c>
      <c r="S12" s="280">
        <f t="shared" si="5"/>
        <v>10.9</v>
      </c>
      <c r="T12" s="468"/>
      <c r="U12" s="280"/>
      <c r="V12" s="280"/>
      <c r="W12" s="468">
        <v>-8.3729999999999993</v>
      </c>
      <c r="X12" s="280">
        <v>-9.9901039999999988</v>
      </c>
      <c r="Y12" s="280">
        <f t="shared" si="7"/>
        <v>19.3</v>
      </c>
      <c r="Z12" s="468">
        <v>-32.651015039999997</v>
      </c>
      <c r="AA12" s="280">
        <v>-16.344295490000004</v>
      </c>
      <c r="AB12" s="280">
        <f t="shared" si="8"/>
        <v>-49.9</v>
      </c>
      <c r="AC12" s="468">
        <v>-46</v>
      </c>
      <c r="AD12" s="280">
        <v>-67</v>
      </c>
      <c r="AE12" s="280">
        <f t="shared" si="9"/>
        <v>45.7</v>
      </c>
      <c r="AF12" s="280">
        <f t="shared" si="10"/>
        <v>-562.68189591999999</v>
      </c>
      <c r="AG12" s="280">
        <f t="shared" si="10"/>
        <v>-474.95756539999996</v>
      </c>
      <c r="AH12" s="280">
        <f t="shared" si="11"/>
        <v>-15.6</v>
      </c>
      <c r="AI12" s="360">
        <f t="shared" si="12"/>
        <v>-608.68189591999999</v>
      </c>
      <c r="AJ12" s="360">
        <f t="shared" si="12"/>
        <v>-541.95756540000002</v>
      </c>
      <c r="AK12" s="280">
        <f t="shared" si="13"/>
        <v>-11</v>
      </c>
    </row>
    <row r="13" spans="1:37" s="372" customFormat="1" ht="18.75" customHeight="1" x14ac:dyDescent="0.35">
      <c r="A13" s="460" t="s">
        <v>255</v>
      </c>
      <c r="B13" s="468">
        <v>15099.335999999999</v>
      </c>
      <c r="C13" s="685">
        <v>23782.502715620001</v>
      </c>
      <c r="D13" s="280">
        <f t="shared" si="0"/>
        <v>57.5</v>
      </c>
      <c r="E13" s="468"/>
      <c r="F13" s="280"/>
      <c r="G13" s="280"/>
      <c r="H13" s="468"/>
      <c r="I13" s="280"/>
      <c r="J13" s="280"/>
      <c r="K13" s="468">
        <v>9519</v>
      </c>
      <c r="L13" s="280">
        <v>12814</v>
      </c>
      <c r="M13" s="280">
        <f t="shared" si="3"/>
        <v>34.6</v>
      </c>
      <c r="N13" s="468">
        <v>1.2145630000000001</v>
      </c>
      <c r="O13" s="280">
        <v>44.403089789999996</v>
      </c>
      <c r="P13" s="280">
        <f t="shared" si="4"/>
        <v>999</v>
      </c>
      <c r="Q13" s="468">
        <v>12262.77</v>
      </c>
      <c r="R13" s="280">
        <v>14683.43</v>
      </c>
      <c r="S13" s="280">
        <f t="shared" si="5"/>
        <v>19.7</v>
      </c>
      <c r="T13" s="468"/>
      <c r="U13" s="280"/>
      <c r="V13" s="280"/>
      <c r="W13" s="468">
        <v>5695.2929642499985</v>
      </c>
      <c r="X13" s="280">
        <v>8785.462124220001</v>
      </c>
      <c r="Y13" s="280">
        <f t="shared" si="7"/>
        <v>54.3</v>
      </c>
      <c r="Z13" s="468">
        <v>11472.534175119999</v>
      </c>
      <c r="AA13" s="280">
        <v>15594.578694829997</v>
      </c>
      <c r="AB13" s="280">
        <f t="shared" si="8"/>
        <v>35.9</v>
      </c>
      <c r="AC13" s="468">
        <v>8</v>
      </c>
      <c r="AD13" s="280">
        <v>4</v>
      </c>
      <c r="AE13" s="280">
        <f t="shared" si="9"/>
        <v>-50</v>
      </c>
      <c r="AF13" s="280">
        <f t="shared" si="10"/>
        <v>54050.147702369999</v>
      </c>
      <c r="AG13" s="280">
        <f t="shared" si="10"/>
        <v>75704.376624459997</v>
      </c>
      <c r="AH13" s="280">
        <f t="shared" si="11"/>
        <v>40.1</v>
      </c>
      <c r="AI13" s="360">
        <f t="shared" si="12"/>
        <v>54058.147702369999</v>
      </c>
      <c r="AJ13" s="360">
        <f t="shared" si="12"/>
        <v>75708.376624459997</v>
      </c>
      <c r="AK13" s="280">
        <f t="shared" si="13"/>
        <v>40</v>
      </c>
    </row>
    <row r="14" spans="1:37" s="372" customFormat="1" ht="18.75" customHeight="1" x14ac:dyDescent="0.35">
      <c r="A14" s="460" t="s">
        <v>256</v>
      </c>
      <c r="B14" s="467">
        <f>SUM(B11:B13)</f>
        <v>36613.455000000002</v>
      </c>
      <c r="C14" s="357">
        <f>SUM(C11:C13)</f>
        <v>46983.659362630002</v>
      </c>
      <c r="D14" s="280">
        <f t="shared" si="0"/>
        <v>28.3</v>
      </c>
      <c r="E14" s="467">
        <f>SUM(E11:E13)</f>
        <v>4307.0254009399996</v>
      </c>
      <c r="F14" s="357">
        <f>SUM(F11:F13)</f>
        <v>4627.5026057899995</v>
      </c>
      <c r="G14" s="280">
        <f t="shared" si="1"/>
        <v>7.4</v>
      </c>
      <c r="H14" s="467">
        <f>SUM(H11:H13)</f>
        <v>735.09399999999994</v>
      </c>
      <c r="I14" s="357">
        <f>SUM(I11:I13)</f>
        <v>853.83900000000006</v>
      </c>
      <c r="J14" s="280">
        <f t="shared" si="2"/>
        <v>16.2</v>
      </c>
      <c r="K14" s="467">
        <f>SUM(K11:K13)</f>
        <v>17172</v>
      </c>
      <c r="L14" s="357">
        <f>SUM(L11:L13)</f>
        <v>21311</v>
      </c>
      <c r="M14" s="280">
        <f t="shared" si="3"/>
        <v>24.1</v>
      </c>
      <c r="N14" s="467">
        <v>60883.08738592</v>
      </c>
      <c r="O14" s="357">
        <v>65124.08408162</v>
      </c>
      <c r="P14" s="280">
        <f t="shared" si="4"/>
        <v>7</v>
      </c>
      <c r="Q14" s="467">
        <f>SUM(Q11:Q13)</f>
        <v>34645.335299999999</v>
      </c>
      <c r="R14" s="357">
        <f>SUM(R11:R13)</f>
        <v>36458.542400000006</v>
      </c>
      <c r="S14" s="280">
        <f t="shared" si="5"/>
        <v>5.2</v>
      </c>
      <c r="T14" s="467">
        <f>SUM(T11:T13)</f>
        <v>8288</v>
      </c>
      <c r="U14" s="357">
        <f>SUM(U11:U13)</f>
        <v>7887</v>
      </c>
      <c r="V14" s="280">
        <f t="shared" si="6"/>
        <v>-4.8</v>
      </c>
      <c r="W14" s="467">
        <f>SUM(W11:W13)</f>
        <v>14344.689008709998</v>
      </c>
      <c r="X14" s="357">
        <f>SUM(X11:X13)</f>
        <v>18194.53762915</v>
      </c>
      <c r="Y14" s="280">
        <f t="shared" si="7"/>
        <v>26.8</v>
      </c>
      <c r="Z14" s="467">
        <f>SUM(Z11:Z13)</f>
        <v>38283.55454497</v>
      </c>
      <c r="AA14" s="357">
        <f>SUM(AA11:AA13)</f>
        <v>44172.286136619994</v>
      </c>
      <c r="AB14" s="280">
        <f t="shared" si="8"/>
        <v>15.4</v>
      </c>
      <c r="AC14" s="467">
        <f>SUM(AC11:AC13)</f>
        <v>109</v>
      </c>
      <c r="AD14" s="357">
        <f>SUM(AD11:AD13)</f>
        <v>144</v>
      </c>
      <c r="AE14" s="280">
        <f t="shared" si="9"/>
        <v>32.1</v>
      </c>
      <c r="AF14" s="280">
        <f t="shared" si="10"/>
        <v>215272.24064054003</v>
      </c>
      <c r="AG14" s="280">
        <f t="shared" si="10"/>
        <v>245612.45121581003</v>
      </c>
      <c r="AH14" s="280">
        <f t="shared" si="11"/>
        <v>14.1</v>
      </c>
      <c r="AI14" s="360">
        <f t="shared" si="12"/>
        <v>215381.24064054003</v>
      </c>
      <c r="AJ14" s="360">
        <f t="shared" si="12"/>
        <v>245756.45121581003</v>
      </c>
      <c r="AK14" s="280">
        <f t="shared" si="13"/>
        <v>14.1</v>
      </c>
    </row>
    <row r="15" spans="1:37" s="372" customFormat="1" ht="18.75" customHeight="1" x14ac:dyDescent="0.35">
      <c r="A15" s="460" t="s">
        <v>257</v>
      </c>
      <c r="B15" s="682">
        <v>8681.3009999999995</v>
      </c>
      <c r="C15" s="360">
        <v>9267.6862285999996</v>
      </c>
      <c r="D15" s="280">
        <f t="shared" si="0"/>
        <v>6.8</v>
      </c>
      <c r="E15" s="682">
        <v>476.98749974999998</v>
      </c>
      <c r="F15" s="394">
        <v>535.91858303000004</v>
      </c>
      <c r="G15" s="280">
        <f t="shared" si="1"/>
        <v>12.4</v>
      </c>
      <c r="H15" s="682">
        <v>110.989</v>
      </c>
      <c r="I15" s="394">
        <v>145.70099999999999</v>
      </c>
      <c r="J15" s="280">
        <f t="shared" si="2"/>
        <v>31.3</v>
      </c>
      <c r="K15" s="147">
        <v>344</v>
      </c>
      <c r="L15" s="360">
        <v>405</v>
      </c>
      <c r="M15" s="280">
        <f t="shared" si="3"/>
        <v>17.7</v>
      </c>
      <c r="N15" s="147">
        <v>65265.343273629995</v>
      </c>
      <c r="O15" s="360">
        <v>63334.871900830003</v>
      </c>
      <c r="P15" s="280">
        <f t="shared" si="4"/>
        <v>-3</v>
      </c>
      <c r="Q15" s="147">
        <v>2380.2644</v>
      </c>
      <c r="R15" s="360">
        <v>3254.0585000000001</v>
      </c>
      <c r="S15" s="280">
        <f t="shared" si="5"/>
        <v>36.700000000000003</v>
      </c>
      <c r="T15" s="147">
        <v>8628</v>
      </c>
      <c r="U15" s="360">
        <v>10915</v>
      </c>
      <c r="V15" s="280">
        <f t="shared" si="6"/>
        <v>26.5</v>
      </c>
      <c r="W15" s="716">
        <v>1260.0367183099966</v>
      </c>
      <c r="X15" s="383">
        <v>1520.3914872299954</v>
      </c>
      <c r="Y15" s="280">
        <f t="shared" si="7"/>
        <v>20.7</v>
      </c>
      <c r="Z15" s="147">
        <v>10255.16624456</v>
      </c>
      <c r="AA15" s="360">
        <v>11652.017228780007</v>
      </c>
      <c r="AB15" s="280">
        <f t="shared" si="8"/>
        <v>13.6</v>
      </c>
      <c r="AC15" s="147">
        <v>1</v>
      </c>
      <c r="AD15" s="360">
        <v>1</v>
      </c>
      <c r="AE15" s="280">
        <f t="shared" si="9"/>
        <v>0</v>
      </c>
      <c r="AF15" s="280">
        <f t="shared" si="10"/>
        <v>97402.088136249993</v>
      </c>
      <c r="AG15" s="280">
        <f t="shared" si="10"/>
        <v>101030.64492847001</v>
      </c>
      <c r="AH15" s="280">
        <f t="shared" si="11"/>
        <v>3.7</v>
      </c>
      <c r="AI15" s="360">
        <f t="shared" si="12"/>
        <v>97403.088136249993</v>
      </c>
      <c r="AJ15" s="360">
        <f t="shared" si="12"/>
        <v>101031.64492847001</v>
      </c>
      <c r="AK15" s="280">
        <f t="shared" si="13"/>
        <v>3.7</v>
      </c>
    </row>
    <row r="16" spans="1:37" s="372" customFormat="1" ht="18.75" customHeight="1" x14ac:dyDescent="0.35">
      <c r="A16" s="460" t="s">
        <v>258</v>
      </c>
      <c r="B16" s="682">
        <v>24258.423999999999</v>
      </c>
      <c r="C16" s="360">
        <v>28291.73337315</v>
      </c>
      <c r="D16" s="280">
        <f t="shared" si="0"/>
        <v>16.600000000000001</v>
      </c>
      <c r="E16" s="682"/>
      <c r="F16" s="394"/>
      <c r="G16" s="280"/>
      <c r="H16" s="682"/>
      <c r="I16" s="394"/>
      <c r="J16" s="280"/>
      <c r="K16" s="147">
        <v>9963</v>
      </c>
      <c r="L16" s="360">
        <v>8145</v>
      </c>
      <c r="M16" s="357">
        <f t="shared" si="3"/>
        <v>-18.2</v>
      </c>
      <c r="N16" s="147">
        <v>304.34136494000001</v>
      </c>
      <c r="O16" s="360">
        <v>279.46321028</v>
      </c>
      <c r="P16" s="470">
        <f t="shared" si="4"/>
        <v>-8.1999999999999993</v>
      </c>
      <c r="Q16" s="147">
        <v>22705.444100000001</v>
      </c>
      <c r="R16" s="360">
        <v>23429.876799999998</v>
      </c>
      <c r="S16" s="280">
        <f t="shared" si="5"/>
        <v>3.2</v>
      </c>
      <c r="T16" s="147"/>
      <c r="U16" s="360"/>
      <c r="V16" s="280"/>
      <c r="W16" s="716">
        <v>9354.5937571599952</v>
      </c>
      <c r="X16" s="383">
        <v>7528.882865470011</v>
      </c>
      <c r="Y16" s="280">
        <f t="shared" si="7"/>
        <v>-19.5</v>
      </c>
      <c r="Z16" s="147">
        <v>30489.871372789999</v>
      </c>
      <c r="AA16" s="360">
        <v>28449.98180834997</v>
      </c>
      <c r="AB16" s="280">
        <f t="shared" si="8"/>
        <v>-6.7</v>
      </c>
      <c r="AC16" s="147"/>
      <c r="AD16" s="360"/>
      <c r="AE16" s="280"/>
      <c r="AF16" s="280">
        <f t="shared" si="10"/>
        <v>97075.674594890006</v>
      </c>
      <c r="AG16" s="280">
        <f t="shared" si="10"/>
        <v>96124.938057249979</v>
      </c>
      <c r="AH16" s="280">
        <f t="shared" si="11"/>
        <v>-1</v>
      </c>
      <c r="AI16" s="360">
        <f t="shared" si="12"/>
        <v>97075.674594890006</v>
      </c>
      <c r="AJ16" s="360">
        <f t="shared" si="12"/>
        <v>96124.938057249979</v>
      </c>
      <c r="AK16" s="280">
        <f t="shared" si="13"/>
        <v>-1</v>
      </c>
    </row>
    <row r="17" spans="1:37" s="372" customFormat="1" ht="18.75" customHeight="1" x14ac:dyDescent="0.35">
      <c r="A17" s="460" t="s">
        <v>259</v>
      </c>
      <c r="B17" s="682">
        <v>50.66</v>
      </c>
      <c r="C17" s="360">
        <v>86.240746139999999</v>
      </c>
      <c r="D17" s="280">
        <f t="shared" si="0"/>
        <v>70.2</v>
      </c>
      <c r="E17" s="682">
        <v>13.591834159999998</v>
      </c>
      <c r="F17" s="394">
        <v>13.858882169999999</v>
      </c>
      <c r="G17" s="280">
        <f t="shared" si="1"/>
        <v>2</v>
      </c>
      <c r="H17" s="682"/>
      <c r="I17" s="394">
        <v>15</v>
      </c>
      <c r="J17" s="280" t="str">
        <f t="shared" si="2"/>
        <v xml:space="preserve">    ---- </v>
      </c>
      <c r="K17" s="147">
        <v>336</v>
      </c>
      <c r="L17" s="360">
        <v>390</v>
      </c>
      <c r="M17" s="280">
        <f>IF(K17=0, "    ---- ", IF(ABS(ROUND(100/K17*L17-100,1))&lt;999,ROUND(100/K17*L17-100,1),IF(ROUND(100/K17*L17-100,1)&gt;999,999,-999)))</f>
        <v>16.100000000000001</v>
      </c>
      <c r="N17" s="147">
        <v>1472.947263</v>
      </c>
      <c r="O17" s="360">
        <v>1488.9429399999999</v>
      </c>
      <c r="P17" s="280">
        <f t="shared" si="4"/>
        <v>1.1000000000000001</v>
      </c>
      <c r="Q17" s="147">
        <v>376.94490000000002</v>
      </c>
      <c r="R17" s="360">
        <v>420.3057</v>
      </c>
      <c r="S17" s="280">
        <f t="shared" si="5"/>
        <v>11.5</v>
      </c>
      <c r="T17" s="147">
        <v>192</v>
      </c>
      <c r="U17" s="360">
        <v>0</v>
      </c>
      <c r="V17" s="280">
        <f t="shared" si="6"/>
        <v>-100</v>
      </c>
      <c r="W17" s="716">
        <v>400.52583569000001</v>
      </c>
      <c r="X17" s="383">
        <v>653.2538692800008</v>
      </c>
      <c r="Y17" s="280">
        <f t="shared" si="7"/>
        <v>63.1</v>
      </c>
      <c r="Z17" s="147">
        <v>975.61145765000003</v>
      </c>
      <c r="AA17" s="360">
        <v>1018.6188</v>
      </c>
      <c r="AB17" s="280">
        <f t="shared" si="8"/>
        <v>4.4000000000000004</v>
      </c>
      <c r="AC17" s="147"/>
      <c r="AD17" s="360"/>
      <c r="AE17" s="280"/>
      <c r="AF17" s="280">
        <f t="shared" si="10"/>
        <v>3818.2812905000001</v>
      </c>
      <c r="AG17" s="280">
        <f t="shared" si="10"/>
        <v>4086.2209375900011</v>
      </c>
      <c r="AH17" s="280">
        <f t="shared" si="11"/>
        <v>7</v>
      </c>
      <c r="AI17" s="360">
        <f t="shared" si="12"/>
        <v>3818.2812905000001</v>
      </c>
      <c r="AJ17" s="360">
        <f t="shared" si="12"/>
        <v>4086.2209375900011</v>
      </c>
      <c r="AK17" s="280">
        <f t="shared" si="13"/>
        <v>7</v>
      </c>
    </row>
    <row r="18" spans="1:37" s="372" customFormat="1" ht="18.75" customHeight="1" x14ac:dyDescent="0.35">
      <c r="A18" s="460" t="s">
        <v>260</v>
      </c>
      <c r="B18" s="682"/>
      <c r="C18" s="360"/>
      <c r="D18" s="280"/>
      <c r="E18" s="682"/>
      <c r="F18" s="394"/>
      <c r="G18" s="280"/>
      <c r="H18" s="682"/>
      <c r="I18" s="394"/>
      <c r="J18" s="280"/>
      <c r="K18" s="147"/>
      <c r="L18" s="360"/>
      <c r="M18" s="357"/>
      <c r="N18" s="147"/>
      <c r="O18" s="360"/>
      <c r="P18" s="280"/>
      <c r="Q18" s="673"/>
      <c r="R18" s="384"/>
      <c r="S18" s="280"/>
      <c r="T18" s="147"/>
      <c r="U18" s="360"/>
      <c r="V18" s="280"/>
      <c r="W18" s="716"/>
      <c r="X18" s="383"/>
      <c r="Y18" s="280"/>
      <c r="Z18" s="147"/>
      <c r="AA18" s="360"/>
      <c r="AB18" s="280"/>
      <c r="AC18" s="147"/>
      <c r="AD18" s="360"/>
      <c r="AE18" s="280"/>
      <c r="AF18" s="280">
        <f t="shared" si="10"/>
        <v>0</v>
      </c>
      <c r="AG18" s="280">
        <f t="shared" si="10"/>
        <v>0</v>
      </c>
      <c r="AH18" s="280"/>
      <c r="AI18" s="360">
        <f t="shared" si="12"/>
        <v>0</v>
      </c>
      <c r="AJ18" s="360">
        <f t="shared" si="12"/>
        <v>0</v>
      </c>
      <c r="AK18" s="469"/>
    </row>
    <row r="19" spans="1:37" s="372" customFormat="1" ht="18.75" customHeight="1" x14ac:dyDescent="0.35">
      <c r="A19" s="460" t="s">
        <v>261</v>
      </c>
      <c r="B19" s="467">
        <v>-16261.621999999999</v>
      </c>
      <c r="C19" s="357">
        <v>-16641.057721230001</v>
      </c>
      <c r="D19" s="280">
        <f>IF(B19=0, "    ---- ", IF(ABS(ROUND(100/B19*C19-100,1))&lt;999,ROUND(100/B19*C19-100,1),IF(ROUND(100/B19*C19-100,1)&gt;999,999,-999)))</f>
        <v>2.2999999999999998</v>
      </c>
      <c r="E19" s="467">
        <v>-1867.3036670399997</v>
      </c>
      <c r="F19" s="357">
        <v>-1970.8898841</v>
      </c>
      <c r="G19" s="280">
        <f>IF(E19=0, "    ---- ", IF(ABS(ROUND(100/E19*F19-100,1))&lt;999,ROUND(100/E19*F19-100,1),IF(ROUND(100/E19*F19-100,1)&gt;999,999,-999)))</f>
        <v>5.5</v>
      </c>
      <c r="H19" s="467">
        <v>-293.517</v>
      </c>
      <c r="I19" s="357">
        <v>-339.32600000000002</v>
      </c>
      <c r="J19" s="280">
        <f>IF(H19=0, "    ---- ", IF(ABS(ROUND(100/H19*I19-100,1))&lt;999,ROUND(100/H19*I19-100,1),IF(ROUND(100/H19*I19-100,1)&gt;999,999,-999)))</f>
        <v>15.6</v>
      </c>
      <c r="K19" s="467">
        <v>-1239</v>
      </c>
      <c r="L19" s="357">
        <v>-1512</v>
      </c>
      <c r="M19" s="280">
        <f>IF(K19=0, "    ---- ", IF(ABS(ROUND(100/K19*L19-100,1))&lt;999,ROUND(100/K19*L19-100,1),IF(ROUND(100/K19*L19-100,1)&gt;999,999,-999)))</f>
        <v>22</v>
      </c>
      <c r="N19" s="467">
        <v>-27777.378115939999</v>
      </c>
      <c r="O19" s="357">
        <v>-28671.995951479999</v>
      </c>
      <c r="P19" s="280">
        <f>IF(N19=0, "    ---- ", IF(ABS(ROUND(100/N19*O19-100,1))&lt;999,ROUND(100/N19*O19-100,1),IF(ROUND(100/N19*O19-100,1)&gt;999,999,-999)))</f>
        <v>3.2</v>
      </c>
      <c r="Q19" s="467">
        <v>-9198.0570000000007</v>
      </c>
      <c r="R19" s="357">
        <v>-15416.2556</v>
      </c>
      <c r="S19" s="280">
        <f>IF(Q19=0, "    ---- ", IF(ABS(ROUND(100/Q19*R19-100,1))&lt;999,ROUND(100/Q19*R19-100,1),IF(ROUND(100/Q19*R19-100,1)&gt;999,999,-999)))</f>
        <v>67.599999999999994</v>
      </c>
      <c r="T19" s="467">
        <v>-3784</v>
      </c>
      <c r="U19" s="357">
        <v>-3945</v>
      </c>
      <c r="V19" s="280">
        <f>IF(T19=0, "    ---- ", IF(ABS(ROUND(100/T19*U19-100,1))&lt;999,ROUND(100/T19*U19-100,1),IF(ROUND(100/T19*U19-100,1)&gt;999,999,-999)))</f>
        <v>4.3</v>
      </c>
      <c r="W19" s="717">
        <v>-2075.0927163599999</v>
      </c>
      <c r="X19" s="385">
        <v>-2367.1471901200016</v>
      </c>
      <c r="Y19" s="280">
        <f>IF(W19=0, "    ---- ", IF(ABS(ROUND(100/W19*X19-100,1))&lt;999,ROUND(100/W19*X19-100,1),IF(ROUND(100/W19*X19-100,1)&gt;999,999,-999)))</f>
        <v>14.1</v>
      </c>
      <c r="Z19" s="467">
        <v>-15851.60363691</v>
      </c>
      <c r="AA19" s="357">
        <v>-16803.109266400003</v>
      </c>
      <c r="AB19" s="280">
        <f>IF(Z19=0, "    ---- ", IF(ABS(ROUND(100/Z19*AA19-100,1))&lt;999,ROUND(100/Z19*AA19-100,1),IF(ROUND(100/Z19*AA19-100,1)&gt;999,999,-999)))</f>
        <v>6</v>
      </c>
      <c r="AC19" s="467">
        <v>-11</v>
      </c>
      <c r="AD19" s="357">
        <v>-20</v>
      </c>
      <c r="AE19" s="280">
        <f>IF(AC19=0, "    ---- ", IF(ABS(ROUND(100/AC19*AD19-100,1))&lt;999,ROUND(100/AC19*AD19-100,1),IF(ROUND(100/AC19*AD19-100,1)&gt;999,999,-999)))</f>
        <v>81.8</v>
      </c>
      <c r="AF19" s="280">
        <f t="shared" si="10"/>
        <v>-78347.574136249998</v>
      </c>
      <c r="AG19" s="280">
        <f t="shared" si="10"/>
        <v>-87666.781613330008</v>
      </c>
      <c r="AH19" s="280">
        <f t="shared" si="11"/>
        <v>11.9</v>
      </c>
      <c r="AI19" s="360">
        <f t="shared" si="12"/>
        <v>-78358.574136249998</v>
      </c>
      <c r="AJ19" s="360">
        <f t="shared" si="12"/>
        <v>-87686.781613330008</v>
      </c>
      <c r="AK19" s="280">
        <f>IF(AI19=0, "    ---- ", IF(ABS(ROUND(100/AI19*AJ19-100,1))&lt;999,ROUND(100/AI19*AJ19-100,1),IF(ROUND(100/AI19*AJ19-100,1)&gt;999,999,-999)))</f>
        <v>11.9</v>
      </c>
    </row>
    <row r="20" spans="1:37" s="372" customFormat="1" ht="18" x14ac:dyDescent="0.35">
      <c r="A20" s="738" t="s">
        <v>262</v>
      </c>
      <c r="B20" s="468">
        <v>-17145.578000000001</v>
      </c>
      <c r="C20" s="280">
        <v>-21833.369749649999</v>
      </c>
      <c r="D20" s="280">
        <f>IF(B20=0, "    ---- ", IF(ABS(ROUND(100/B20*C20-100,1))&lt;999,ROUND(100/B20*C20-100,1),IF(ROUND(100/B20*C20-100,1)&gt;999,999,-999)))</f>
        <v>27.3</v>
      </c>
      <c r="E20" s="468">
        <v>118.17784445999999</v>
      </c>
      <c r="F20" s="280">
        <v>103.47016339</v>
      </c>
      <c r="G20" s="280">
        <f>IF(E20=0, "    ---- ", IF(ABS(ROUND(100/E20*F20-100,1))&lt;999,ROUND(100/E20*F20-100,1),IF(ROUND(100/E20*F20-100,1)&gt;999,999,-999)))</f>
        <v>-12.4</v>
      </c>
      <c r="H20" s="468"/>
      <c r="I20" s="280"/>
      <c r="J20" s="280"/>
      <c r="K20" s="468">
        <v>-8025</v>
      </c>
      <c r="L20" s="280">
        <v>-12184</v>
      </c>
      <c r="M20" s="280">
        <f>IF(K20=0, "    ---- ", IF(ABS(ROUND(100/K20*L20-100,1))&lt;999,ROUND(100/K20*L20-100,1),IF(ROUND(100/K20*L20-100,1)&gt;999,999,-999)))</f>
        <v>51.8</v>
      </c>
      <c r="N20" s="468">
        <v>-2422.6546440000002</v>
      </c>
      <c r="O20" s="280">
        <v>-4170.7400200000002</v>
      </c>
      <c r="P20" s="280">
        <f>IF(N20=0, "    ---- ", IF(ABS(ROUND(100/N20*O20-100,1))&lt;999,ROUND(100/N20*O20-100,1),IF(ROUND(100/N20*O20-100,1)&gt;999,999,-999)))</f>
        <v>72.2</v>
      </c>
      <c r="Q20" s="659">
        <v>-11009</v>
      </c>
      <c r="R20" s="386">
        <v>-12622</v>
      </c>
      <c r="S20" s="280">
        <f>IF(Q20=0, "    ---- ", IF(ABS(ROUND(100/Q20*R20-100,1))&lt;999,ROUND(100/Q20*R20-100,1),IF(ROUND(100/Q20*R20-100,1)&gt;999,999,-999)))</f>
        <v>14.7</v>
      </c>
      <c r="T20" s="659">
        <v>-120</v>
      </c>
      <c r="U20" s="386">
        <v>0</v>
      </c>
      <c r="V20" s="280"/>
      <c r="W20" s="659">
        <v>-5822.0217500299996</v>
      </c>
      <c r="X20" s="386">
        <v>-8102.1187703999994</v>
      </c>
      <c r="Y20" s="280">
        <f>IF(W20=0, "    ---- ", IF(ABS(ROUND(100/W20*X20-100,1))&lt;999,ROUND(100/W20*X20-100,1),IF(ROUND(100/W20*X20-100,1)&gt;999,999,-999)))</f>
        <v>39.200000000000003</v>
      </c>
      <c r="Z20" s="468">
        <v>-14271.917226019999</v>
      </c>
      <c r="AA20" s="280">
        <v>-20212.212886789999</v>
      </c>
      <c r="AB20" s="280">
        <f>IF(Z20=0, "    ---- ", IF(ABS(ROUND(100/Z20*AA20-100,1))&lt;999,ROUND(100/Z20*AA20-100,1),IF(ROUND(100/Z20*AA20-100,1)&gt;999,999,-999)))</f>
        <v>41.6</v>
      </c>
      <c r="AC20" s="468">
        <v>-4</v>
      </c>
      <c r="AD20" s="280">
        <v>-5</v>
      </c>
      <c r="AE20" s="280">
        <f>IF(AC20=0, "    ---- ", IF(ABS(ROUND(100/AC20*AD20-100,1))&lt;999,ROUND(100/AC20*AD20-100,1),IF(ROUND(100/AC20*AD20-100,1)&gt;999,999,-999)))</f>
        <v>25</v>
      </c>
      <c r="AF20" s="280">
        <f t="shared" si="10"/>
        <v>-58697.993775590003</v>
      </c>
      <c r="AG20" s="280">
        <f t="shared" si="10"/>
        <v>-79020.971263449988</v>
      </c>
      <c r="AH20" s="280">
        <f>IF(AF20=0, "    ---- ", IF(ABS(ROUND(100/AF20*AG20-100,1))&lt;999,ROUND(100/AF20*AG20-100,1),IF(ROUND(100/AF20*AG20-100,1)&gt;999,999,-999)))</f>
        <v>34.6</v>
      </c>
      <c r="AI20" s="360">
        <f t="shared" si="12"/>
        <v>-58701.993775590003</v>
      </c>
      <c r="AJ20" s="360">
        <f t="shared" si="12"/>
        <v>-79025.971263449988</v>
      </c>
      <c r="AK20" s="280">
        <f>IF(AI20=0, "    ---- ", IF(ABS(ROUND(100/AI20*AJ20-100,1))&lt;999,ROUND(100/AI20*AJ20-100,1),IF(ROUND(100/AI20*AJ20-100,1)&gt;999,999,-999)))</f>
        <v>34.6</v>
      </c>
    </row>
    <row r="21" spans="1:37" s="372" customFormat="1" ht="18.75" customHeight="1" x14ac:dyDescent="0.35">
      <c r="A21" s="460" t="s">
        <v>263</v>
      </c>
      <c r="B21" s="467">
        <f>SUM(B19:B20)</f>
        <v>-33407.199999999997</v>
      </c>
      <c r="C21" s="357">
        <f>SUM(C19:C20)</f>
        <v>-38474.42747088</v>
      </c>
      <c r="D21" s="280">
        <f>IF(B21=0, "    ---- ", IF(ABS(ROUND(100/B21*C21-100,1))&lt;999,ROUND(100/B21*C21-100,1),IF(ROUND(100/B21*C21-100,1)&gt;999,999,-999)))</f>
        <v>15.2</v>
      </c>
      <c r="E21" s="467">
        <f>SUM(E19:E20)</f>
        <v>-1749.1258225799997</v>
      </c>
      <c r="F21" s="357">
        <f>SUM(F19:F20)</f>
        <v>-1867.4197207100001</v>
      </c>
      <c r="G21" s="280">
        <f>IF(E21=0, "    ---- ", IF(ABS(ROUND(100/E21*F21-100,1))&lt;999,ROUND(100/E21*F21-100,1),IF(ROUND(100/E21*F21-100,1)&gt;999,999,-999)))</f>
        <v>6.8</v>
      </c>
      <c r="H21" s="467">
        <f>SUM(H19:H20)</f>
        <v>-293.517</v>
      </c>
      <c r="I21" s="357">
        <f>SUM(I19:I20)</f>
        <v>-339.32600000000002</v>
      </c>
      <c r="J21" s="280">
        <f>IF(H21=0, "    ---- ", IF(ABS(ROUND(100/H21*I21-100,1))&lt;999,ROUND(100/H21*I21-100,1),IF(ROUND(100/H21*I21-100,1)&gt;999,999,-999)))</f>
        <v>15.6</v>
      </c>
      <c r="K21" s="467">
        <f>SUM(K19:K20)</f>
        <v>-9264</v>
      </c>
      <c r="L21" s="357">
        <f>SUM(L19:L20)</f>
        <v>-13696</v>
      </c>
      <c r="M21" s="280">
        <f>IF(K21=0, "    ---- ", IF(ABS(ROUND(100/K21*L21-100,1))&lt;999,ROUND(100/K21*L21-100,1),IF(ROUND(100/K21*L21-100,1)&gt;999,999,-999)))</f>
        <v>47.8</v>
      </c>
      <c r="N21" s="467">
        <v>-30200.032759939997</v>
      </c>
      <c r="O21" s="357">
        <v>-32842.735971479997</v>
      </c>
      <c r="P21" s="280">
        <f>IF(N21=0, "    ---- ", IF(ABS(ROUND(100/N21*O21-100,1))&lt;999,ROUND(100/N21*O21-100,1),IF(ROUND(100/N21*O21-100,1)&gt;999,999,-999)))</f>
        <v>8.8000000000000007</v>
      </c>
      <c r="Q21" s="467">
        <f>SUM(Q19:Q20)</f>
        <v>-20207.057000000001</v>
      </c>
      <c r="R21" s="357">
        <f>SUM(R19:R20)</f>
        <v>-28038.2556</v>
      </c>
      <c r="S21" s="280">
        <f>IF(Q21=0, "    ---- ", IF(ABS(ROUND(100/Q21*R21-100,1))&lt;999,ROUND(100/Q21*R21-100,1),IF(ROUND(100/Q21*R21-100,1)&gt;999,999,-999)))</f>
        <v>38.799999999999997</v>
      </c>
      <c r="T21" s="467">
        <f>SUM(T19:T20)</f>
        <v>-3904</v>
      </c>
      <c r="U21" s="357">
        <f>SUM(U19:U20)</f>
        <v>-3945</v>
      </c>
      <c r="V21" s="280">
        <f>IF(T21=0, "    ---- ", IF(ABS(ROUND(100/T21*U21-100,1))&lt;999,ROUND(100/T21*U21-100,1),IF(ROUND(100/T21*U21-100,1)&gt;999,999,-999)))</f>
        <v>1.1000000000000001</v>
      </c>
      <c r="W21" s="467">
        <f>SUM(W19:W20)</f>
        <v>-7897.1144663899995</v>
      </c>
      <c r="X21" s="357">
        <f>SUM(X19:X20)</f>
        <v>-10469.265960520001</v>
      </c>
      <c r="Y21" s="280">
        <f>IF(W21=0, "    ---- ", IF(ABS(ROUND(100/W21*X21-100,1))&lt;999,ROUND(100/W21*X21-100,1),IF(ROUND(100/W21*X21-100,1)&gt;999,999,-999)))</f>
        <v>32.6</v>
      </c>
      <c r="Z21" s="467">
        <f>SUM(Z19:Z20)</f>
        <v>-30123.52086293</v>
      </c>
      <c r="AA21" s="357">
        <f>SUM(AA19:AA20)</f>
        <v>-37015.322153190005</v>
      </c>
      <c r="AB21" s="280">
        <f>IF(Z21=0, "    ---- ", IF(ABS(ROUND(100/Z21*AA21-100,1))&lt;999,ROUND(100/Z21*AA21-100,1),IF(ROUND(100/Z21*AA21-100,1)&gt;999,999,-999)))</f>
        <v>22.9</v>
      </c>
      <c r="AC21" s="467">
        <f>SUM(AC19:AC20)</f>
        <v>-15</v>
      </c>
      <c r="AD21" s="357">
        <f>SUM(AD19:AD20)</f>
        <v>-25</v>
      </c>
      <c r="AE21" s="280">
        <f>IF(AC21=0, "    ---- ", IF(ABS(ROUND(100/AC21*AD21-100,1))&lt;999,ROUND(100/AC21*AD21-100,1),IF(ROUND(100/AC21*AD21-100,1)&gt;999,999,-999)))</f>
        <v>66.7</v>
      </c>
      <c r="AF21" s="280">
        <f t="shared" si="10"/>
        <v>-137045.56791183999</v>
      </c>
      <c r="AG21" s="280">
        <f t="shared" si="10"/>
        <v>-166687.75287678</v>
      </c>
      <c r="AH21" s="280">
        <f t="shared" si="11"/>
        <v>21.6</v>
      </c>
      <c r="AI21" s="360">
        <f t="shared" si="12"/>
        <v>-137060.56791183999</v>
      </c>
      <c r="AJ21" s="360">
        <f t="shared" si="12"/>
        <v>-166712.75287678</v>
      </c>
      <c r="AK21" s="280">
        <f>IF(AI21=0, "    ---- ", IF(ABS(ROUND(100/AI21*AJ21-100,1))&lt;999,ROUND(100/AI21*AJ21-100,1),IF(ROUND(100/AI21*AJ21-100,1)&gt;999,999,-999)))</f>
        <v>21.6</v>
      </c>
    </row>
    <row r="22" spans="1:37" s="372" customFormat="1" ht="18.75" customHeight="1" x14ac:dyDescent="0.35">
      <c r="A22" s="460" t="s">
        <v>264</v>
      </c>
      <c r="B22" s="660"/>
      <c r="C22" s="360"/>
      <c r="D22" s="280"/>
      <c r="E22" s="660"/>
      <c r="F22" s="392"/>
      <c r="G22" s="280"/>
      <c r="H22" s="660"/>
      <c r="I22" s="392"/>
      <c r="J22" s="280"/>
      <c r="K22" s="147"/>
      <c r="L22" s="360"/>
      <c r="M22" s="280"/>
      <c r="N22" s="147"/>
      <c r="O22" s="360"/>
      <c r="P22" s="280"/>
      <c r="Q22" s="660"/>
      <c r="R22" s="392"/>
      <c r="S22" s="280"/>
      <c r="T22" s="660"/>
      <c r="U22" s="392"/>
      <c r="V22" s="280"/>
      <c r="W22" s="660"/>
      <c r="X22" s="392"/>
      <c r="Y22" s="280"/>
      <c r="Z22" s="147"/>
      <c r="AA22" s="360"/>
      <c r="AB22" s="280"/>
      <c r="AC22" s="147"/>
      <c r="AD22" s="360"/>
      <c r="AE22" s="280"/>
      <c r="AF22" s="280">
        <f t="shared" si="10"/>
        <v>0</v>
      </c>
      <c r="AG22" s="280">
        <f t="shared" si="10"/>
        <v>0</v>
      </c>
      <c r="AH22" s="280"/>
      <c r="AI22" s="280"/>
      <c r="AJ22" s="280"/>
      <c r="AK22" s="280"/>
    </row>
    <row r="23" spans="1:37" s="372" customFormat="1" ht="18.75" customHeight="1" x14ac:dyDescent="0.35">
      <c r="A23" s="460" t="s">
        <v>265</v>
      </c>
      <c r="B23" s="468">
        <v>5228.1989999999996</v>
      </c>
      <c r="C23" s="280">
        <v>4227.81981258</v>
      </c>
      <c r="D23" s="280">
        <f t="shared" ref="D23:D30" si="14">IF(B23=0, "    ---- ", IF(ABS(ROUND(100/B23*C23-100,1))&lt;999,ROUND(100/B23*C23-100,1),IF(ROUND(100/B23*C23-100,1)&gt;999,999,-999)))</f>
        <v>-19.100000000000001</v>
      </c>
      <c r="E23" s="468">
        <v>-833.35284194000042</v>
      </c>
      <c r="F23" s="280">
        <v>-856.39056474999995</v>
      </c>
      <c r="G23" s="280">
        <f>IF(E23=0, "    ---- ", IF(ABS(ROUND(100/E23*F23-100,1))&lt;999,ROUND(100/E23*F23-100,1),IF(ROUND(100/E23*F23-100,1)&gt;999,999,-999)))</f>
        <v>2.8</v>
      </c>
      <c r="H23" s="468">
        <v>-152.89099999999999</v>
      </c>
      <c r="I23" s="280">
        <v>-228.01400000000001</v>
      </c>
      <c r="J23" s="280">
        <f>IF(H23=0, "    ---- ", IF(ABS(ROUND(100/H23*I23-100,1))&lt;999,ROUND(100/H23*I23-100,1),IF(ROUND(100/H23*I23-100,1)&gt;999,999,-999)))</f>
        <v>49.1</v>
      </c>
      <c r="K23" s="468">
        <v>-680</v>
      </c>
      <c r="L23" s="280">
        <v>-666</v>
      </c>
      <c r="M23" s="280">
        <f t="shared" ref="M23:M32" si="15">IF(K23=0, "    ---- ", IF(ABS(ROUND(100/K23*L23-100,1))&lt;999,ROUND(100/K23*L23-100,1),IF(ROUND(100/K23*L23-100,1)&gt;999,999,-999)))</f>
        <v>-2.1</v>
      </c>
      <c r="N23" s="468">
        <v>-42138.969376730005</v>
      </c>
      <c r="O23" s="280">
        <v>-44782.974833400003</v>
      </c>
      <c r="P23" s="280">
        <f t="shared" ref="P23:P31" si="16">IF(N23=0, "    ---- ", IF(ABS(ROUND(100/N23*O23-100,1))&lt;999,ROUND(100/N23*O23-100,1),IF(ROUND(100/N23*O23-100,1)&gt;999,999,-999)))</f>
        <v>6.3</v>
      </c>
      <c r="Q23" s="468">
        <v>209.9402</v>
      </c>
      <c r="R23" s="280">
        <v>90.853899999999996</v>
      </c>
      <c r="S23" s="280">
        <f t="shared" ref="S23:S30" si="17">IF(Q23=0, "    ---- ", IF(ABS(ROUND(100/Q23*R23-100,1))&lt;999,ROUND(100/Q23*R23-100,1),IF(ROUND(100/Q23*R23-100,1)&gt;999,999,-999)))</f>
        <v>-56.7</v>
      </c>
      <c r="T23" s="468">
        <v>-5559</v>
      </c>
      <c r="U23" s="280">
        <v>-5236</v>
      </c>
      <c r="V23" s="280">
        <f>IF(T23=0, "    ---- ", IF(ABS(ROUND(100/T23*U23-100,1))&lt;999,ROUND(100/T23*U23-100,1),IF(ROUND(100/T23*U23-100,1)&gt;999,999,-999)))</f>
        <v>-5.8</v>
      </c>
      <c r="W23" s="468">
        <v>-195.42065744000007</v>
      </c>
      <c r="X23" s="280">
        <v>-1174.0206041099968</v>
      </c>
      <c r="Y23" s="280">
        <f t="shared" ref="Y23:Y30" si="18">IF(W23=0, "    ---- ", IF(ABS(ROUND(100/W23*X23-100,1))&lt;999,ROUND(100/W23*X23-100,1),IF(ROUND(100/W23*X23-100,1)&gt;999,999,-999)))</f>
        <v>500.8</v>
      </c>
      <c r="Z23" s="468">
        <v>-2618.3514526200001</v>
      </c>
      <c r="AA23" s="280">
        <v>-4631.2463384900047</v>
      </c>
      <c r="AB23" s="280">
        <f t="shared" ref="AB23:AB30" si="19">IF(Z23=0, "    ---- ", IF(ABS(ROUND(100/Z23*AA23-100,1))&lt;999,ROUND(100/Z23*AA23-100,1),IF(ROUND(100/Z23*AA23-100,1)&gt;999,999,-999)))</f>
        <v>76.900000000000006</v>
      </c>
      <c r="AC23" s="468">
        <v>-48</v>
      </c>
      <c r="AD23" s="280">
        <v>-64</v>
      </c>
      <c r="AE23" s="280">
        <f t="shared" ref="AE23:AE30" si="20">IF(AC23=0, "    ---- ", IF(ABS(ROUND(100/AC23*AD23-100,1))&lt;999,ROUND(100/AC23*AD23-100,1),IF(ROUND(100/AC23*AD23-100,1)&gt;999,999,-999)))</f>
        <v>33.299999999999997</v>
      </c>
      <c r="AF23" s="280">
        <f t="shared" si="10"/>
        <v>-46739.846128730009</v>
      </c>
      <c r="AG23" s="280">
        <f t="shared" si="10"/>
        <v>-53255.972628169999</v>
      </c>
      <c r="AH23" s="280">
        <f t="shared" si="11"/>
        <v>13.9</v>
      </c>
      <c r="AI23" s="280"/>
      <c r="AJ23" s="280"/>
      <c r="AK23" s="280"/>
    </row>
    <row r="24" spans="1:37" s="372" customFormat="1" ht="18.75" customHeight="1" x14ac:dyDescent="0.35">
      <c r="A24" s="460" t="s">
        <v>266</v>
      </c>
      <c r="B24" s="468">
        <v>-1769.02</v>
      </c>
      <c r="C24" s="280">
        <v>-1670.6324690199999</v>
      </c>
      <c r="D24" s="280">
        <f>IF(B24=0, "    ---- ", IF(ABS(ROUND(100/B24*C24-100,1))&lt;999,ROUND(100/B24*C24-100,1),IF(ROUND(100/B24*C24-100,1)&gt;999,999,-999)))</f>
        <v>-5.6</v>
      </c>
      <c r="E24" s="468">
        <v>103.83675471000001</v>
      </c>
      <c r="F24" s="280">
        <v>-7.7011383600000007</v>
      </c>
      <c r="G24" s="280">
        <f>IF(E24=0, "    ---- ", IF(ABS(ROUND(100/E24*F24-100,1))&lt;999,ROUND(100/E24*F24-100,1),IF(ROUND(100/E24*F24-100,1)&gt;999,999,-999)))</f>
        <v>-107.4</v>
      </c>
      <c r="H24" s="468"/>
      <c r="I24" s="280"/>
      <c r="J24" s="280"/>
      <c r="K24" s="468">
        <v>-67</v>
      </c>
      <c r="L24" s="280">
        <v>-83</v>
      </c>
      <c r="M24" s="280">
        <f>IF(K24=0, "    ---- ", IF(ABS(ROUND(100/K24*L24-100,1))&lt;999,ROUND(100/K24*L24-100,1),IF(ROUND(100/K24*L24-100,1)&gt;999,999,-999)))</f>
        <v>23.9</v>
      </c>
      <c r="N24" s="468"/>
      <c r="O24" s="280"/>
      <c r="P24" s="280"/>
      <c r="Q24" s="468">
        <v>-274</v>
      </c>
      <c r="R24" s="280">
        <v>-428</v>
      </c>
      <c r="S24" s="280">
        <f>IF(Q24=0, "    ---- ", IF(ABS(ROUND(100/Q24*R24-100,1))&lt;999,ROUND(100/Q24*R24-100,1),IF(ROUND(100/Q24*R24-100,1)&gt;999,999,-999)))</f>
        <v>56.2</v>
      </c>
      <c r="T24" s="468">
        <v>-2503</v>
      </c>
      <c r="U24" s="280">
        <v>-3751</v>
      </c>
      <c r="V24" s="280">
        <f>IF(T24=0, "    ---- ", IF(ABS(ROUND(100/T24*U24-100,1))&lt;999,ROUND(100/T24*U24-100,1),IF(ROUND(100/T24*U24-100,1)&gt;999,999,-999)))</f>
        <v>49.9</v>
      </c>
      <c r="W24" s="468">
        <v>-342.5260587599995</v>
      </c>
      <c r="X24" s="280">
        <v>-355.97094311999922</v>
      </c>
      <c r="Y24" s="280">
        <f>IF(W24=0, "    ---- ", IF(ABS(ROUND(100/W24*X24-100,1))&lt;999,ROUND(100/W24*X24-100,1),IF(ROUND(100/W24*X24-100,1)&gt;999,999,-999)))</f>
        <v>3.9</v>
      </c>
      <c r="Z24" s="468">
        <v>-3154.1382639399999</v>
      </c>
      <c r="AA24" s="280">
        <v>-2758.358624</v>
      </c>
      <c r="AB24" s="280">
        <f>IF(Z24=0, "    ---- ", IF(ABS(ROUND(100/Z24*AA24-100,1))&lt;999,ROUND(100/Z24*AA24-100,1),IF(ROUND(100/Z24*AA24-100,1)&gt;999,999,-999)))</f>
        <v>-12.5</v>
      </c>
      <c r="AC24" s="468">
        <v>-1</v>
      </c>
      <c r="AD24" s="280">
        <v>-1</v>
      </c>
      <c r="AE24" s="280">
        <f>IF(AC24=0, "    ---- ", IF(ABS(ROUND(100/AC24*AD24-100,1))&lt;999,ROUND(100/AC24*AD24-100,1),IF(ROUND(100/AC24*AD24-100,1)&gt;999,999,-999)))</f>
        <v>0</v>
      </c>
      <c r="AF24" s="280">
        <f t="shared" si="10"/>
        <v>-8005.8475679899993</v>
      </c>
      <c r="AG24" s="280">
        <f t="shared" si="10"/>
        <v>-9054.6631744999995</v>
      </c>
      <c r="AH24" s="280">
        <f>IF(AF24=0, "    ---- ", IF(ABS(ROUND(100/AF24*AG24-100,1))&lt;999,ROUND(100/AF24*AG24-100,1),IF(ROUND(100/AF24*AG24-100,1)&gt;999,999,-999)))</f>
        <v>13.1</v>
      </c>
      <c r="AI24" s="280"/>
      <c r="AJ24" s="280"/>
      <c r="AK24" s="280"/>
    </row>
    <row r="25" spans="1:37" s="372" customFormat="1" ht="18.75" customHeight="1" x14ac:dyDescent="0.35">
      <c r="A25" s="739" t="s">
        <v>495</v>
      </c>
      <c r="B25" s="76"/>
      <c r="C25" s="400"/>
      <c r="D25" s="280"/>
      <c r="E25" s="76"/>
      <c r="F25" s="400"/>
      <c r="G25" s="280"/>
      <c r="H25" s="76">
        <v>0</v>
      </c>
      <c r="I25" s="400"/>
      <c r="J25" s="280"/>
      <c r="K25" s="76"/>
      <c r="L25" s="400"/>
      <c r="M25" s="280"/>
      <c r="N25" s="76"/>
      <c r="O25" s="400"/>
      <c r="P25" s="280"/>
      <c r="Q25" s="76"/>
      <c r="R25" s="400"/>
      <c r="S25" s="280"/>
      <c r="T25" s="76"/>
      <c r="U25" s="400"/>
      <c r="V25" s="280"/>
      <c r="W25" s="76"/>
      <c r="X25" s="400"/>
      <c r="Y25" s="280"/>
      <c r="Z25" s="76"/>
      <c r="AA25" s="400"/>
      <c r="AB25" s="280"/>
      <c r="AC25" s="76">
        <v>-1</v>
      </c>
      <c r="AD25" s="400"/>
      <c r="AE25" s="280">
        <f>IF(AC25=0, "    ---- ", IF(ABS(ROUND(100/AC25*AD25-100,1))&lt;999,ROUND(100/AC25*AD25-100,1),IF(ROUND(100/AC25*AD25-100,1)&gt;999,999,-999)))</f>
        <v>-100</v>
      </c>
      <c r="AF25" s="280">
        <f t="shared" si="10"/>
        <v>0</v>
      </c>
      <c r="AG25" s="76"/>
      <c r="AH25" s="280"/>
      <c r="AI25" s="280"/>
      <c r="AJ25" s="280"/>
      <c r="AK25" s="280"/>
    </row>
    <row r="26" spans="1:37" s="372" customFormat="1" ht="18.75" customHeight="1" x14ac:dyDescent="0.35">
      <c r="A26" s="460" t="s">
        <v>267</v>
      </c>
      <c r="B26" s="147">
        <v>-8.7360000000000007</v>
      </c>
      <c r="C26" s="280">
        <v>-12.03124899</v>
      </c>
      <c r="D26" s="280">
        <f>IF(B26=0, "    ---- ", IF(ABS(ROUND(100/B26*C26-100,1))&lt;999,ROUND(100/B26*C26-100,1),IF(ROUND(100/B26*C26-100,1)&gt;999,999,-999)))</f>
        <v>37.700000000000003</v>
      </c>
      <c r="E26" s="147"/>
      <c r="F26" s="280"/>
      <c r="G26" s="280"/>
      <c r="H26" s="468">
        <v>-10.265000000000001</v>
      </c>
      <c r="I26" s="280">
        <v>-11.928000000000001</v>
      </c>
      <c r="J26" s="280">
        <f>IF(H26=0, "    ---- ", IF(ABS(ROUND(100/H26*I26-100,1))&lt;999,ROUND(100/H26*I26-100,1),IF(ROUND(100/H26*I26-100,1)&gt;999,999,-999)))</f>
        <v>16.2</v>
      </c>
      <c r="K26" s="468">
        <v>-14</v>
      </c>
      <c r="L26" s="280">
        <v>-64</v>
      </c>
      <c r="M26" s="280">
        <f>IF(K26=0, "    ---- ", IF(ABS(ROUND(100/K26*L26-100,1))&lt;999,ROUND(100/K26*L26-100,1),IF(ROUND(100/K26*L26-100,1)&gt;999,999,-999)))</f>
        <v>357.1</v>
      </c>
      <c r="N26" s="468">
        <v>-711.31582700000001</v>
      </c>
      <c r="O26" s="280">
        <v>-1043.185622</v>
      </c>
      <c r="P26" s="280">
        <f>IF(N26=0, "    ---- ", IF(ABS(ROUND(100/N26*O26-100,1))&lt;999,ROUND(100/N26*O26-100,1),IF(ROUND(100/N26*O26-100,1)&gt;999,999,-999)))</f>
        <v>46.7</v>
      </c>
      <c r="Q26" s="468">
        <v>-12</v>
      </c>
      <c r="R26" s="280">
        <v>-13</v>
      </c>
      <c r="S26" s="280">
        <f>IF(Q26=0, "    ---- ", IF(ABS(ROUND(100/Q26*R26-100,1))&lt;999,ROUND(100/Q26*R26-100,1),IF(ROUND(100/Q26*R26-100,1)&gt;999,999,-999)))</f>
        <v>8.3000000000000007</v>
      </c>
      <c r="T26" s="468">
        <v>-76</v>
      </c>
      <c r="U26" s="280">
        <v>-101</v>
      </c>
      <c r="V26" s="280">
        <f>IF(T26=0, "    ---- ", IF(ABS(ROUND(100/T26*U26-100,1))&lt;999,ROUND(100/T26*U26-100,1),IF(ROUND(100/T26*U26-100,1)&gt;999,999,-999)))</f>
        <v>32.9</v>
      </c>
      <c r="W26" s="468"/>
      <c r="X26" s="280"/>
      <c r="Y26" s="280"/>
      <c r="Z26" s="468">
        <v>-6.4438829999999996</v>
      </c>
      <c r="AA26" s="280">
        <v>-14.359078999999999</v>
      </c>
      <c r="AB26" s="280">
        <f>IF(Z26=0, "    ---- ", IF(ABS(ROUND(100/Z26*AA26-100,1))&lt;999,ROUND(100/Z26*AA26-100,1),IF(ROUND(100/Z26*AA26-100,1)&gt;999,999,-999)))</f>
        <v>122.8</v>
      </c>
      <c r="AC26" s="468"/>
      <c r="AD26" s="280"/>
      <c r="AE26" s="280"/>
      <c r="AF26" s="280">
        <f t="shared" si="10"/>
        <v>-838.76071000000002</v>
      </c>
      <c r="AG26" s="280">
        <f>C26+F26+I26+L26+O26+R26+U26+X26+AA26</f>
        <v>-1259.5039499900001</v>
      </c>
      <c r="AH26" s="280">
        <f>IF(AF26=0, "    ---- ", IF(ABS(ROUND(100/AF26*AG26-100,1))&lt;999,ROUND(100/AF26*AG26-100,1),IF(ROUND(100/AF26*AG26-100,1)&gt;999,999,-999)))</f>
        <v>50.2</v>
      </c>
      <c r="AI26" s="280"/>
      <c r="AJ26" s="280"/>
      <c r="AK26" s="280"/>
    </row>
    <row r="27" spans="1:37" s="372" customFormat="1" ht="18.75" customHeight="1" x14ac:dyDescent="0.35">
      <c r="A27" s="739" t="s">
        <v>268</v>
      </c>
      <c r="B27" s="76"/>
      <c r="C27" s="400"/>
      <c r="D27" s="280"/>
      <c r="E27" s="76"/>
      <c r="F27" s="400"/>
      <c r="G27" s="280"/>
      <c r="H27" s="76"/>
      <c r="I27" s="400"/>
      <c r="J27" s="280"/>
      <c r="K27" s="76"/>
      <c r="L27" s="400"/>
      <c r="M27" s="280"/>
      <c r="N27" s="76"/>
      <c r="O27" s="400"/>
      <c r="P27" s="280"/>
      <c r="Q27" s="76"/>
      <c r="R27" s="400"/>
      <c r="S27" s="280"/>
      <c r="T27" s="76"/>
      <c r="U27" s="400"/>
      <c r="V27" s="280"/>
      <c r="W27" s="76"/>
      <c r="X27" s="400"/>
      <c r="Y27" s="280"/>
      <c r="Z27" s="76">
        <v>37.070090159999999</v>
      </c>
      <c r="AA27" s="400">
        <v>-66.546062900000038</v>
      </c>
      <c r="AB27" s="280">
        <f t="shared" si="19"/>
        <v>-279.5</v>
      </c>
      <c r="AC27" s="76"/>
      <c r="AD27" s="400"/>
      <c r="AE27" s="280"/>
      <c r="AF27" s="280">
        <f t="shared" ref="AF27:AG35" si="21">B27+E27+H27+K27+N27+Q27+T27+W27+Z27</f>
        <v>37.070090159999999</v>
      </c>
      <c r="AG27" s="76"/>
      <c r="AH27" s="280"/>
      <c r="AI27" s="280"/>
      <c r="AJ27" s="280"/>
      <c r="AK27" s="280"/>
    </row>
    <row r="28" spans="1:37" s="372" customFormat="1" ht="18.75" customHeight="1" x14ac:dyDescent="0.35">
      <c r="A28" s="460" t="s">
        <v>269</v>
      </c>
      <c r="B28" s="468">
        <v>-365.60599999999999</v>
      </c>
      <c r="C28" s="280">
        <v>146.35161678</v>
      </c>
      <c r="D28" s="280">
        <f t="shared" si="14"/>
        <v>-140</v>
      </c>
      <c r="E28" s="468"/>
      <c r="F28" s="280"/>
      <c r="G28" s="280"/>
      <c r="H28" s="468"/>
      <c r="I28" s="280"/>
      <c r="J28" s="280"/>
      <c r="K28" s="468"/>
      <c r="L28" s="280"/>
      <c r="M28" s="280"/>
      <c r="N28" s="468">
        <v>-13556.494215999999</v>
      </c>
      <c r="O28" s="280">
        <v>693.34764229999996</v>
      </c>
      <c r="P28" s="280">
        <f>IF(N28=0, "    ---- ", IF(ABS(ROUND(100/N28*O28-100,1))&lt;999,ROUND(100/N28*O28-100,1),IF(ROUND(100/N28*O28-100,1)&gt;999,999,-999)))</f>
        <v>-105.1</v>
      </c>
      <c r="Q28" s="468"/>
      <c r="R28" s="280"/>
      <c r="S28" s="280"/>
      <c r="T28" s="468"/>
      <c r="U28" s="280"/>
      <c r="V28" s="280"/>
      <c r="W28" s="468"/>
      <c r="X28" s="280"/>
      <c r="Y28" s="280"/>
      <c r="Z28" s="468">
        <v>-113.94384044</v>
      </c>
      <c r="AA28" s="280">
        <v>-109.6087126</v>
      </c>
      <c r="AB28" s="280">
        <f t="shared" si="19"/>
        <v>-3.8</v>
      </c>
      <c r="AC28" s="468"/>
      <c r="AD28" s="280"/>
      <c r="AE28" s="280"/>
      <c r="AF28" s="280">
        <f t="shared" si="21"/>
        <v>-14036.04405644</v>
      </c>
      <c r="AG28" s="280">
        <f t="shared" si="21"/>
        <v>730.09054647999994</v>
      </c>
      <c r="AH28" s="280">
        <f t="shared" si="11"/>
        <v>-105.2</v>
      </c>
      <c r="AI28" s="280"/>
      <c r="AJ28" s="280"/>
      <c r="AK28" s="280"/>
    </row>
    <row r="29" spans="1:37" s="372" customFormat="1" ht="18" x14ac:dyDescent="0.35">
      <c r="A29" s="738" t="s">
        <v>270</v>
      </c>
      <c r="B29" s="468">
        <v>54.743000000000002</v>
      </c>
      <c r="C29" s="280">
        <v>37.004297450000003</v>
      </c>
      <c r="D29" s="280">
        <f t="shared" si="14"/>
        <v>-32.4</v>
      </c>
      <c r="E29" s="468"/>
      <c r="F29" s="280"/>
      <c r="G29" s="280"/>
      <c r="H29" s="468"/>
      <c r="I29" s="280"/>
      <c r="J29" s="280"/>
      <c r="K29" s="468"/>
      <c r="L29" s="280"/>
      <c r="M29" s="280"/>
      <c r="N29" s="468"/>
      <c r="O29" s="280"/>
      <c r="P29" s="280"/>
      <c r="Q29" s="468">
        <v>2</v>
      </c>
      <c r="R29" s="280">
        <v>5</v>
      </c>
      <c r="S29" s="280">
        <f t="shared" si="17"/>
        <v>150</v>
      </c>
      <c r="T29" s="468"/>
      <c r="U29" s="280"/>
      <c r="V29" s="280"/>
      <c r="W29" s="468"/>
      <c r="X29" s="280">
        <v>3.95201453</v>
      </c>
      <c r="Y29" s="280" t="str">
        <f t="shared" si="18"/>
        <v xml:space="preserve">    ---- </v>
      </c>
      <c r="Z29" s="468">
        <v>306.4409</v>
      </c>
      <c r="AA29" s="280">
        <v>576.03342699999996</v>
      </c>
      <c r="AB29" s="280">
        <f t="shared" si="19"/>
        <v>88</v>
      </c>
      <c r="AC29" s="468">
        <v>1</v>
      </c>
      <c r="AD29" s="280"/>
      <c r="AE29" s="280">
        <f t="shared" si="20"/>
        <v>-100</v>
      </c>
      <c r="AF29" s="280">
        <f t="shared" si="21"/>
        <v>363.18389999999999</v>
      </c>
      <c r="AG29" s="280">
        <f t="shared" si="21"/>
        <v>621.98973897999997</v>
      </c>
      <c r="AH29" s="280">
        <f t="shared" si="11"/>
        <v>71.3</v>
      </c>
      <c r="AI29" s="280"/>
      <c r="AJ29" s="280"/>
      <c r="AK29" s="280"/>
    </row>
    <row r="30" spans="1:37" s="372" customFormat="1" ht="18.75" customHeight="1" x14ac:dyDescent="0.35">
      <c r="A30" s="460" t="s">
        <v>271</v>
      </c>
      <c r="B30" s="468">
        <f>SUM(B23:B29)</f>
        <v>3139.5799999999995</v>
      </c>
      <c r="C30" s="280">
        <f>SUM(C23:C29)</f>
        <v>2728.5120087999999</v>
      </c>
      <c r="D30" s="280">
        <f t="shared" si="14"/>
        <v>-13.1</v>
      </c>
      <c r="E30" s="468">
        <f>SUM(E23:E29)</f>
        <v>-729.51608723000038</v>
      </c>
      <c r="F30" s="280">
        <f>SUM(F23:F29)</f>
        <v>-864.09170310999991</v>
      </c>
      <c r="G30" s="280">
        <f>IF(E30=0, "    ---- ", IF(ABS(ROUND(100/E30*F30-100,1))&lt;999,ROUND(100/E30*F30-100,1),IF(ROUND(100/E30*F30-100,1)&gt;999,999,-999)))</f>
        <v>18.399999999999999</v>
      </c>
      <c r="H30" s="468">
        <f>SUM(H23:H29)</f>
        <v>-163.15600000000001</v>
      </c>
      <c r="I30" s="280">
        <f>SUM(I23:I29)</f>
        <v>-239.94200000000001</v>
      </c>
      <c r="J30" s="280">
        <f>IF(H30=0, "    ---- ", IF(ABS(ROUND(100/H30*I30-100,1))&lt;999,ROUND(100/H30*I30-100,1),IF(ROUND(100/H30*I30-100,1)&gt;999,999,-999)))</f>
        <v>47.1</v>
      </c>
      <c r="K30" s="468">
        <f>SUM(K23:K29)</f>
        <v>-761</v>
      </c>
      <c r="L30" s="280">
        <f>SUM(L23:L29)</f>
        <v>-813</v>
      </c>
      <c r="M30" s="280">
        <f t="shared" si="15"/>
        <v>6.8</v>
      </c>
      <c r="N30" s="468">
        <v>-56406.779419730003</v>
      </c>
      <c r="O30" s="280">
        <v>-45132.812813099998</v>
      </c>
      <c r="P30" s="280">
        <f t="shared" si="16"/>
        <v>-20</v>
      </c>
      <c r="Q30" s="468">
        <f>SUM(Q23:Q29)</f>
        <v>-74.059799999999996</v>
      </c>
      <c r="R30" s="280">
        <f>SUM(R23:R29)</f>
        <v>-345.14609999999999</v>
      </c>
      <c r="S30" s="280">
        <f t="shared" si="17"/>
        <v>366</v>
      </c>
      <c r="T30" s="468">
        <f>SUM(T23:T29)</f>
        <v>-8138</v>
      </c>
      <c r="U30" s="280">
        <f>SUM(U23:U29)</f>
        <v>-9088</v>
      </c>
      <c r="V30" s="280">
        <f>IF(T30=0, "    ---- ", IF(ABS(ROUND(100/T30*U30-100,1))&lt;999,ROUND(100/T30*U30-100,1),IF(ROUND(100/T30*U30-100,1)&gt;999,999,-999)))</f>
        <v>11.7</v>
      </c>
      <c r="W30" s="468">
        <f>SUM(W23:W29)</f>
        <v>-537.94671619999963</v>
      </c>
      <c r="X30" s="280">
        <f>SUM(X23:X29)</f>
        <v>-1526.039532699996</v>
      </c>
      <c r="Y30" s="280">
        <f t="shared" si="18"/>
        <v>183.7</v>
      </c>
      <c r="Z30" s="468">
        <f>SUM(Z23:Z29)</f>
        <v>-5549.3664498399994</v>
      </c>
      <c r="AA30" s="280">
        <f>SUM(AA23:AA29)</f>
        <v>-7004.0853899900039</v>
      </c>
      <c r="AB30" s="280">
        <f t="shared" si="19"/>
        <v>26.2</v>
      </c>
      <c r="AC30" s="468">
        <f>SUM(AC23:AC29)</f>
        <v>-49</v>
      </c>
      <c r="AD30" s="280">
        <f>SUM(AD23:AD29)</f>
        <v>-65</v>
      </c>
      <c r="AE30" s="280">
        <f t="shared" si="20"/>
        <v>32.700000000000003</v>
      </c>
      <c r="AF30" s="280">
        <f t="shared" si="21"/>
        <v>-69220.244472999999</v>
      </c>
      <c r="AG30" s="280">
        <f t="shared" si="21"/>
        <v>-62284.605530099994</v>
      </c>
      <c r="AH30" s="280">
        <f t="shared" si="11"/>
        <v>-10</v>
      </c>
      <c r="AI30" s="280"/>
      <c r="AJ30" s="280"/>
      <c r="AK30" s="280"/>
    </row>
    <row r="31" spans="1:37" s="372" customFormat="1" ht="18.75" customHeight="1" x14ac:dyDescent="0.35">
      <c r="A31" s="460" t="s">
        <v>272</v>
      </c>
      <c r="B31" s="468">
        <v>-35650.447999999997</v>
      </c>
      <c r="C31" s="280">
        <v>-44070.217654040003</v>
      </c>
      <c r="D31" s="280">
        <f>IF(B31=0, "    ---- ", IF(ABS(ROUND(100/B31*C31-100,1))&lt;999,ROUND(100/B31*C31-100,1),IF(ROUND(100/B31*C31-100,1)&gt;999,999,-999)))</f>
        <v>23.6</v>
      </c>
      <c r="E31" s="468"/>
      <c r="F31" s="280"/>
      <c r="G31" s="280"/>
      <c r="H31" s="468"/>
      <c r="I31" s="280"/>
      <c r="J31" s="280"/>
      <c r="K31" s="468">
        <v>-17037</v>
      </c>
      <c r="L31" s="280">
        <v>-14692</v>
      </c>
      <c r="M31" s="280">
        <f t="shared" si="15"/>
        <v>-13.8</v>
      </c>
      <c r="N31" s="468">
        <v>-202.232743</v>
      </c>
      <c r="O31" s="280">
        <v>-117.30353651</v>
      </c>
      <c r="P31" s="280">
        <f t="shared" si="16"/>
        <v>-42</v>
      </c>
      <c r="Q31" s="468">
        <v>-37040.210899999998</v>
      </c>
      <c r="R31" s="280">
        <v>-31598.755499999999</v>
      </c>
      <c r="S31" s="280">
        <f>IF(Q31=0, "    ---- ", IF(ABS(ROUND(100/Q31*R31-100,1))&lt;999,ROUND(100/Q31*R31-100,1),IF(ROUND(100/Q31*R31-100,1)&gt;999,999,-999)))</f>
        <v>-14.7</v>
      </c>
      <c r="T31" s="468"/>
      <c r="U31" s="280"/>
      <c r="V31" s="280"/>
      <c r="W31" s="468">
        <v>-15471.278026989998</v>
      </c>
      <c r="X31" s="280">
        <v>-14141.156568939998</v>
      </c>
      <c r="Y31" s="280">
        <f>IF(W31=0, "    ---- ", IF(ABS(ROUND(100/W31*X31-100,1))&lt;999,ROUND(100/W31*X31-100,1),IF(ROUND(100/W31*X31-100,1)&gt;999,999,-999)))</f>
        <v>-8.6</v>
      </c>
      <c r="Z31" s="468">
        <v>-39000.41613374</v>
      </c>
      <c r="AA31" s="280">
        <v>-34137.023476215094</v>
      </c>
      <c r="AB31" s="280">
        <f>IF(Z31=0, "    ---- ", IF(ABS(ROUND(100/Z31*AA31-100,1))&lt;999,ROUND(100/Z31*AA31-100,1),IF(ROUND(100/Z31*AA31-100,1)&gt;999,999,-999)))</f>
        <v>-12.5</v>
      </c>
      <c r="AC31" s="468"/>
      <c r="AD31" s="280"/>
      <c r="AE31" s="280"/>
      <c r="AF31" s="280">
        <f t="shared" si="21"/>
        <v>-144401.58580373001</v>
      </c>
      <c r="AG31" s="280">
        <f t="shared" si="21"/>
        <v>-138756.45673570508</v>
      </c>
      <c r="AH31" s="280">
        <f t="shared" si="11"/>
        <v>-3.9</v>
      </c>
      <c r="AI31" s="280"/>
      <c r="AJ31" s="280"/>
      <c r="AK31" s="280"/>
    </row>
    <row r="32" spans="1:37" s="372" customFormat="1" ht="18.75" customHeight="1" x14ac:dyDescent="0.35">
      <c r="A32" s="460" t="s">
        <v>273</v>
      </c>
      <c r="B32" s="468">
        <v>-1205.588</v>
      </c>
      <c r="C32" s="280">
        <v>-1878.91069812</v>
      </c>
      <c r="D32" s="280">
        <f>IF(B32=0, "    ---- ", IF(ABS(ROUND(100/B32*C32-100,1))&lt;999,ROUND(100/B32*C32-100,1),IF(ROUND(100/B32*C32-100,1)&gt;999,999,-999)))</f>
        <v>55.9</v>
      </c>
      <c r="E32" s="468">
        <v>0</v>
      </c>
      <c r="F32" s="280"/>
      <c r="G32" s="280"/>
      <c r="H32" s="468"/>
      <c r="I32" s="280"/>
      <c r="J32" s="280"/>
      <c r="K32" s="468">
        <v>-40</v>
      </c>
      <c r="L32" s="280">
        <v>-102</v>
      </c>
      <c r="M32" s="280">
        <f t="shared" si="15"/>
        <v>155</v>
      </c>
      <c r="N32" s="468">
        <v>-37536.831859999998</v>
      </c>
      <c r="O32" s="280">
        <v>-48361.377737099996</v>
      </c>
      <c r="P32" s="280">
        <f>IF(N32=0, "    ---- ", IF(ABS(ROUND(100/N32*O32-100,1))&lt;999,ROUND(100/N32*O32-100,1),IF(ROUND(100/N32*O32-100,1)&gt;999,999,-999)))</f>
        <v>28.8</v>
      </c>
      <c r="Q32" s="468">
        <v>-544.05409999999995</v>
      </c>
      <c r="R32" s="280">
        <v>-1097.2973999999999</v>
      </c>
      <c r="S32" s="280">
        <f>IF(Q32=0, "    ---- ", IF(ABS(ROUND(100/Q32*R32-100,1))&lt;999,ROUND(100/Q32*R32-100,1),IF(ROUND(100/Q32*R32-100,1)&gt;999,999,-999)))</f>
        <v>101.7</v>
      </c>
      <c r="T32" s="468">
        <v>-4111</v>
      </c>
      <c r="U32" s="280">
        <v>-4955</v>
      </c>
      <c r="V32" s="280">
        <f>IF(T32=0, "    ---- ", IF(ABS(ROUND(100/T32*U32-100,1))&lt;999,ROUND(100/T32*U32-100,1),IF(ROUND(100/T32*U32-100,1)&gt;999,999,-999)))</f>
        <v>20.5</v>
      </c>
      <c r="W32" s="468">
        <v>-376.89995477000002</v>
      </c>
      <c r="X32" s="280">
        <v>-613.66832006000038</v>
      </c>
      <c r="Y32" s="280">
        <f>IF(W32=0, "    ---- ", IF(ABS(ROUND(100/W32*X32-100,1))&lt;999,ROUND(100/W32*X32-100,1),IF(ROUND(100/W32*X32-100,1)&gt;999,999,-999)))</f>
        <v>62.8</v>
      </c>
      <c r="Z32" s="468">
        <v>-1750.414282</v>
      </c>
      <c r="AA32" s="280">
        <v>-3426.57665</v>
      </c>
      <c r="AB32" s="280">
        <f>IF(Z32=0, "    ---- ", IF(ABS(ROUND(100/Z32*AA32-100,1))&lt;999,ROUND(100/Z32*AA32-100,1),IF(ROUND(100/Z32*AA32-100,1)&gt;999,999,-999)))</f>
        <v>95.8</v>
      </c>
      <c r="AC32" s="468">
        <v>-1</v>
      </c>
      <c r="AD32" s="280">
        <v>-2</v>
      </c>
      <c r="AE32" s="280">
        <f>IF(AC32=0, "    ---- ", IF(ABS(ROUND(100/AC32*AD32-100,1))&lt;999,ROUND(100/AC32*AD32-100,1),IF(ROUND(100/AC32*AD32-100,1)&gt;999,999,-999)))</f>
        <v>100</v>
      </c>
      <c r="AF32" s="280">
        <f t="shared" si="21"/>
        <v>-45564.788196770001</v>
      </c>
      <c r="AG32" s="280">
        <f t="shared" si="21"/>
        <v>-60434.830805280006</v>
      </c>
      <c r="AH32" s="280">
        <f t="shared" si="11"/>
        <v>32.6</v>
      </c>
      <c r="AI32" s="280"/>
      <c r="AJ32" s="280"/>
      <c r="AK32" s="280"/>
    </row>
    <row r="33" spans="1:37" s="372" customFormat="1" ht="18.75" customHeight="1" x14ac:dyDescent="0.35">
      <c r="A33" s="460" t="s">
        <v>274</v>
      </c>
      <c r="B33" s="468">
        <v>-1302.9390000000001</v>
      </c>
      <c r="C33" s="280">
        <v>-1307.22584123</v>
      </c>
      <c r="D33" s="280">
        <f>IF(B33=0, "    ---- ", IF(ABS(ROUND(100/B33*C33-100,1))&lt;999,ROUND(100/B33*C33-100,1),IF(ROUND(100/B33*C33-100,1)&gt;999,999,-999)))</f>
        <v>0.3</v>
      </c>
      <c r="E33" s="468">
        <v>-994.17491522</v>
      </c>
      <c r="F33" s="280">
        <v>-1297.6496847600001</v>
      </c>
      <c r="G33" s="280">
        <f>IF(E33=0, "    ---- ", IF(ABS(ROUND(100/E33*F33-100,1))&lt;999,ROUND(100/E33*F33-100,1),IF(ROUND(100/E33*F33-100,1)&gt;999,999,-999)))</f>
        <v>30.5</v>
      </c>
      <c r="H33" s="468">
        <v>-292.66899999999998</v>
      </c>
      <c r="I33" s="280">
        <v>-360.40600000000001</v>
      </c>
      <c r="J33" s="280">
        <f>IF(H33=0, "    ---- ", IF(ABS(ROUND(100/H33*I33-100,1))&lt;999,ROUND(100/H33*I33-100,1),IF(ROUND(100/H33*I33-100,1)&gt;999,999,-999)))</f>
        <v>23.1</v>
      </c>
      <c r="K33" s="468">
        <v>-493</v>
      </c>
      <c r="L33" s="280">
        <v>-1014</v>
      </c>
      <c r="M33" s="280">
        <f>IF(K33=0, "    ---- ", IF(ABS(ROUND(100/K33*L33-100,1))&lt;999,ROUND(100/K33*L33-100,1),IF(ROUND(100/K33*L33-100,1)&gt;999,999,-999)))</f>
        <v>105.7</v>
      </c>
      <c r="N33" s="468">
        <v>-1693.221916</v>
      </c>
      <c r="O33" s="280">
        <v>-1887.2559125799999</v>
      </c>
      <c r="P33" s="280">
        <f>IF(N33=0, "    ---- ", IF(ABS(ROUND(100/N33*O33-100,1))&lt;999,ROUND(100/N33*O33-100,1),IF(ROUND(100/N33*O33-100,1)&gt;999,999,-999)))</f>
        <v>11.5</v>
      </c>
      <c r="Q33" s="468">
        <v>-892.67139999999995</v>
      </c>
      <c r="R33" s="280">
        <v>-1011.6197</v>
      </c>
      <c r="S33" s="280">
        <f>IF(Q33=0, "    ---- ", IF(ABS(ROUND(100/Q33*R33-100,1))&lt;999,ROUND(100/Q33*R33-100,1),IF(ROUND(100/Q33*R33-100,1)&gt;999,999,-999)))</f>
        <v>13.3</v>
      </c>
      <c r="T33" s="468">
        <v>-328</v>
      </c>
      <c r="U33" s="280">
        <v>-310</v>
      </c>
      <c r="V33" s="280">
        <f>IF(T33=0, "    ---- ", IF(ABS(ROUND(100/T33*U33-100,1))&lt;999,ROUND(100/T33*U33-100,1),IF(ROUND(100/T33*U33-100,1)&gt;999,999,-999)))</f>
        <v>-5.5</v>
      </c>
      <c r="W33" s="468">
        <v>-948.29686806910081</v>
      </c>
      <c r="X33" s="280">
        <v>-956.00448173000018</v>
      </c>
      <c r="Y33" s="280">
        <f>IF(W33=0, "    ---- ", IF(ABS(ROUND(100/W33*X33-100,1))&lt;999,ROUND(100/W33*X33-100,1),IF(ROUND(100/W33*X33-100,1)&gt;999,999,-999)))</f>
        <v>0.8</v>
      </c>
      <c r="Z33" s="468">
        <v>-1731.48980056</v>
      </c>
      <c r="AA33" s="280">
        <v>-1886.5329974099996</v>
      </c>
      <c r="AB33" s="280">
        <f>IF(Z33=0, "    ---- ", IF(ABS(ROUND(100/Z33*AA33-100,1))&lt;999,ROUND(100/Z33*AA33-100,1),IF(ROUND(100/Z33*AA33-100,1)&gt;999,999,-999)))</f>
        <v>9</v>
      </c>
      <c r="AC33" s="468">
        <v>-80</v>
      </c>
      <c r="AD33" s="280">
        <v>-89</v>
      </c>
      <c r="AE33" s="280">
        <f>IF(AC33=0, "    ---- ", IF(ABS(ROUND(100/AC33*AD33-100,1))&lt;999,ROUND(100/AC33*AD33-100,1),IF(ROUND(100/AC33*AD33-100,1)&gt;999,999,-999)))</f>
        <v>11.3</v>
      </c>
      <c r="AF33" s="280">
        <f t="shared" si="21"/>
        <v>-8676.4628998491007</v>
      </c>
      <c r="AG33" s="280">
        <f t="shared" si="21"/>
        <v>-10030.69461771</v>
      </c>
      <c r="AH33" s="280">
        <f t="shared" si="11"/>
        <v>15.6</v>
      </c>
      <c r="AI33" s="280"/>
      <c r="AJ33" s="280"/>
      <c r="AK33" s="280"/>
    </row>
    <row r="34" spans="1:37" s="372" customFormat="1" ht="18.75" customHeight="1" x14ac:dyDescent="0.35">
      <c r="A34" s="460" t="s">
        <v>275</v>
      </c>
      <c r="B34" s="147">
        <v>-7.6609999999999996</v>
      </c>
      <c r="C34" s="360">
        <v>-12.09425442</v>
      </c>
      <c r="D34" s="360">
        <f>IF(B34=0, "    ---- ", IF(ABS(ROUND(100/B34*C34-100,1))&lt;999,ROUND(100/B34*C34-100,1),IF(ROUND(100/B34*C34-100,1)&gt;999,999,-999)))</f>
        <v>57.9</v>
      </c>
      <c r="E34" s="147">
        <v>-29.171611060000004</v>
      </c>
      <c r="F34" s="360">
        <v>-13.907805450000001</v>
      </c>
      <c r="G34" s="360"/>
      <c r="H34" s="147"/>
      <c r="I34" s="360"/>
      <c r="J34" s="360"/>
      <c r="K34" s="147"/>
      <c r="L34" s="360"/>
      <c r="M34" s="360"/>
      <c r="N34" s="147">
        <v>-1470.6956190000001</v>
      </c>
      <c r="O34" s="360">
        <v>-1574.7462680000001</v>
      </c>
      <c r="P34" s="360">
        <f>IF(N34=0, "    ---- ", IF(ABS(ROUND(100/N34*O34-100,1))&lt;999,ROUND(100/N34*O34-100,1),IF(ROUND(100/N34*O34-100,1)&gt;999,999,-999)))</f>
        <v>7.1</v>
      </c>
      <c r="Q34" s="147">
        <v>-22.528539800000001</v>
      </c>
      <c r="R34" s="360">
        <v>-20.730990949999999</v>
      </c>
      <c r="S34" s="360">
        <f>IF(Q34=0, "    ---- ", IF(ABS(ROUND(100/Q34*R34-100,1))&lt;999,ROUND(100/Q34*R34-100,1),IF(ROUND(100/Q34*R34-100,1)&gt;999,999,-999)))</f>
        <v>-8</v>
      </c>
      <c r="T34" s="147"/>
      <c r="U34" s="360"/>
      <c r="V34" s="360"/>
      <c r="W34" s="147">
        <v>-2.9534347899999998</v>
      </c>
      <c r="X34" s="360">
        <v>-2.283506029999999</v>
      </c>
      <c r="Y34" s="360">
        <f>IF(W34=0, "    ---- ", IF(ABS(ROUND(100/W34*X34-100,1))&lt;999,ROUND(100/W34*X34-100,1),IF(ROUND(100/W34*X34-100,1)&gt;999,999,-999)))</f>
        <v>-22.7</v>
      </c>
      <c r="Z34" s="147">
        <v>-28.712223390007001</v>
      </c>
      <c r="AA34" s="360">
        <v>-35.336431979996483</v>
      </c>
      <c r="AB34" s="360">
        <f>IF(Z34=0, "    ---- ", IF(ABS(ROUND(100/Z34*AA34-100,1))&lt;999,ROUND(100/Z34*AA34-100,1),IF(ROUND(100/Z34*AA34-100,1)&gt;999,999,-999)))</f>
        <v>23.1</v>
      </c>
      <c r="AC34" s="147">
        <v>-2</v>
      </c>
      <c r="AD34" s="360">
        <v>0</v>
      </c>
      <c r="AE34" s="360">
        <f>IF(AC34=0, "    ---- ", IF(ABS(ROUND(100/AC34*AD34-100,1))&lt;999,ROUND(100/AC34*AD34-100,1),IF(ROUND(100/AC34*AD34-100,1)&gt;999,999,-999)))</f>
        <v>-100</v>
      </c>
      <c r="AF34" s="280">
        <f t="shared" si="21"/>
        <v>-1561.7224280400073</v>
      </c>
      <c r="AG34" s="280">
        <f t="shared" si="21"/>
        <v>-1659.0992568299964</v>
      </c>
      <c r="AH34" s="360">
        <f t="shared" si="11"/>
        <v>6.2</v>
      </c>
      <c r="AI34" s="360"/>
      <c r="AJ34" s="360"/>
      <c r="AK34" s="360"/>
    </row>
    <row r="35" spans="1:37" s="380" customFormat="1" ht="18.75" customHeight="1" x14ac:dyDescent="0.3">
      <c r="A35" s="471" t="s">
        <v>276</v>
      </c>
      <c r="B35" s="150">
        <f>SUM(B14+B15+B16+B17+B21+B30+B31+B32+B33+B34)</f>
        <v>1169.5840000000046</v>
      </c>
      <c r="C35" s="364">
        <f>SUM(C14+C15+C16+C17+C21+C30+C31+C32+C33+C34)</f>
        <v>1614.9558006299872</v>
      </c>
      <c r="D35" s="365">
        <f>IF(B35=0, "    ---- ", IF(ABS(ROUND(100/B35*C35-100,1))&lt;999,ROUND(100/B35*C35-100,1),IF(ROUND(100/B35*C35-100,1)&gt;999,999,-999)))</f>
        <v>38.1</v>
      </c>
      <c r="E35" s="150">
        <f>SUM(E14+E15+E16+E17+E21+E30+E31+E32+E33+E34)</f>
        <v>1295.6162987599996</v>
      </c>
      <c r="F35" s="364">
        <f>SUM(F14+F15+F16+F17+F21+F30+F31+F32+F33+F34)</f>
        <v>1134.2111569599992</v>
      </c>
      <c r="G35" s="365">
        <f>IF(E35=0, "    ---- ", IF(ABS(ROUND(100/E35*F35-100,1))&lt;999,ROUND(100/E35*F35-100,1),IF(ROUND(100/E35*F35-100,1)&gt;999,999,-999)))</f>
        <v>-12.5</v>
      </c>
      <c r="H35" s="150">
        <f>SUM(H14+H15+H16+H17+H21+H30+H31+H32+H33+H34)</f>
        <v>96.741000000000042</v>
      </c>
      <c r="I35" s="364">
        <f>SUM(I14+I15+I16+I17+I21+I30+I31+I32+I33+I34)</f>
        <v>74.866000000000042</v>
      </c>
      <c r="J35" s="365">
        <f>IF(H35=0, "    ---- ", IF(ABS(ROUND(100/H35*I35-100,1))&lt;999,ROUND(100/H35*I35-100,1),IF(ROUND(100/H35*I35-100,1)&gt;999,999,-999)))</f>
        <v>-22.6</v>
      </c>
      <c r="K35" s="150">
        <f>SUM(K14+K15+K16+K17+K21+K30+K31+K32+K33+K34)</f>
        <v>220</v>
      </c>
      <c r="L35" s="364">
        <f>SUM(L14+L15+L16+L17+L21+L30+L31+L32+L33+L34)</f>
        <v>-66</v>
      </c>
      <c r="M35" s="365">
        <f>IF(K35=0, "    ---- ", IF(ABS(ROUND(100/K35*L35-100,1))&lt;999,ROUND(100/K35*L35-100,1),IF(ROUND(100/K35*L35-100,1)&gt;999,999,-999)))</f>
        <v>-130</v>
      </c>
      <c r="N35" s="150">
        <v>415.92496981998602</v>
      </c>
      <c r="O35" s="364">
        <v>311.1298939600008</v>
      </c>
      <c r="P35" s="365">
        <f>IF(N35=0, "    ---- ", IF(ABS(ROUND(100/N35*O35-100,1))&lt;999,ROUND(100/N35*O35-100,1),IF(ROUND(100/N35*O35-100,1)&gt;999,999,-999)))</f>
        <v>-25.2</v>
      </c>
      <c r="Q35" s="150">
        <f>SUM(Q14+Q15+Q16+Q17+Q21+Q30+Q31+Q32+Q33+Q34)</f>
        <v>1327.4069602000002</v>
      </c>
      <c r="R35" s="364">
        <f>SUM(R14+R15+R16+R17+R21+R30+R31+R32+R33+R34)</f>
        <v>1450.9781090499989</v>
      </c>
      <c r="S35" s="365">
        <f>IF(Q35=0, "    ---- ", IF(ABS(ROUND(100/Q35*R35-100,1))&lt;999,ROUND(100/Q35*R35-100,1),IF(ROUND(100/Q35*R35-100,1)&gt;999,999,-999)))</f>
        <v>9.3000000000000007</v>
      </c>
      <c r="T35" s="150">
        <f>SUM(T14+T15+T16+T17+T21+T30+T31+T32+T33+T34)</f>
        <v>627</v>
      </c>
      <c r="U35" s="364">
        <f>SUM(U14+U15+U16+U17+U21+U30+U31+U32+U33+U34)</f>
        <v>504</v>
      </c>
      <c r="V35" s="365">
        <f>IF(T35=0, "    ---- ", IF(ABS(ROUND(100/T35*U35-100,1))&lt;999,ROUND(100/T35*U35-100,1),IF(ROUND(100/T35*U35-100,1)&gt;999,999,-999)))</f>
        <v>-19.600000000000001</v>
      </c>
      <c r="W35" s="150">
        <f>SUM(W14+W15+W16+W17+W21+W30+W31+W32+W33+W34)</f>
        <v>125.35585266089727</v>
      </c>
      <c r="X35" s="364">
        <f>SUM(X14+X15+X16+X17+X21+X30+X31+X32+X33+X34)</f>
        <v>188.6474811500085</v>
      </c>
      <c r="Y35" s="365">
        <f>IF(W35=0, "    ---- ", IF(ABS(ROUND(100/W35*X35-100,1))&lt;999,ROUND(100/W35*X35-100,1),IF(ROUND(100/W35*X35-100,1)&gt;999,999,-999)))</f>
        <v>50.5</v>
      </c>
      <c r="Z35" s="150">
        <f>SUM(Z14+Z15+Z16+Z17+Z21+Z30+Z31+Z32+Z33+Z34)</f>
        <v>1820.2838675099811</v>
      </c>
      <c r="AA35" s="364">
        <f>SUM(AA14+AA15+AA16+AA17+AA21+AA30+AA31+AA32+AA33+AA34)</f>
        <v>1788.0268749648715</v>
      </c>
      <c r="AB35" s="365">
        <f>IF(Z35=0, "    ---- ", IF(ABS(ROUND(100/Z35*AA35-100,1))&lt;999,ROUND(100/Z35*AA35-100,1),IF(ROUND(100/Z35*AA35-100,1)&gt;999,999,-999)))</f>
        <v>-1.8</v>
      </c>
      <c r="AC35" s="150">
        <f>SUM(AC14+AC15+AC16+AC17+AC21+AC30+AC31+AC32+AC33+AC34)</f>
        <v>-37</v>
      </c>
      <c r="AD35" s="364">
        <f>SUM(AD14+AD15+AD16+AD17+AD21+AD30+AD31+AD32+AD33+AD34)</f>
        <v>-36</v>
      </c>
      <c r="AE35" s="365">
        <f>IF(AC35=0, "    ---- ", IF(ABS(ROUND(100/AC35*AD35-100,1))&lt;999,ROUND(100/AC35*AD35-100,1),IF(ROUND(100/AC35*AD35-100,1)&gt;999,999,-999)))</f>
        <v>-2.7</v>
      </c>
      <c r="AF35" s="365">
        <f t="shared" si="21"/>
        <v>7097.9129489508696</v>
      </c>
      <c r="AG35" s="365">
        <f t="shared" si="21"/>
        <v>7000.8153167148657</v>
      </c>
      <c r="AH35" s="365">
        <f t="shared" si="11"/>
        <v>-1.4</v>
      </c>
      <c r="AI35" s="365"/>
      <c r="AJ35" s="365"/>
      <c r="AK35" s="365"/>
    </row>
    <row r="36" spans="1:37" s="380" customFormat="1" ht="18.75" customHeight="1" x14ac:dyDescent="0.3">
      <c r="A36" s="472"/>
      <c r="B36" s="661"/>
      <c r="C36" s="387"/>
      <c r="D36" s="358"/>
      <c r="E36" s="661"/>
      <c r="F36" s="387"/>
      <c r="G36" s="358"/>
      <c r="H36" s="661"/>
      <c r="I36" s="387"/>
      <c r="J36" s="358"/>
      <c r="K36" s="661"/>
      <c r="L36" s="387"/>
      <c r="M36" s="358"/>
      <c r="N36" s="661"/>
      <c r="O36" s="387"/>
      <c r="P36" s="358"/>
      <c r="Q36" s="661"/>
      <c r="R36" s="387"/>
      <c r="S36" s="358"/>
      <c r="T36" s="661"/>
      <c r="U36" s="387"/>
      <c r="V36" s="358"/>
      <c r="W36" s="661"/>
      <c r="X36" s="387"/>
      <c r="Y36" s="473"/>
      <c r="Z36" s="661"/>
      <c r="AA36" s="387"/>
      <c r="AB36" s="473"/>
      <c r="AC36" s="661"/>
      <c r="AD36" s="387"/>
      <c r="AE36" s="473"/>
      <c r="AF36" s="473"/>
      <c r="AG36" s="473"/>
      <c r="AH36" s="473"/>
      <c r="AI36" s="474"/>
      <c r="AJ36" s="475"/>
      <c r="AK36" s="476"/>
    </row>
    <row r="37" spans="1:37" s="380" customFormat="1" ht="18.75" customHeight="1" x14ac:dyDescent="0.3">
      <c r="A37" s="462" t="s">
        <v>277</v>
      </c>
      <c r="B37" s="661"/>
      <c r="C37" s="387"/>
      <c r="D37" s="358"/>
      <c r="E37" s="661"/>
      <c r="F37" s="387"/>
      <c r="G37" s="358"/>
      <c r="H37" s="661"/>
      <c r="I37" s="387"/>
      <c r="J37" s="358"/>
      <c r="K37" s="661"/>
      <c r="L37" s="387"/>
      <c r="M37" s="358"/>
      <c r="N37" s="661"/>
      <c r="O37" s="387"/>
      <c r="P37" s="358"/>
      <c r="Q37" s="661"/>
      <c r="R37" s="387"/>
      <c r="S37" s="358"/>
      <c r="T37" s="661"/>
      <c r="U37" s="387"/>
      <c r="V37" s="358"/>
      <c r="W37" s="661"/>
      <c r="X37" s="387"/>
      <c r="Y37" s="358"/>
      <c r="Z37" s="661"/>
      <c r="AA37" s="387"/>
      <c r="AB37" s="358"/>
      <c r="AC37" s="661"/>
      <c r="AD37" s="387"/>
      <c r="AE37" s="358"/>
      <c r="AF37" s="358"/>
      <c r="AG37" s="358"/>
      <c r="AH37" s="358"/>
      <c r="AI37" s="477"/>
      <c r="AJ37" s="478"/>
      <c r="AK37" s="479"/>
    </row>
    <row r="38" spans="1:37" s="370" customFormat="1" ht="18.75" customHeight="1" x14ac:dyDescent="0.35">
      <c r="A38" s="460" t="s">
        <v>278</v>
      </c>
      <c r="B38" s="662">
        <v>1438.4190000000001</v>
      </c>
      <c r="C38" s="382">
        <v>1481.0718370699999</v>
      </c>
      <c r="D38" s="280">
        <f t="shared" ref="D38:D45" si="22">IF(B38=0, "    ---- ", IF(ABS(ROUND(100/B38*C38-100,1))&lt;999,ROUND(100/B38*C38-100,1),IF(ROUND(100/B38*C38-100,1)&gt;999,999,-999)))</f>
        <v>3</v>
      </c>
      <c r="E38" s="662">
        <v>135.97304202999999</v>
      </c>
      <c r="F38" s="382">
        <v>150.41210917000001</v>
      </c>
      <c r="G38" s="280">
        <f t="shared" ref="G38:G44" si="23">IF(E38=0, "    ---- ", IF(ABS(ROUND(100/E38*F38-100,1))&lt;999,ROUND(100/E38*F38-100,1),IF(ROUND(100/E38*F38-100,1)&gt;999,999,-999)))</f>
        <v>10.6</v>
      </c>
      <c r="H38" s="662">
        <v>29.149000000000001</v>
      </c>
      <c r="I38" s="382">
        <v>33.988</v>
      </c>
      <c r="J38" s="280">
        <f t="shared" ref="J38:J44" si="24">IF(H38=0, "    ---- ", IF(ABS(ROUND(100/H38*I38-100,1))&lt;999,ROUND(100/H38*I38-100,1),IF(ROUND(100/H38*I38-100,1)&gt;999,999,-999)))</f>
        <v>16.600000000000001</v>
      </c>
      <c r="K38" s="662">
        <v>54</v>
      </c>
      <c r="L38" s="382">
        <v>76</v>
      </c>
      <c r="M38" s="280">
        <f t="shared" ref="M38:M45" si="25">IF(K38=0, "    ---- ", IF(ABS(ROUND(100/K38*L38-100,1))&lt;999,ROUND(100/K38*L38-100,1),IF(ROUND(100/K38*L38-100,1)&gt;999,999,-999)))</f>
        <v>40.700000000000003</v>
      </c>
      <c r="N38" s="662">
        <v>1988.8464569800001</v>
      </c>
      <c r="O38" s="382">
        <v>2855.14513889</v>
      </c>
      <c r="P38" s="280">
        <f t="shared" ref="P38:P45" si="26">IF(N38=0, "    ---- ", IF(ABS(ROUND(100/N38*O38-100,1))&lt;999,ROUND(100/N38*O38-100,1),IF(ROUND(100/N38*O38-100,1)&gt;999,999,-999)))</f>
        <v>43.6</v>
      </c>
      <c r="Q38" s="662">
        <v>584.49</v>
      </c>
      <c r="R38" s="382">
        <v>488.94</v>
      </c>
      <c r="S38" s="280">
        <f t="shared" ref="S38:S45" si="27">IF(Q38=0, "    ---- ", IF(ABS(ROUND(100/Q38*R38-100,1))&lt;999,ROUND(100/Q38*R38-100,1),IF(ROUND(100/Q38*R38-100,1)&gt;999,999,-999)))</f>
        <v>-16.3</v>
      </c>
      <c r="T38" s="662">
        <v>742</v>
      </c>
      <c r="U38" s="382">
        <v>846</v>
      </c>
      <c r="V38" s="280">
        <f t="shared" ref="V38:V44" si="28">IF(T38=0, "    ---- ", IF(ABS(ROUND(100/T38*U38-100,1))&lt;999,ROUND(100/T38*U38-100,1),IF(ROUND(100/T38*U38-100,1)&gt;999,999,-999)))</f>
        <v>14</v>
      </c>
      <c r="W38" s="662">
        <v>243.35428464000148</v>
      </c>
      <c r="X38" s="382">
        <v>273.52003736999984</v>
      </c>
      <c r="Y38" s="280">
        <f t="shared" ref="Y38:Y44" si="29">IF(W38=0, "    ---- ", IF(ABS(ROUND(100/W38*X38-100,1))&lt;999,ROUND(100/W38*X38-100,1),IF(ROUND(100/W38*X38-100,1)&gt;999,999,-999)))</f>
        <v>12.4</v>
      </c>
      <c r="Z38" s="662">
        <v>2160.1896908799999</v>
      </c>
      <c r="AA38" s="382">
        <v>2307.3723234600002</v>
      </c>
      <c r="AB38" s="280">
        <f t="shared" ref="AB38:AB45" si="30">IF(Z38=0, "    ---- ", IF(ABS(ROUND(100/Z38*AA38-100,1))&lt;999,ROUND(100/Z38*AA38-100,1),IF(ROUND(100/Z38*AA38-100,1)&gt;999,999,-999)))</f>
        <v>6.8</v>
      </c>
      <c r="AC38" s="662">
        <v>2</v>
      </c>
      <c r="AD38" s="382">
        <v>5</v>
      </c>
      <c r="AE38" s="280">
        <f t="shared" ref="AE38:AE45" si="31">IF(AC38=0, "    ---- ", IF(ABS(ROUND(100/AC38*AD38-100,1))&lt;999,ROUND(100/AC38*AD38-100,1),IF(ROUND(100/AC38*AD38-100,1)&gt;999,999,-999)))</f>
        <v>150</v>
      </c>
      <c r="AF38" s="280">
        <f t="shared" ref="AF38:AG46" si="32">B38+E38+H38+K38+N38+Q38+T38+W38+Z38</f>
        <v>7376.4214745300014</v>
      </c>
      <c r="AG38" s="280">
        <f t="shared" si="32"/>
        <v>8512.4494459599991</v>
      </c>
      <c r="AH38" s="280">
        <f t="shared" si="11"/>
        <v>15.4</v>
      </c>
      <c r="AI38" s="469"/>
      <c r="AJ38" s="480"/>
      <c r="AK38" s="392"/>
    </row>
    <row r="39" spans="1:37" s="370" customFormat="1" ht="18.75" customHeight="1" x14ac:dyDescent="0.35">
      <c r="A39" s="460" t="s">
        <v>279</v>
      </c>
      <c r="B39" s="662">
        <v>11.124000000000001</v>
      </c>
      <c r="C39" s="382">
        <v>12.233492999999999</v>
      </c>
      <c r="D39" s="280">
        <f t="shared" si="22"/>
        <v>10</v>
      </c>
      <c r="E39" s="662"/>
      <c r="F39" s="382"/>
      <c r="G39" s="280"/>
      <c r="H39" s="662"/>
      <c r="I39" s="382"/>
      <c r="J39" s="280" t="str">
        <f t="shared" si="24"/>
        <v xml:space="preserve">    ---- </v>
      </c>
      <c r="K39" s="662">
        <v>0</v>
      </c>
      <c r="L39" s="382">
        <v>0</v>
      </c>
      <c r="M39" s="280" t="str">
        <f t="shared" si="25"/>
        <v xml:space="preserve">    ---- </v>
      </c>
      <c r="N39" s="662">
        <v>72.751381849999987</v>
      </c>
      <c r="O39" s="382">
        <v>79.357603980000007</v>
      </c>
      <c r="P39" s="280">
        <f t="shared" si="26"/>
        <v>9.1</v>
      </c>
      <c r="Q39" s="662">
        <v>2.14</v>
      </c>
      <c r="R39" s="382">
        <v>1.83</v>
      </c>
      <c r="S39" s="280">
        <f t="shared" si="27"/>
        <v>-14.5</v>
      </c>
      <c r="T39" s="662">
        <v>36</v>
      </c>
      <c r="U39" s="382">
        <v>1</v>
      </c>
      <c r="V39" s="280">
        <f t="shared" si="28"/>
        <v>-97.2</v>
      </c>
      <c r="W39" s="662">
        <v>27.13754252</v>
      </c>
      <c r="X39" s="382">
        <v>65.352483419999999</v>
      </c>
      <c r="Y39" s="280">
        <f t="shared" si="29"/>
        <v>140.80000000000001</v>
      </c>
      <c r="Z39" s="662">
        <v>57.213328019999999</v>
      </c>
      <c r="AA39" s="382">
        <v>60.814711389999999</v>
      </c>
      <c r="AB39" s="280">
        <f t="shared" si="30"/>
        <v>6.3</v>
      </c>
      <c r="AC39" s="662"/>
      <c r="AD39" s="382"/>
      <c r="AE39" s="280"/>
      <c r="AF39" s="280">
        <f t="shared" si="32"/>
        <v>206.36625239</v>
      </c>
      <c r="AG39" s="280">
        <f t="shared" si="32"/>
        <v>220.58829179000003</v>
      </c>
      <c r="AH39" s="280">
        <f t="shared" si="11"/>
        <v>6.9</v>
      </c>
      <c r="AI39" s="280"/>
      <c r="AJ39" s="481"/>
      <c r="AK39" s="280"/>
    </row>
    <row r="40" spans="1:37" s="370" customFormat="1" ht="18.75" customHeight="1" x14ac:dyDescent="0.35">
      <c r="A40" s="460" t="s">
        <v>280</v>
      </c>
      <c r="B40" s="662">
        <v>-535.37300000000005</v>
      </c>
      <c r="C40" s="382">
        <v>-484.18444105999998</v>
      </c>
      <c r="D40" s="280">
        <f t="shared" si="22"/>
        <v>-9.6</v>
      </c>
      <c r="E40" s="662">
        <v>-42.314270960000002</v>
      </c>
      <c r="F40" s="382">
        <v>-23.810281610000008</v>
      </c>
      <c r="G40" s="280">
        <f t="shared" si="23"/>
        <v>-43.7</v>
      </c>
      <c r="H40" s="662"/>
      <c r="I40" s="382"/>
      <c r="J40" s="280" t="str">
        <f t="shared" si="24"/>
        <v xml:space="preserve">    ---- </v>
      </c>
      <c r="K40" s="662">
        <v>-19</v>
      </c>
      <c r="L40" s="382">
        <v>-19</v>
      </c>
      <c r="M40" s="280">
        <f t="shared" si="25"/>
        <v>0</v>
      </c>
      <c r="N40" s="662">
        <v>-308.95238823</v>
      </c>
      <c r="O40" s="382">
        <v>-240.85954368</v>
      </c>
      <c r="P40" s="280">
        <f t="shared" si="26"/>
        <v>-22</v>
      </c>
      <c r="Q40" s="662">
        <v>-191.69</v>
      </c>
      <c r="R40" s="382">
        <v>-175</v>
      </c>
      <c r="S40" s="280">
        <f t="shared" si="27"/>
        <v>-8.6999999999999993</v>
      </c>
      <c r="T40" s="662">
        <v>-36</v>
      </c>
      <c r="U40" s="382">
        <v>-34</v>
      </c>
      <c r="V40" s="280">
        <f t="shared" si="28"/>
        <v>-5.6</v>
      </c>
      <c r="W40" s="662">
        <v>-19.965687150899299</v>
      </c>
      <c r="X40" s="382">
        <v>-42.272252549999997</v>
      </c>
      <c r="Y40" s="280">
        <f t="shared" si="29"/>
        <v>111.7</v>
      </c>
      <c r="Z40" s="662">
        <v>-953.44613661000005</v>
      </c>
      <c r="AA40" s="382">
        <v>-807.35267983999984</v>
      </c>
      <c r="AB40" s="280">
        <f t="shared" si="30"/>
        <v>-15.3</v>
      </c>
      <c r="AC40" s="662"/>
      <c r="AD40" s="382">
        <v>-1</v>
      </c>
      <c r="AE40" s="280"/>
      <c r="AF40" s="280">
        <f t="shared" si="32"/>
        <v>-2106.7414829508994</v>
      </c>
      <c r="AG40" s="280">
        <f t="shared" si="32"/>
        <v>-1826.4791987399999</v>
      </c>
      <c r="AH40" s="280">
        <f t="shared" si="11"/>
        <v>-13.3</v>
      </c>
      <c r="AI40" s="280"/>
      <c r="AJ40" s="481"/>
      <c r="AK40" s="280"/>
    </row>
    <row r="41" spans="1:37" s="483" customFormat="1" ht="18.75" customHeight="1" x14ac:dyDescent="0.3">
      <c r="A41" s="472" t="s">
        <v>281</v>
      </c>
      <c r="B41" s="661">
        <f>SUM(B38:B40)</f>
        <v>914.17000000000007</v>
      </c>
      <c r="C41" s="387">
        <f>SUM(C38:C40)</f>
        <v>1009.1208890099999</v>
      </c>
      <c r="D41" s="358">
        <f t="shared" si="22"/>
        <v>10.4</v>
      </c>
      <c r="E41" s="661">
        <f>SUM(E38:E40)</f>
        <v>93.658771069999986</v>
      </c>
      <c r="F41" s="387">
        <f>SUM(F38:F40)</f>
        <v>126.60182756</v>
      </c>
      <c r="G41" s="358">
        <f t="shared" si="23"/>
        <v>35.200000000000003</v>
      </c>
      <c r="H41" s="661">
        <f>SUM(H38:H40)</f>
        <v>29.149000000000001</v>
      </c>
      <c r="I41" s="387">
        <f>SUM(I38:I40)</f>
        <v>33.988</v>
      </c>
      <c r="J41" s="358">
        <f t="shared" si="24"/>
        <v>16.600000000000001</v>
      </c>
      <c r="K41" s="661">
        <f>SUM(K38:K40)</f>
        <v>35</v>
      </c>
      <c r="L41" s="387">
        <f>SUM(L38:L40)</f>
        <v>57</v>
      </c>
      <c r="M41" s="358">
        <f t="shared" si="25"/>
        <v>62.9</v>
      </c>
      <c r="N41" s="661">
        <v>1752.6454506</v>
      </c>
      <c r="O41" s="387">
        <v>2693.6431991899999</v>
      </c>
      <c r="P41" s="358">
        <f t="shared" si="26"/>
        <v>53.7</v>
      </c>
      <c r="Q41" s="661">
        <f>SUM(Q38:Q40)</f>
        <v>394.94</v>
      </c>
      <c r="R41" s="387">
        <f>SUM(R38:R40)</f>
        <v>315.77</v>
      </c>
      <c r="S41" s="358">
        <f t="shared" si="27"/>
        <v>-20</v>
      </c>
      <c r="T41" s="661">
        <f>SUM(T38:T40)</f>
        <v>742</v>
      </c>
      <c r="U41" s="387">
        <f>SUM(U38:U40)</f>
        <v>813</v>
      </c>
      <c r="V41" s="358">
        <f t="shared" si="28"/>
        <v>9.6</v>
      </c>
      <c r="W41" s="661">
        <f>SUM(W38:W40)</f>
        <v>250.52614000910219</v>
      </c>
      <c r="X41" s="387">
        <f>SUM(X38:X40)</f>
        <v>296.60026823999982</v>
      </c>
      <c r="Y41" s="358">
        <f t="shared" si="29"/>
        <v>18.399999999999999</v>
      </c>
      <c r="Z41" s="661">
        <f>SUM(Z38:Z40)</f>
        <v>1263.9568822900001</v>
      </c>
      <c r="AA41" s="387">
        <f>SUM(AA38:AA40)</f>
        <v>1560.8343550100003</v>
      </c>
      <c r="AB41" s="358">
        <f t="shared" si="30"/>
        <v>23.5</v>
      </c>
      <c r="AC41" s="661">
        <f>SUM(AC38:AC40)</f>
        <v>2</v>
      </c>
      <c r="AD41" s="387">
        <f>SUM(AD38:AD40)</f>
        <v>4</v>
      </c>
      <c r="AE41" s="358">
        <f t="shared" si="31"/>
        <v>100</v>
      </c>
      <c r="AF41" s="358">
        <f t="shared" si="32"/>
        <v>5476.0462439691028</v>
      </c>
      <c r="AG41" s="358">
        <f t="shared" si="32"/>
        <v>6906.5585390099986</v>
      </c>
      <c r="AH41" s="358">
        <f t="shared" si="11"/>
        <v>26.1</v>
      </c>
      <c r="AI41" s="358"/>
      <c r="AJ41" s="482"/>
      <c r="AK41" s="358"/>
    </row>
    <row r="42" spans="1:37" s="483" customFormat="1" ht="18.75" customHeight="1" x14ac:dyDescent="0.3">
      <c r="A42" s="472" t="s">
        <v>282</v>
      </c>
      <c r="B42" s="661">
        <f>B35+B41</f>
        <v>2083.7540000000045</v>
      </c>
      <c r="C42" s="387">
        <f>C35+C41</f>
        <v>2624.0766896399873</v>
      </c>
      <c r="D42" s="358">
        <f t="shared" si="22"/>
        <v>25.9</v>
      </c>
      <c r="E42" s="661">
        <f>E35+E41</f>
        <v>1389.2750698299997</v>
      </c>
      <c r="F42" s="387">
        <f>F35+F41</f>
        <v>1260.8129845199992</v>
      </c>
      <c r="G42" s="358">
        <f t="shared" si="23"/>
        <v>-9.1999999999999993</v>
      </c>
      <c r="H42" s="661">
        <f>H35+H41</f>
        <v>125.89000000000004</v>
      </c>
      <c r="I42" s="387">
        <f>I35+I41</f>
        <v>108.85400000000004</v>
      </c>
      <c r="J42" s="358">
        <f t="shared" si="24"/>
        <v>-13.5</v>
      </c>
      <c r="K42" s="661">
        <f>K35+K41</f>
        <v>255</v>
      </c>
      <c r="L42" s="387">
        <f>L35+L41</f>
        <v>-9</v>
      </c>
      <c r="M42" s="358">
        <f t="shared" si="25"/>
        <v>-103.5</v>
      </c>
      <c r="N42" s="661">
        <v>2168.570420419986</v>
      </c>
      <c r="O42" s="387">
        <v>3004.7730931500009</v>
      </c>
      <c r="P42" s="358">
        <f t="shared" si="26"/>
        <v>38.6</v>
      </c>
      <c r="Q42" s="661">
        <f>Q35+Q41</f>
        <v>1722.3469602000002</v>
      </c>
      <c r="R42" s="387">
        <f>R35+R41</f>
        <v>1766.7481090499989</v>
      </c>
      <c r="S42" s="358">
        <f t="shared" si="27"/>
        <v>2.6</v>
      </c>
      <c r="T42" s="661">
        <f>T35+T41</f>
        <v>1369</v>
      </c>
      <c r="U42" s="387">
        <f>U35+U41</f>
        <v>1317</v>
      </c>
      <c r="V42" s="358">
        <f t="shared" si="28"/>
        <v>-3.8</v>
      </c>
      <c r="W42" s="661">
        <f>W35+W41</f>
        <v>375.88199266999948</v>
      </c>
      <c r="X42" s="387">
        <f>X35+X41</f>
        <v>485.24774939000832</v>
      </c>
      <c r="Y42" s="358">
        <f t="shared" si="29"/>
        <v>29.1</v>
      </c>
      <c r="Z42" s="661">
        <f>Z35+Z41</f>
        <v>3084.2407497999811</v>
      </c>
      <c r="AA42" s="387">
        <f>AA35+AA41</f>
        <v>3348.861229974872</v>
      </c>
      <c r="AB42" s="358">
        <f t="shared" si="30"/>
        <v>8.6</v>
      </c>
      <c r="AC42" s="661">
        <f>AC35+AC41</f>
        <v>-35</v>
      </c>
      <c r="AD42" s="387">
        <f>AD35+AD41</f>
        <v>-32</v>
      </c>
      <c r="AE42" s="358">
        <f t="shared" si="31"/>
        <v>-8.6</v>
      </c>
      <c r="AF42" s="358">
        <f t="shared" si="32"/>
        <v>12573.959192919972</v>
      </c>
      <c r="AG42" s="358">
        <f t="shared" si="32"/>
        <v>13907.373855724865</v>
      </c>
      <c r="AH42" s="358">
        <f t="shared" si="11"/>
        <v>10.6</v>
      </c>
      <c r="AI42" s="358"/>
      <c r="AJ42" s="482"/>
      <c r="AK42" s="358"/>
    </row>
    <row r="43" spans="1:37" s="370" customFormat="1" ht="18.75" customHeight="1" x14ac:dyDescent="0.35">
      <c r="A43" s="460" t="s">
        <v>283</v>
      </c>
      <c r="B43" s="662">
        <v>-424.75200000000001</v>
      </c>
      <c r="C43" s="382">
        <v>-577.18573300000003</v>
      </c>
      <c r="D43" s="280">
        <f t="shared" si="22"/>
        <v>35.9</v>
      </c>
      <c r="E43" s="662">
        <v>-378.20846699999993</v>
      </c>
      <c r="F43" s="382">
        <v>-402.42668101999999</v>
      </c>
      <c r="G43" s="280">
        <f t="shared" si="23"/>
        <v>6.4</v>
      </c>
      <c r="H43" s="662"/>
      <c r="I43" s="382"/>
      <c r="J43" s="280" t="str">
        <f t="shared" si="24"/>
        <v xml:space="preserve">    ---- </v>
      </c>
      <c r="K43" s="662"/>
      <c r="L43" s="382">
        <v>7</v>
      </c>
      <c r="M43" s="280" t="str">
        <f t="shared" si="25"/>
        <v xml:space="preserve">    ---- </v>
      </c>
      <c r="N43" s="662">
        <v>-366.05574847499997</v>
      </c>
      <c r="O43" s="382">
        <v>-448.41816047499998</v>
      </c>
      <c r="P43" s="280">
        <f t="shared" si="26"/>
        <v>22.5</v>
      </c>
      <c r="Q43" s="662">
        <v>-429.96</v>
      </c>
      <c r="R43" s="382">
        <v>-438</v>
      </c>
      <c r="S43" s="280">
        <f t="shared" si="27"/>
        <v>1.9</v>
      </c>
      <c r="T43" s="662">
        <v>-272</v>
      </c>
      <c r="U43" s="382">
        <v>-248</v>
      </c>
      <c r="V43" s="280">
        <f t="shared" si="28"/>
        <v>-8.8000000000000007</v>
      </c>
      <c r="W43" s="662">
        <v>-83.483345060000005</v>
      </c>
      <c r="X43" s="382">
        <v>18.290115179999997</v>
      </c>
      <c r="Y43" s="280">
        <f t="shared" si="29"/>
        <v>-121.9</v>
      </c>
      <c r="Z43" s="662">
        <v>-485.80039807999998</v>
      </c>
      <c r="AA43" s="382">
        <v>-282.90363541000005</v>
      </c>
      <c r="AB43" s="280">
        <f t="shared" si="30"/>
        <v>-41.8</v>
      </c>
      <c r="AC43" s="662"/>
      <c r="AD43" s="382"/>
      <c r="AE43" s="280"/>
      <c r="AF43" s="280">
        <f t="shared" si="32"/>
        <v>-2440.259958615</v>
      </c>
      <c r="AG43" s="280">
        <f t="shared" si="32"/>
        <v>-2371.6440947249998</v>
      </c>
      <c r="AH43" s="280">
        <f t="shared" si="11"/>
        <v>-2.8</v>
      </c>
      <c r="AI43" s="280"/>
      <c r="AJ43" s="481"/>
      <c r="AK43" s="280"/>
    </row>
    <row r="44" spans="1:37" s="483" customFormat="1" ht="18.75" customHeight="1" x14ac:dyDescent="0.3">
      <c r="A44" s="472" t="s">
        <v>284</v>
      </c>
      <c r="B44" s="661">
        <f>B42+B43</f>
        <v>1659.0020000000045</v>
      </c>
      <c r="C44" s="387">
        <f>C42+C43</f>
        <v>2046.8909566399873</v>
      </c>
      <c r="D44" s="358">
        <f t="shared" si="22"/>
        <v>23.4</v>
      </c>
      <c r="E44" s="661">
        <f>E42+E43</f>
        <v>1011.0666028299997</v>
      </c>
      <c r="F44" s="387">
        <f>F42+F43</f>
        <v>858.38630349999926</v>
      </c>
      <c r="G44" s="358">
        <f t="shared" si="23"/>
        <v>-15.1</v>
      </c>
      <c r="H44" s="661">
        <f>H42+H43</f>
        <v>125.89000000000004</v>
      </c>
      <c r="I44" s="387">
        <f>I42+I43</f>
        <v>108.85400000000004</v>
      </c>
      <c r="J44" s="358">
        <f t="shared" si="24"/>
        <v>-13.5</v>
      </c>
      <c r="K44" s="661">
        <f>K42+K43</f>
        <v>255</v>
      </c>
      <c r="L44" s="387">
        <f>L42+L43</f>
        <v>-2</v>
      </c>
      <c r="M44" s="358">
        <f t="shared" si="25"/>
        <v>-100.8</v>
      </c>
      <c r="N44" s="661">
        <v>1802.514671944986</v>
      </c>
      <c r="O44" s="387">
        <v>2556.3549326750008</v>
      </c>
      <c r="P44" s="358">
        <f t="shared" si="26"/>
        <v>41.8</v>
      </c>
      <c r="Q44" s="661">
        <f>Q42+Q43</f>
        <v>1292.3869602000002</v>
      </c>
      <c r="R44" s="387">
        <f>R42+R43</f>
        <v>1328.7481090499989</v>
      </c>
      <c r="S44" s="358">
        <f t="shared" si="27"/>
        <v>2.8</v>
      </c>
      <c r="T44" s="661">
        <f>T42+T43</f>
        <v>1097</v>
      </c>
      <c r="U44" s="387">
        <f>U42+U43</f>
        <v>1069</v>
      </c>
      <c r="V44" s="358">
        <f t="shared" si="28"/>
        <v>-2.6</v>
      </c>
      <c r="W44" s="661">
        <f>W42+W43</f>
        <v>292.39864760999944</v>
      </c>
      <c r="X44" s="387">
        <f>X42+X43</f>
        <v>503.53786457000831</v>
      </c>
      <c r="Y44" s="358">
        <f t="shared" si="29"/>
        <v>72.2</v>
      </c>
      <c r="Z44" s="661">
        <f>Z42+Z43</f>
        <v>2598.4403517199812</v>
      </c>
      <c r="AA44" s="387">
        <f>AA42+AA43</f>
        <v>3065.9575945648721</v>
      </c>
      <c r="AB44" s="358">
        <f t="shared" si="30"/>
        <v>18</v>
      </c>
      <c r="AC44" s="661">
        <f>AC42+AC43</f>
        <v>-35</v>
      </c>
      <c r="AD44" s="387">
        <f>AD42+AD43</f>
        <v>-32</v>
      </c>
      <c r="AE44" s="358">
        <f t="shared" si="31"/>
        <v>-8.6</v>
      </c>
      <c r="AF44" s="358">
        <f t="shared" si="32"/>
        <v>10133.699234304971</v>
      </c>
      <c r="AG44" s="358">
        <f t="shared" si="32"/>
        <v>11535.729760999866</v>
      </c>
      <c r="AH44" s="358">
        <f t="shared" si="11"/>
        <v>13.8</v>
      </c>
      <c r="AI44" s="358"/>
      <c r="AJ44" s="482"/>
      <c r="AK44" s="358"/>
    </row>
    <row r="45" spans="1:37" s="370" customFormat="1" ht="18.75" customHeight="1" x14ac:dyDescent="0.35">
      <c r="A45" s="460" t="s">
        <v>285</v>
      </c>
      <c r="B45" s="662">
        <v>-0.92200000000000004</v>
      </c>
      <c r="C45" s="382">
        <v>-7.8777546699999998</v>
      </c>
      <c r="D45" s="280">
        <f t="shared" si="22"/>
        <v>754.4</v>
      </c>
      <c r="E45" s="662"/>
      <c r="F45" s="382"/>
      <c r="G45" s="280"/>
      <c r="H45" s="662"/>
      <c r="I45" s="382"/>
      <c r="J45" s="280"/>
      <c r="K45" s="662">
        <v>-2</v>
      </c>
      <c r="L45" s="382">
        <v>-9</v>
      </c>
      <c r="M45" s="280">
        <f t="shared" si="25"/>
        <v>350</v>
      </c>
      <c r="N45" s="662">
        <v>339.23957232499998</v>
      </c>
      <c r="O45" s="382">
        <v>72.796740624999998</v>
      </c>
      <c r="P45" s="280">
        <f t="shared" si="26"/>
        <v>-78.5</v>
      </c>
      <c r="Q45" s="662">
        <v>-19.05</v>
      </c>
      <c r="R45" s="382">
        <v>-6.43</v>
      </c>
      <c r="S45" s="280">
        <f t="shared" si="27"/>
        <v>-66.2</v>
      </c>
      <c r="T45" s="662">
        <v>17</v>
      </c>
      <c r="U45" s="382">
        <v>7</v>
      </c>
      <c r="V45" s="280"/>
      <c r="W45" s="662"/>
      <c r="X45" s="382"/>
      <c r="Y45" s="280"/>
      <c r="Z45" s="662">
        <v>-3.1946105882525399E-8</v>
      </c>
      <c r="AA45" s="382">
        <v>0.74385777980972345</v>
      </c>
      <c r="AB45" s="280">
        <f t="shared" si="30"/>
        <v>-999</v>
      </c>
      <c r="AC45" s="662"/>
      <c r="AD45" s="382">
        <v>-1</v>
      </c>
      <c r="AE45" s="280" t="str">
        <f t="shared" si="31"/>
        <v xml:space="preserve">    ---- </v>
      </c>
      <c r="AF45" s="280">
        <f t="shared" si="32"/>
        <v>334.26757229305383</v>
      </c>
      <c r="AG45" s="280">
        <f t="shared" si="32"/>
        <v>57.23284373480972</v>
      </c>
      <c r="AH45" s="280">
        <f t="shared" si="11"/>
        <v>-82.9</v>
      </c>
      <c r="AI45" s="280"/>
      <c r="AJ45" s="481"/>
      <c r="AK45" s="280"/>
    </row>
    <row r="46" spans="1:37" s="483" customFormat="1" ht="18.75" customHeight="1" x14ac:dyDescent="0.3">
      <c r="A46" s="471" t="s">
        <v>286</v>
      </c>
      <c r="B46" s="663">
        <f>B44+B45</f>
        <v>1658.0800000000045</v>
      </c>
      <c r="C46" s="388">
        <f>C44+C45</f>
        <v>2039.0132019699872</v>
      </c>
      <c r="D46" s="365">
        <f>IF(B46=0, "    ---- ", IF(ABS(ROUND(100/B46*C46-100,1))&lt;999,ROUND(100/B46*C46-100,1),IF(ROUND(100/B46*C46-100,1)&gt;999,999,-999)))</f>
        <v>23</v>
      </c>
      <c r="E46" s="663">
        <f>E44+E45</f>
        <v>1011.0666028299997</v>
      </c>
      <c r="F46" s="388">
        <f>F44+F45</f>
        <v>858.38630349999926</v>
      </c>
      <c r="G46" s="365">
        <f>IF(E46=0, "    ---- ", IF(ABS(ROUND(100/E46*F46-100,1))&lt;999,ROUND(100/E46*F46-100,1),IF(ROUND(100/E46*F46-100,1)&gt;999,999,-999)))</f>
        <v>-15.1</v>
      </c>
      <c r="H46" s="663">
        <f>H44+H45</f>
        <v>125.89000000000004</v>
      </c>
      <c r="I46" s="388">
        <f>I44+I45</f>
        <v>108.85400000000004</v>
      </c>
      <c r="J46" s="365">
        <f>IF(H46=0, "    ---- ", IF(ABS(ROUND(100/H46*I46-100,1))&lt;999,ROUND(100/H46*I46-100,1),IF(ROUND(100/H46*I46-100,1)&gt;999,999,-999)))</f>
        <v>-13.5</v>
      </c>
      <c r="K46" s="663">
        <f>K44+K45</f>
        <v>253</v>
      </c>
      <c r="L46" s="388">
        <f>L44+L45</f>
        <v>-11</v>
      </c>
      <c r="M46" s="365">
        <f>IF(K46=0, "    ---- ", IF(ABS(ROUND(100/K46*L46-100,1))&lt;999,ROUND(100/K46*L46-100,1),IF(ROUND(100/K46*L46-100,1)&gt;999,999,-999)))</f>
        <v>-104.3</v>
      </c>
      <c r="N46" s="663">
        <v>2141.754244269986</v>
      </c>
      <c r="O46" s="388">
        <v>2629.1516733000008</v>
      </c>
      <c r="P46" s="365">
        <f>IF(N46=0, "    ---- ", IF(ABS(ROUND(100/N46*O46-100,1))&lt;999,ROUND(100/N46*O46-100,1),IF(ROUND(100/N46*O46-100,1)&gt;999,999,-999)))</f>
        <v>22.8</v>
      </c>
      <c r="Q46" s="663">
        <f>Q44+Q45</f>
        <v>1273.3369602000002</v>
      </c>
      <c r="R46" s="388">
        <f>R44+R45</f>
        <v>1322.3181090499988</v>
      </c>
      <c r="S46" s="365">
        <f>IF(Q46=0, "    ---- ", IF(ABS(ROUND(100/Q46*R46-100,1))&lt;999,ROUND(100/Q46*R46-100,1),IF(ROUND(100/Q46*R46-100,1)&gt;999,999,-999)))</f>
        <v>3.8</v>
      </c>
      <c r="T46" s="663">
        <f>T44+T45</f>
        <v>1114</v>
      </c>
      <c r="U46" s="388">
        <f>U44+U45</f>
        <v>1076</v>
      </c>
      <c r="V46" s="365">
        <f>IF(T46=0, "    ---- ", IF(ABS(ROUND(100/T46*U46-100,1))&lt;999,ROUND(100/T46*U46-100,1),IF(ROUND(100/T46*U46-100,1)&gt;999,999,-999)))</f>
        <v>-3.4</v>
      </c>
      <c r="W46" s="663">
        <f>W44+W45</f>
        <v>292.39864760999944</v>
      </c>
      <c r="X46" s="388">
        <f>X44+X45</f>
        <v>503.53786457000831</v>
      </c>
      <c r="Y46" s="365">
        <f>IF(W46=0, "    ---- ", IF(ABS(ROUND(100/W46*X46-100,1))&lt;999,ROUND(100/W46*X46-100,1),IF(ROUND(100/W46*X46-100,1)&gt;999,999,-999)))</f>
        <v>72.2</v>
      </c>
      <c r="Z46" s="663">
        <f>Z44+Z45</f>
        <v>2598.4403516880352</v>
      </c>
      <c r="AA46" s="388">
        <f>AA44+AA45</f>
        <v>3066.7014523446819</v>
      </c>
      <c r="AB46" s="365">
        <f>IF(Z46=0, "    ---- ", IF(ABS(ROUND(100/Z46*AA46-100,1))&lt;999,ROUND(100/Z46*AA46-100,1),IF(ROUND(100/Z46*AA46-100,1)&gt;999,999,-999)))</f>
        <v>18</v>
      </c>
      <c r="AC46" s="663">
        <f>AC44+AC45</f>
        <v>-35</v>
      </c>
      <c r="AD46" s="388">
        <f>AD44+AD45</f>
        <v>-33</v>
      </c>
      <c r="AE46" s="365">
        <f>IF(AC46=0, "    ---- ", IF(ABS(ROUND(100/AC46*AD46-100,1))&lt;999,ROUND(100/AC46*AD46-100,1),IF(ROUND(100/AC46*AD46-100,1)&gt;999,999,-999)))</f>
        <v>-5.7</v>
      </c>
      <c r="AF46" s="358">
        <f t="shared" si="32"/>
        <v>10467.966806598026</v>
      </c>
      <c r="AG46" s="358">
        <f t="shared" si="32"/>
        <v>11592.962604734676</v>
      </c>
      <c r="AH46" s="365">
        <f t="shared" si="11"/>
        <v>10.7</v>
      </c>
      <c r="AI46" s="484"/>
      <c r="AJ46" s="485"/>
      <c r="AK46" s="486"/>
    </row>
    <row r="47" spans="1:37" s="483" customFormat="1" ht="18.75" customHeight="1" x14ac:dyDescent="0.3">
      <c r="A47" s="487"/>
      <c r="B47" s="683"/>
      <c r="C47" s="488"/>
      <c r="D47" s="488"/>
      <c r="E47" s="683"/>
      <c r="F47" s="488"/>
      <c r="G47" s="488"/>
      <c r="H47" s="683"/>
      <c r="I47" s="488"/>
      <c r="J47" s="488"/>
      <c r="K47" s="664"/>
      <c r="L47" s="488"/>
      <c r="M47" s="488"/>
      <c r="N47" s="664"/>
      <c r="O47" s="488"/>
      <c r="P47" s="488"/>
      <c r="Q47" s="664"/>
      <c r="R47" s="488"/>
      <c r="S47" s="473"/>
      <c r="T47" s="664"/>
      <c r="U47" s="488"/>
      <c r="V47" s="473"/>
      <c r="W47" s="664"/>
      <c r="X47" s="488"/>
      <c r="Y47" s="473"/>
      <c r="Z47" s="664"/>
      <c r="AA47" s="488"/>
      <c r="AB47" s="473"/>
      <c r="AC47" s="664"/>
      <c r="AD47" s="488"/>
      <c r="AE47" s="742"/>
      <c r="AF47" s="743"/>
      <c r="AG47" s="743"/>
      <c r="AH47" s="742"/>
      <c r="AI47" s="744"/>
      <c r="AJ47" s="744"/>
      <c r="AK47" s="745"/>
    </row>
    <row r="48" spans="1:37" s="483" customFormat="1" ht="18.75" customHeight="1" x14ac:dyDescent="0.35">
      <c r="A48" s="740" t="s">
        <v>287</v>
      </c>
      <c r="B48" s="686"/>
      <c r="C48" s="665"/>
      <c r="D48" s="665"/>
      <c r="E48" s="58"/>
      <c r="F48" s="665"/>
      <c r="G48" s="665"/>
      <c r="H48" s="58"/>
      <c r="I48" s="665"/>
      <c r="J48" s="665"/>
      <c r="K48" s="58"/>
      <c r="L48" s="665"/>
      <c r="M48" s="665"/>
      <c r="N48" s="58"/>
      <c r="O48" s="665"/>
      <c r="P48" s="665"/>
      <c r="Q48" s="58"/>
      <c r="R48" s="665"/>
      <c r="S48" s="493"/>
      <c r="T48" s="58"/>
      <c r="U48" s="665"/>
      <c r="V48" s="493"/>
      <c r="W48" s="58"/>
      <c r="X48" s="665"/>
      <c r="Y48" s="493"/>
      <c r="Z48" s="58"/>
      <c r="AA48" s="665"/>
      <c r="AB48" s="493"/>
      <c r="AC48" s="58"/>
      <c r="AD48" s="665"/>
      <c r="AE48" s="493"/>
      <c r="AF48" s="493"/>
      <c r="AG48" s="493"/>
      <c r="AH48" s="493"/>
      <c r="AI48" s="493"/>
      <c r="AJ48" s="493"/>
      <c r="AK48" s="493"/>
    </row>
    <row r="49" spans="1:37" s="370" customFormat="1" ht="18.75" customHeight="1" x14ac:dyDescent="0.35">
      <c r="A49" s="493" t="s">
        <v>288</v>
      </c>
      <c r="B49" s="687"/>
      <c r="C49" s="493"/>
      <c r="D49" s="493"/>
      <c r="E49" s="58"/>
      <c r="F49" s="493"/>
      <c r="G49" s="493"/>
      <c r="H49" s="58"/>
      <c r="I49" s="493"/>
      <c r="J49" s="493"/>
      <c r="K49" s="58"/>
      <c r="L49" s="493"/>
      <c r="M49" s="493"/>
      <c r="N49" s="58"/>
      <c r="O49" s="493"/>
      <c r="P49" s="493"/>
      <c r="Q49" s="58"/>
      <c r="R49" s="493"/>
      <c r="S49" s="493"/>
      <c r="T49" s="58"/>
      <c r="U49" s="493"/>
      <c r="V49" s="493"/>
      <c r="W49" s="58"/>
      <c r="X49" s="493"/>
      <c r="Y49" s="493"/>
      <c r="Z49" s="58"/>
      <c r="AA49" s="493"/>
      <c r="AB49" s="493"/>
      <c r="AC49" s="58"/>
      <c r="AD49" s="493"/>
      <c r="AE49" s="493"/>
      <c r="AF49" s="493"/>
      <c r="AG49" s="493"/>
      <c r="AH49" s="493"/>
      <c r="AI49" s="493"/>
      <c r="AJ49" s="493"/>
      <c r="AK49" s="493"/>
    </row>
    <row r="50" spans="1:37" s="370" customFormat="1" ht="18.75" customHeight="1" x14ac:dyDescent="0.35">
      <c r="A50" s="493" t="s">
        <v>289</v>
      </c>
      <c r="B50" s="687"/>
      <c r="C50" s="493"/>
      <c r="D50" s="493"/>
      <c r="E50" s="58"/>
      <c r="F50" s="493"/>
      <c r="G50" s="493"/>
      <c r="H50" s="58"/>
      <c r="I50" s="493"/>
      <c r="J50" s="493"/>
      <c r="K50" s="58"/>
      <c r="L50" s="493"/>
      <c r="M50" s="493"/>
      <c r="N50" s="58"/>
      <c r="O50" s="493"/>
      <c r="P50" s="493"/>
      <c r="Q50" s="58"/>
      <c r="R50" s="493"/>
      <c r="S50" s="493"/>
      <c r="T50" s="58"/>
      <c r="U50" s="493"/>
      <c r="V50" s="493"/>
      <c r="W50" s="58"/>
      <c r="X50" s="493"/>
      <c r="Y50" s="493"/>
      <c r="Z50" s="58"/>
      <c r="AA50" s="493"/>
      <c r="AB50" s="493"/>
      <c r="AC50" s="58"/>
      <c r="AD50" s="493"/>
      <c r="AE50" s="493"/>
      <c r="AF50" s="493"/>
      <c r="AG50" s="493"/>
      <c r="AH50" s="493"/>
      <c r="AI50" s="493"/>
      <c r="AJ50" s="493"/>
      <c r="AK50" s="493"/>
    </row>
    <row r="51" spans="1:37" s="370" customFormat="1" ht="18.75" customHeight="1" x14ac:dyDescent="0.35">
      <c r="A51" s="493" t="s">
        <v>290</v>
      </c>
      <c r="B51" s="687"/>
      <c r="C51" s="493"/>
      <c r="D51" s="493"/>
      <c r="E51" s="58"/>
      <c r="F51" s="493"/>
      <c r="G51" s="493"/>
      <c r="H51" s="58"/>
      <c r="I51" s="493"/>
      <c r="J51" s="493"/>
      <c r="K51" s="58"/>
      <c r="L51" s="493"/>
      <c r="M51" s="493"/>
      <c r="N51" s="58"/>
      <c r="O51" s="493"/>
      <c r="P51" s="493"/>
      <c r="Q51" s="58"/>
      <c r="R51" s="493"/>
      <c r="S51" s="493"/>
      <c r="T51" s="58"/>
      <c r="U51" s="493"/>
      <c r="V51" s="493"/>
      <c r="W51" s="58"/>
      <c r="X51" s="493"/>
      <c r="Y51" s="493"/>
      <c r="Z51" s="713">
        <v>-1548.9563366499999</v>
      </c>
      <c r="AA51" s="712">
        <v>-3003.2985473600002</v>
      </c>
      <c r="AB51" s="493"/>
      <c r="AC51" s="58"/>
      <c r="AD51" s="493"/>
      <c r="AE51" s="493"/>
      <c r="AF51" s="493"/>
      <c r="AG51" s="493"/>
      <c r="AH51" s="493"/>
      <c r="AI51" s="493"/>
      <c r="AJ51" s="493"/>
      <c r="AK51" s="493"/>
    </row>
    <row r="52" spans="1:37" s="370" customFormat="1" ht="18.75" customHeight="1" x14ac:dyDescent="0.35">
      <c r="A52" s="493" t="s">
        <v>291</v>
      </c>
      <c r="B52" s="687"/>
      <c r="C52" s="493"/>
      <c r="D52" s="493"/>
      <c r="E52" s="58"/>
      <c r="F52" s="493"/>
      <c r="G52" s="493"/>
      <c r="H52" s="58"/>
      <c r="I52" s="493"/>
      <c r="J52" s="493"/>
      <c r="K52" s="58"/>
      <c r="L52" s="493"/>
      <c r="M52" s="493"/>
      <c r="N52" s="58"/>
      <c r="O52" s="493"/>
      <c r="P52" s="493"/>
      <c r="Q52" s="58"/>
      <c r="R52" s="493"/>
      <c r="S52" s="493"/>
      <c r="T52" s="58"/>
      <c r="U52" s="493"/>
      <c r="V52" s="493"/>
      <c r="W52" s="58"/>
      <c r="X52" s="493"/>
      <c r="Y52" s="493"/>
      <c r="Z52" s="58"/>
      <c r="AA52" s="712">
        <f>AA50+AA51</f>
        <v>-3003.2985473600002</v>
      </c>
      <c r="AB52" s="493"/>
      <c r="AC52" s="58"/>
      <c r="AD52" s="493"/>
      <c r="AE52" s="493"/>
      <c r="AF52" s="493"/>
      <c r="AG52" s="493"/>
      <c r="AH52" s="493"/>
      <c r="AI52" s="493"/>
      <c r="AJ52" s="493"/>
      <c r="AK52" s="493"/>
    </row>
    <row r="53" spans="1:37" s="370" customFormat="1" ht="18.75" customHeight="1" x14ac:dyDescent="0.35">
      <c r="A53" s="493" t="s">
        <v>292</v>
      </c>
      <c r="B53" s="687"/>
      <c r="C53" s="493"/>
      <c r="D53" s="493"/>
      <c r="E53" s="58"/>
      <c r="F53" s="493"/>
      <c r="G53" s="493"/>
      <c r="H53" s="58"/>
      <c r="I53" s="493"/>
      <c r="J53" s="493"/>
      <c r="K53" s="58"/>
      <c r="L53" s="493"/>
      <c r="M53" s="493"/>
      <c r="N53" s="58"/>
      <c r="O53" s="493"/>
      <c r="P53" s="493"/>
      <c r="Q53" s="58"/>
      <c r="R53" s="493"/>
      <c r="S53" s="493"/>
      <c r="T53" s="58"/>
      <c r="U53" s="493"/>
      <c r="V53" s="493"/>
      <c r="W53" s="58"/>
      <c r="X53" s="493"/>
      <c r="Y53" s="493"/>
      <c r="Z53" s="58"/>
      <c r="AA53" s="493"/>
      <c r="AB53" s="493"/>
      <c r="AC53" s="58"/>
      <c r="AD53" s="493"/>
      <c r="AE53" s="493"/>
      <c r="AF53" s="493"/>
      <c r="AG53" s="493"/>
      <c r="AH53" s="493"/>
      <c r="AI53" s="493"/>
      <c r="AJ53" s="493"/>
      <c r="AK53" s="493"/>
    </row>
    <row r="54" spans="1:37" s="370" customFormat="1" ht="18.75" customHeight="1" x14ac:dyDescent="0.35">
      <c r="A54" s="493" t="s">
        <v>293</v>
      </c>
      <c r="B54" s="687"/>
      <c r="C54" s="493"/>
      <c r="D54" s="493"/>
      <c r="E54" s="58"/>
      <c r="F54" s="493"/>
      <c r="G54" s="493"/>
      <c r="H54" s="58"/>
      <c r="I54" s="493"/>
      <c r="J54" s="493"/>
      <c r="K54" s="58"/>
      <c r="L54" s="493"/>
      <c r="M54" s="493"/>
      <c r="N54" s="58"/>
      <c r="O54" s="493"/>
      <c r="P54" s="493"/>
      <c r="Q54" s="58"/>
      <c r="R54" s="493"/>
      <c r="S54" s="493"/>
      <c r="T54" s="58"/>
      <c r="U54" s="493"/>
      <c r="V54" s="493"/>
      <c r="W54" s="58"/>
      <c r="X54" s="493"/>
      <c r="Y54" s="493"/>
      <c r="Z54" s="58"/>
      <c r="AA54" s="493"/>
      <c r="AB54" s="493"/>
      <c r="AC54" s="58"/>
      <c r="AD54" s="493"/>
      <c r="AE54" s="493"/>
      <c r="AF54" s="493"/>
      <c r="AG54" s="493"/>
      <c r="AH54" s="493"/>
      <c r="AI54" s="493"/>
      <c r="AJ54" s="493"/>
      <c r="AK54" s="493"/>
    </row>
    <row r="55" spans="1:37" s="370" customFormat="1" ht="18.75" customHeight="1" x14ac:dyDescent="0.35">
      <c r="A55" s="493" t="s">
        <v>294</v>
      </c>
      <c r="B55" s="687"/>
      <c r="C55" s="493"/>
      <c r="D55" s="493"/>
      <c r="E55" s="58"/>
      <c r="F55" s="493"/>
      <c r="G55" s="493"/>
      <c r="H55" s="58"/>
      <c r="I55" s="493"/>
      <c r="J55" s="493"/>
      <c r="K55" s="58"/>
      <c r="L55" s="493"/>
      <c r="M55" s="493"/>
      <c r="N55" s="58"/>
      <c r="O55" s="493"/>
      <c r="P55" s="493"/>
      <c r="Q55" s="58"/>
      <c r="R55" s="493"/>
      <c r="S55" s="493"/>
      <c r="T55" s="58"/>
      <c r="U55" s="493"/>
      <c r="V55" s="493"/>
      <c r="W55" s="58">
        <v>-251</v>
      </c>
      <c r="X55" s="712">
        <v>-493.26684699999998</v>
      </c>
      <c r="Y55" s="493"/>
      <c r="Z55" s="713">
        <v>4149.5</v>
      </c>
      <c r="AA55" s="493">
        <v>6070</v>
      </c>
      <c r="AB55" s="493"/>
      <c r="AC55" s="58"/>
      <c r="AD55" s="493"/>
      <c r="AE55" s="493"/>
      <c r="AF55" s="493"/>
      <c r="AG55" s="493"/>
      <c r="AH55" s="493"/>
      <c r="AI55" s="493"/>
      <c r="AJ55" s="493"/>
      <c r="AK55" s="493"/>
    </row>
    <row r="56" spans="1:37" s="370" customFormat="1" ht="18.75" customHeight="1" x14ac:dyDescent="0.35">
      <c r="A56" s="493" t="s">
        <v>295</v>
      </c>
      <c r="B56" s="687"/>
      <c r="C56" s="493"/>
      <c r="D56" s="493"/>
      <c r="E56" s="58"/>
      <c r="F56" s="493"/>
      <c r="G56" s="493"/>
      <c r="H56" s="58"/>
      <c r="I56" s="493"/>
      <c r="J56" s="493"/>
      <c r="K56" s="58"/>
      <c r="L56" s="493"/>
      <c r="M56" s="493"/>
      <c r="N56" s="58"/>
      <c r="O56" s="493"/>
      <c r="P56" s="493"/>
      <c r="Q56" s="674">
        <v>1273.3369602000018</v>
      </c>
      <c r="R56" s="675">
        <v>1322.3181090500036</v>
      </c>
      <c r="S56" s="493"/>
      <c r="T56" s="58"/>
      <c r="U56" s="493"/>
      <c r="V56" s="493"/>
      <c r="W56" s="58">
        <v>-41</v>
      </c>
      <c r="X56" s="712">
        <v>-42.344908059999966</v>
      </c>
      <c r="Y56" s="493"/>
      <c r="Z56" s="713"/>
      <c r="AA56" s="493"/>
      <c r="AB56" s="493"/>
      <c r="AC56" s="58">
        <v>35</v>
      </c>
      <c r="AD56" s="493">
        <v>33</v>
      </c>
      <c r="AE56" s="493"/>
      <c r="AF56" s="493"/>
      <c r="AG56" s="493"/>
      <c r="AH56" s="493"/>
      <c r="AI56" s="493"/>
      <c r="AJ56" s="493"/>
      <c r="AK56" s="493"/>
    </row>
    <row r="57" spans="1:37" s="370" customFormat="1" ht="18.75" customHeight="1" x14ac:dyDescent="0.35">
      <c r="A57" s="493" t="s">
        <v>296</v>
      </c>
      <c r="B57" s="687"/>
      <c r="C57" s="493"/>
      <c r="D57" s="493"/>
      <c r="E57" s="58"/>
      <c r="F57" s="493"/>
      <c r="G57" s="493"/>
      <c r="H57" s="58"/>
      <c r="I57" s="493"/>
      <c r="J57" s="493"/>
      <c r="K57" s="58"/>
      <c r="L57" s="493"/>
      <c r="M57" s="493"/>
      <c r="N57" s="58"/>
      <c r="O57" s="493"/>
      <c r="P57" s="493"/>
      <c r="Q57" s="674">
        <f>Q54+Q55+Q56</f>
        <v>1273.3369602000018</v>
      </c>
      <c r="R57" s="675">
        <f>R54+R55+R56</f>
        <v>1322.3181090500036</v>
      </c>
      <c r="S57" s="493"/>
      <c r="T57" s="58"/>
      <c r="U57" s="493"/>
      <c r="V57" s="493"/>
      <c r="W57" s="58">
        <f>W54+W55+W56</f>
        <v>-292</v>
      </c>
      <c r="X57" s="712">
        <f>X54+X55+X56</f>
        <v>-535.61175505999995</v>
      </c>
      <c r="Y57" s="493"/>
      <c r="Z57" s="713">
        <f>Z54+Z55+Z56</f>
        <v>4149.5</v>
      </c>
      <c r="AA57" s="493">
        <f>AA54+AA55+AA56</f>
        <v>6070</v>
      </c>
      <c r="AB57" s="493"/>
      <c r="AC57" s="58">
        <f>AC54+AC55+AC56</f>
        <v>35</v>
      </c>
      <c r="AD57" s="493">
        <f>AD54+AD55+AD56</f>
        <v>33</v>
      </c>
      <c r="AE57" s="493"/>
      <c r="AF57" s="493"/>
      <c r="AG57" s="493"/>
      <c r="AH57" s="493"/>
      <c r="AI57" s="493"/>
      <c r="AJ57" s="493"/>
      <c r="AK57" s="493"/>
    </row>
    <row r="58" spans="1:37" s="483" customFormat="1" ht="18.75" customHeight="1" x14ac:dyDescent="0.35">
      <c r="A58" s="741" t="s">
        <v>297</v>
      </c>
      <c r="B58" s="688"/>
      <c r="C58" s="667"/>
      <c r="D58" s="667"/>
      <c r="E58" s="666"/>
      <c r="F58" s="667"/>
      <c r="G58" s="667"/>
      <c r="H58" s="666"/>
      <c r="I58" s="667"/>
      <c r="J58" s="667"/>
      <c r="K58" s="666"/>
      <c r="L58" s="667"/>
      <c r="M58" s="667"/>
      <c r="N58" s="666"/>
      <c r="O58" s="667"/>
      <c r="P58" s="667"/>
      <c r="Q58" s="676">
        <f>Q52+Q57</f>
        <v>1273.3369602000018</v>
      </c>
      <c r="R58" s="677">
        <f>R52+R57</f>
        <v>1322.3181090500036</v>
      </c>
      <c r="S58" s="667"/>
      <c r="T58" s="666"/>
      <c r="U58" s="667"/>
      <c r="V58" s="667"/>
      <c r="W58" s="666">
        <f>W52+W57</f>
        <v>-292</v>
      </c>
      <c r="X58" s="715">
        <f>X52+X57</f>
        <v>-535.61175505999995</v>
      </c>
      <c r="Y58" s="667"/>
      <c r="Z58" s="714">
        <f>Z52+Z57</f>
        <v>4149.5</v>
      </c>
      <c r="AA58" s="715">
        <f>AA52+AA57</f>
        <v>3066.7014526399998</v>
      </c>
      <c r="AB58" s="667"/>
      <c r="AC58" s="666">
        <f>AC52+AC57</f>
        <v>35</v>
      </c>
      <c r="AD58" s="667">
        <f>AD52+AD57</f>
        <v>33</v>
      </c>
      <c r="AE58" s="667"/>
      <c r="AF58" s="667"/>
      <c r="AG58" s="667"/>
      <c r="AH58" s="667"/>
      <c r="AI58" s="667"/>
      <c r="AJ58" s="667"/>
      <c r="AK58" s="667"/>
    </row>
    <row r="59" spans="1:37" s="373" customFormat="1" ht="18.75" customHeight="1" x14ac:dyDescent="0.35">
      <c r="A59" s="370" t="s">
        <v>298</v>
      </c>
    </row>
    <row r="60" spans="1:37" s="373" customFormat="1" ht="18.75" customHeight="1" x14ac:dyDescent="0.35">
      <c r="A60" s="370" t="s">
        <v>299</v>
      </c>
    </row>
    <row r="61" spans="1:37" s="373" customFormat="1" ht="18.75" customHeight="1" x14ac:dyDescent="0.35">
      <c r="A61" s="370" t="s">
        <v>300</v>
      </c>
    </row>
    <row r="62" spans="1:37" s="373" customFormat="1" ht="18" x14ac:dyDescent="0.35"/>
    <row r="63" spans="1:37" s="489" customFormat="1" x14ac:dyDescent="0.25">
      <c r="AF63" s="490"/>
    </row>
  </sheetData>
  <mergeCells count="23">
    <mergeCell ref="AI6:AK6"/>
    <mergeCell ref="Q6:S6"/>
    <mergeCell ref="T6:V6"/>
    <mergeCell ref="W6:Y6"/>
    <mergeCell ref="Z6:AB6"/>
    <mergeCell ref="AC6:AE6"/>
    <mergeCell ref="AF6:AH6"/>
    <mergeCell ref="W5:Y5"/>
    <mergeCell ref="Z5:AB5"/>
    <mergeCell ref="AC5:AE5"/>
    <mergeCell ref="AF5:AH5"/>
    <mergeCell ref="AI5:AK5"/>
    <mergeCell ref="B6:D6"/>
    <mergeCell ref="E6:G6"/>
    <mergeCell ref="H6:J6"/>
    <mergeCell ref="K6:M6"/>
    <mergeCell ref="N6:P6"/>
    <mergeCell ref="T5:V5"/>
    <mergeCell ref="B5:D5"/>
    <mergeCell ref="E5:G5"/>
    <mergeCell ref="H5:J5"/>
    <mergeCell ref="K5:M5"/>
    <mergeCell ref="N5:P5"/>
  </mergeCells>
  <conditionalFormatting sqref="B14:C14">
    <cfRule type="expression" dxfId="711" priority="68">
      <formula>#REF! ="14≠11+12+13"</formula>
    </cfRule>
  </conditionalFormatting>
  <conditionalFormatting sqref="B21:C21">
    <cfRule type="expression" dxfId="710" priority="69">
      <formula>#REF! ="22≠19+20+21"</formula>
    </cfRule>
  </conditionalFormatting>
  <conditionalFormatting sqref="B25:C25 B27:C27">
    <cfRule type="expression" dxfId="709" priority="70">
      <formula>kvartal &lt; 4</formula>
    </cfRule>
  </conditionalFormatting>
  <conditionalFormatting sqref="B30:C30">
    <cfRule type="expression" dxfId="708" priority="67">
      <formula>#REF! ="30≠24+25+26+27+28+29"</formula>
    </cfRule>
  </conditionalFormatting>
  <conditionalFormatting sqref="B35:C35">
    <cfRule type="expression" dxfId="707" priority="72">
      <formula>#REF! ="35≠14+15+16+17+22+30+31+32+33+34"</formula>
    </cfRule>
  </conditionalFormatting>
  <conditionalFormatting sqref="B46:C46">
    <cfRule type="expression" dxfId="706" priority="71">
      <formula>#REF! ="46≠35+38+39+40+43+45"</formula>
    </cfRule>
  </conditionalFormatting>
  <conditionalFormatting sqref="E14:F14">
    <cfRule type="expression" dxfId="705" priority="79">
      <formula>#REF! ="14≠11+12+13"</formula>
    </cfRule>
  </conditionalFormatting>
  <conditionalFormatting sqref="E21:F21">
    <cfRule type="expression" dxfId="704" priority="80">
      <formula>#REF! ="22≠19+20+21"</formula>
    </cfRule>
  </conditionalFormatting>
  <conditionalFormatting sqref="E25:F25 E27:F27">
    <cfRule type="expression" dxfId="703" priority="81">
      <formula>kvartal &lt; 4</formula>
    </cfRule>
  </conditionalFormatting>
  <conditionalFormatting sqref="E30:F30">
    <cfRule type="expression" dxfId="702" priority="78">
      <formula>#REF! ="30≠24+25+26+27+28+29"</formula>
    </cfRule>
  </conditionalFormatting>
  <conditionalFormatting sqref="E35:F35">
    <cfRule type="expression" dxfId="701" priority="83">
      <formula>#REF! ="35≠14+15+16+17+22+30+31+32+33+34"</formula>
    </cfRule>
  </conditionalFormatting>
  <conditionalFormatting sqref="E46:F46">
    <cfRule type="expression" dxfId="700" priority="82">
      <formula>#REF! ="46≠35+38+39+40+43+45"</formula>
    </cfRule>
  </conditionalFormatting>
  <conditionalFormatting sqref="H14:I14">
    <cfRule type="expression" dxfId="699" priority="58">
      <formula>#REF! ="14≠11+12+13"</formula>
    </cfRule>
  </conditionalFormatting>
  <conditionalFormatting sqref="H21:I21">
    <cfRule type="expression" dxfId="698" priority="59">
      <formula>#REF! ="22≠19+20+21"</formula>
    </cfRule>
  </conditionalFormatting>
  <conditionalFormatting sqref="H25:I25 H27:I27">
    <cfRule type="expression" dxfId="697" priority="60">
      <formula>kvartal &lt; 4</formula>
    </cfRule>
  </conditionalFormatting>
  <conditionalFormatting sqref="H30:I30">
    <cfRule type="expression" dxfId="696" priority="56">
      <formula>#REF! ="30≠24+25+26+27+28+29"</formula>
    </cfRule>
  </conditionalFormatting>
  <conditionalFormatting sqref="H35:I35">
    <cfRule type="expression" dxfId="695" priority="57">
      <formula>#REF! ="35≠14+15+16+17+22+30+31+32+33+34"</formula>
    </cfRule>
  </conditionalFormatting>
  <conditionalFormatting sqref="H46:I46">
    <cfRule type="expression" dxfId="694" priority="61">
      <formula>#REF! ="46≠35+38+39+40+43+45"</formula>
    </cfRule>
  </conditionalFormatting>
  <conditionalFormatting sqref="K14:L14">
    <cfRule type="expression" dxfId="693" priority="15">
      <formula>#REF! ="14≠11+12+13"</formula>
    </cfRule>
  </conditionalFormatting>
  <conditionalFormatting sqref="K21:L21">
    <cfRule type="expression" dxfId="692" priority="16">
      <formula>#REF! ="22≠19+20+21"</formula>
    </cfRule>
  </conditionalFormatting>
  <conditionalFormatting sqref="K25:L25 K27:L27">
    <cfRule type="expression" dxfId="691" priority="17">
      <formula>kvartal &lt; 4</formula>
    </cfRule>
  </conditionalFormatting>
  <conditionalFormatting sqref="K30:L30">
    <cfRule type="expression" dxfId="690" priority="12">
      <formula>#REF! ="30≠24+25+26+27+28+29"</formula>
    </cfRule>
  </conditionalFormatting>
  <conditionalFormatting sqref="K35:L35">
    <cfRule type="expression" dxfId="689" priority="13">
      <formula>#REF! ="35≠14+15+16+17+22+30+31+32+33+34"</formula>
    </cfRule>
  </conditionalFormatting>
  <conditionalFormatting sqref="K46:L46">
    <cfRule type="expression" dxfId="688" priority="14">
      <formula>#REF! ="46≠35+38+39+40+43+45"</formula>
    </cfRule>
  </conditionalFormatting>
  <conditionalFormatting sqref="N14:O14">
    <cfRule type="expression" dxfId="687" priority="2">
      <formula>#REF! ="14≠11+12+13"</formula>
    </cfRule>
  </conditionalFormatting>
  <conditionalFormatting sqref="N21:O21">
    <cfRule type="expression" dxfId="686" priority="3">
      <formula>#REF! ="22≠19+20+21"</formula>
    </cfRule>
  </conditionalFormatting>
  <conditionalFormatting sqref="N25:O25 N27:O27">
    <cfRule type="expression" dxfId="685" priority="4">
      <formula>kvartal &lt; 4</formula>
    </cfRule>
  </conditionalFormatting>
  <conditionalFormatting sqref="N30:O30">
    <cfRule type="expression" dxfId="684" priority="1">
      <formula>#REF! ="30≠24+25+26+27+28+29"</formula>
    </cfRule>
  </conditionalFormatting>
  <conditionalFormatting sqref="N35:O35">
    <cfRule type="expression" dxfId="683" priority="5">
      <formula>#REF! ="35≠14+15+16+17+22+30+31+32+33+34"</formula>
    </cfRule>
  </conditionalFormatting>
  <conditionalFormatting sqref="N46:O46">
    <cfRule type="expression" dxfId="682" priority="6">
      <formula>#REF! ="46≠35+38+39+40+43+45"</formula>
    </cfRule>
  </conditionalFormatting>
  <conditionalFormatting sqref="Q14:R14">
    <cfRule type="expression" dxfId="681" priority="90">
      <formula>#REF! ="14≠11+12+13"</formula>
    </cfRule>
  </conditionalFormatting>
  <conditionalFormatting sqref="Q21:R21">
    <cfRule type="expression" dxfId="680" priority="91">
      <formula>#REF! ="22≠19+20+21"</formula>
    </cfRule>
  </conditionalFormatting>
  <conditionalFormatting sqref="Q25:R25 Q27:R27">
    <cfRule type="expression" dxfId="679" priority="92">
      <formula>kvartal &lt; 4</formula>
    </cfRule>
  </conditionalFormatting>
  <conditionalFormatting sqref="Q30:R30">
    <cfRule type="expression" dxfId="678" priority="89">
      <formula>#REF! ="30≠24+25+26+27+28+29"</formula>
    </cfRule>
  </conditionalFormatting>
  <conditionalFormatting sqref="Q35:R35">
    <cfRule type="expression" dxfId="677" priority="93">
      <formula>#REF! ="35≠14+15+16+17+22+30+31+32+33+34"</formula>
    </cfRule>
  </conditionalFormatting>
  <conditionalFormatting sqref="Q46:R46">
    <cfRule type="expression" dxfId="676" priority="94">
      <formula>#REF! ="46≠35+38+39+40+43+45"</formula>
    </cfRule>
  </conditionalFormatting>
  <conditionalFormatting sqref="T14:U14">
    <cfRule type="expression" dxfId="675" priority="100">
      <formula>#REF! ="14≠11+12+13"</formula>
    </cfRule>
  </conditionalFormatting>
  <conditionalFormatting sqref="T21:U21">
    <cfRule type="expression" dxfId="674" priority="104">
      <formula>#REF! ="22≠19+20+21"</formula>
    </cfRule>
  </conditionalFormatting>
  <conditionalFormatting sqref="T25:U25 T27:U27">
    <cfRule type="expression" dxfId="673" priority="105">
      <formula>kvartal &lt; 4</formula>
    </cfRule>
  </conditionalFormatting>
  <conditionalFormatting sqref="T30:U30">
    <cfRule type="expression" dxfId="672" priority="101">
      <formula>#REF! ="30≠24+25+26+27+28+29"</formula>
    </cfRule>
  </conditionalFormatting>
  <conditionalFormatting sqref="T35:U35">
    <cfRule type="expression" dxfId="671" priority="102">
      <formula>#REF! ="35≠14+15+16+17+22+30+31+32+33+34"</formula>
    </cfRule>
  </conditionalFormatting>
  <conditionalFormatting sqref="T46:U46">
    <cfRule type="expression" dxfId="670" priority="103">
      <formula>#REF! ="46≠35+38+39+40+43+45"</formula>
    </cfRule>
  </conditionalFormatting>
  <conditionalFormatting sqref="W14:X14">
    <cfRule type="expression" dxfId="669" priority="24">
      <formula>#REF! ="14≠11+12+13"</formula>
    </cfRule>
  </conditionalFormatting>
  <conditionalFormatting sqref="W21:X21">
    <cfRule type="expression" dxfId="668" priority="25">
      <formula>#REF! ="22≠19+20+21"</formula>
    </cfRule>
  </conditionalFormatting>
  <conditionalFormatting sqref="W25:X25 W27:X27">
    <cfRule type="expression" dxfId="667" priority="26">
      <formula>kvartal &lt; 4</formula>
    </cfRule>
  </conditionalFormatting>
  <conditionalFormatting sqref="W30:X30">
    <cfRule type="expression" dxfId="666" priority="23">
      <formula>#REF! ="30≠24+25+26+27+28+29"</formula>
    </cfRule>
  </conditionalFormatting>
  <conditionalFormatting sqref="W35:X35">
    <cfRule type="expression" dxfId="665" priority="27">
      <formula>#REF! ="35≠14+15+16+17+22+30+31+32+33+34"</formula>
    </cfRule>
  </conditionalFormatting>
  <conditionalFormatting sqref="W46:X46">
    <cfRule type="expression" dxfId="664" priority="28">
      <formula>#REF! ="46≠35+38+39+40+43+45"</formula>
    </cfRule>
  </conditionalFormatting>
  <conditionalFormatting sqref="Z14:AA14">
    <cfRule type="expression" dxfId="663" priority="46">
      <formula>#REF! ="14≠11+12+13"</formula>
    </cfRule>
  </conditionalFormatting>
  <conditionalFormatting sqref="Z21:AA21">
    <cfRule type="expression" dxfId="662" priority="47">
      <formula>#REF! ="22≠19+20+21"</formula>
    </cfRule>
  </conditionalFormatting>
  <conditionalFormatting sqref="Z25:AA25 Z27:AA27">
    <cfRule type="expression" dxfId="661" priority="48">
      <formula>kvartal &lt; 4</formula>
    </cfRule>
  </conditionalFormatting>
  <conditionalFormatting sqref="Z30:AA30">
    <cfRule type="expression" dxfId="660" priority="45">
      <formula>#REF! ="30≠24+25+26+27+28+29"</formula>
    </cfRule>
  </conditionalFormatting>
  <conditionalFormatting sqref="Z35:AA35">
    <cfRule type="expression" dxfId="659" priority="49">
      <formula>#REF! ="35≠14+15+16+17+22+30+31+32+33+34"</formula>
    </cfRule>
  </conditionalFormatting>
  <conditionalFormatting sqref="Z46:AA46">
    <cfRule type="expression" dxfId="658" priority="50">
      <formula>#REF! ="46≠35+38+39+40+43+45"</formula>
    </cfRule>
  </conditionalFormatting>
  <conditionalFormatting sqref="AC14:AD14">
    <cfRule type="expression" dxfId="657" priority="35">
      <formula>#REF! ="14≠11+12+13"</formula>
    </cfRule>
  </conditionalFormatting>
  <conditionalFormatting sqref="AC21:AD21">
    <cfRule type="expression" dxfId="656" priority="36">
      <formula>#REF! ="22≠19+20+21"</formula>
    </cfRule>
  </conditionalFormatting>
  <conditionalFormatting sqref="AC25:AD25 AC27:AD27">
    <cfRule type="expression" dxfId="655" priority="37">
      <formula>kvartal &lt; 4</formula>
    </cfRule>
  </conditionalFormatting>
  <conditionalFormatting sqref="AC30:AD30">
    <cfRule type="expression" dxfId="654" priority="34">
      <formula>#REF! ="30≠24+25+26+27+28+29"</formula>
    </cfRule>
  </conditionalFormatting>
  <conditionalFormatting sqref="AC35:AD35">
    <cfRule type="expression" dxfId="653" priority="38">
      <formula>#REF! ="35≠14+15+16+17+22+30+31+32+33+34"</formula>
    </cfRule>
  </conditionalFormatting>
  <conditionalFormatting sqref="AC46:AD46">
    <cfRule type="expression" dxfId="652" priority="39">
      <formula>#REF! ="46≠35+38+39+40+43+45"</formula>
    </cfRule>
  </conditionalFormatting>
  <conditionalFormatting sqref="AF35:AG35 AI35:AJ35">
    <cfRule type="expression" dxfId="651" priority="518">
      <formula>#REF! ="35≠14+15+16+17+22+30+31+32+33+34"</formula>
    </cfRule>
  </conditionalFormatting>
  <conditionalFormatting sqref="AG25 AG27">
    <cfRule type="expression" dxfId="650" priority="111">
      <formula>kvartal &lt; 4</formula>
    </cfRule>
  </conditionalFormatting>
  <conditionalFormatting sqref="AI30:AJ30">
    <cfRule type="expression" dxfId="649" priority="517">
      <formula>#REF! ="30≠24+25+26+27+28+29"</formula>
    </cfRule>
  </conditionalFormatting>
  <conditionalFormatting sqref="AI46:AJ46">
    <cfRule type="expression" dxfId="648" priority="519">
      <formula>#REF! ="46≠35+38+39+40+43+45"</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E678-AE6F-4225-9279-A2091CE71663}">
  <sheetPr codeName="Ark35"/>
  <dimension ref="A1:AL189"/>
  <sheetViews>
    <sheetView showGridLines="0" zoomScale="70" zoomScaleNormal="70" workbookViewId="0">
      <pane xSplit="1" ySplit="9" topLeftCell="B10" activePane="bottomRight" state="frozen"/>
      <selection activeCell="X52" sqref="X52"/>
      <selection pane="topRight" activeCell="X52" sqref="X52"/>
      <selection pane="bottomLeft" activeCell="X52" sqref="X52"/>
      <selection pane="bottomRight" activeCell="A5" sqref="A5"/>
    </sheetView>
  </sheetViews>
  <sheetFormatPr baseColWidth="10" defaultColWidth="11.44140625" defaultRowHeight="13.2" x14ac:dyDescent="0.25"/>
  <cols>
    <col min="1" max="1" width="68.5546875" style="402" customWidth="1"/>
    <col min="2" max="37" width="11.6640625" style="402" customWidth="1"/>
    <col min="38" max="38" width="14.6640625" style="402" customWidth="1"/>
    <col min="39" max="16384" width="11.44140625" style="402"/>
  </cols>
  <sheetData>
    <row r="1" spans="1:38" ht="20.25" customHeight="1" x14ac:dyDescent="0.35">
      <c r="A1" s="401" t="s">
        <v>301</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row>
    <row r="2" spans="1:38" ht="20.100000000000001" customHeight="1" x14ac:dyDescent="0.35">
      <c r="A2" s="401" t="s">
        <v>29</v>
      </c>
      <c r="B2" s="395"/>
      <c r="C2" s="395"/>
      <c r="D2" s="395"/>
      <c r="E2" s="515"/>
      <c r="F2" s="516"/>
      <c r="G2" s="516"/>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row>
    <row r="3" spans="1:38" ht="20.100000000000001" customHeight="1" x14ac:dyDescent="0.35">
      <c r="A3" s="528" t="s">
        <v>302</v>
      </c>
      <c r="B3" s="514"/>
      <c r="C3" s="514"/>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row>
    <row r="4" spans="1:38" ht="20.100000000000001" customHeight="1" x14ac:dyDescent="0.35">
      <c r="A4" s="529" t="s">
        <v>303</v>
      </c>
      <c r="B4" s="519"/>
      <c r="C4" s="519"/>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row>
    <row r="5" spans="1:38" ht="18.75" customHeight="1" x14ac:dyDescent="0.35">
      <c r="A5" s="530" t="s">
        <v>235</v>
      </c>
      <c r="B5" s="405"/>
      <c r="C5" s="406"/>
      <c r="D5" s="407"/>
      <c r="E5" s="405"/>
      <c r="F5" s="406"/>
      <c r="G5" s="407"/>
      <c r="H5" s="405"/>
      <c r="I5" s="406"/>
      <c r="J5" s="407"/>
      <c r="K5" s="406"/>
      <c r="L5" s="406"/>
      <c r="M5" s="406"/>
      <c r="N5" s="405"/>
      <c r="O5" s="406"/>
      <c r="P5" s="407"/>
      <c r="Q5" s="405"/>
      <c r="R5" s="406"/>
      <c r="S5" s="407"/>
      <c r="T5" s="405"/>
      <c r="U5" s="406"/>
      <c r="V5" s="407"/>
      <c r="W5" s="405"/>
      <c r="X5" s="406"/>
      <c r="Y5" s="407"/>
      <c r="Z5" s="405"/>
      <c r="AA5" s="406"/>
      <c r="AB5" s="407"/>
      <c r="AC5" s="406"/>
      <c r="AD5" s="406"/>
      <c r="AE5" s="406"/>
      <c r="AF5" s="405"/>
      <c r="AG5" s="406"/>
      <c r="AH5" s="407"/>
      <c r="AI5" s="405"/>
      <c r="AJ5" s="406"/>
      <c r="AK5" s="407"/>
      <c r="AL5" s="395"/>
    </row>
    <row r="6" spans="1:38" ht="18.75" customHeight="1" x14ac:dyDescent="0.35">
      <c r="A6" s="410" t="s">
        <v>120</v>
      </c>
      <c r="B6" s="787" t="s">
        <v>236</v>
      </c>
      <c r="C6" s="788"/>
      <c r="D6" s="789"/>
      <c r="E6" s="787"/>
      <c r="F6" s="788"/>
      <c r="G6" s="789"/>
      <c r="H6" s="787" t="s">
        <v>237</v>
      </c>
      <c r="I6" s="788"/>
      <c r="J6" s="789"/>
      <c r="K6" s="787" t="s">
        <v>238</v>
      </c>
      <c r="L6" s="788"/>
      <c r="M6" s="789"/>
      <c r="N6" s="641" t="s">
        <v>304</v>
      </c>
      <c r="O6" s="642"/>
      <c r="P6" s="643"/>
      <c r="Q6" s="641"/>
      <c r="R6" s="642"/>
      <c r="S6" s="643"/>
      <c r="T6" s="787" t="s">
        <v>239</v>
      </c>
      <c r="U6" s="788"/>
      <c r="V6" s="789"/>
      <c r="W6" s="787" t="s">
        <v>247</v>
      </c>
      <c r="X6" s="788"/>
      <c r="Y6" s="789"/>
      <c r="Z6" s="787" t="s">
        <v>240</v>
      </c>
      <c r="AA6" s="788"/>
      <c r="AB6" s="789"/>
      <c r="AC6" s="787" t="s">
        <v>241</v>
      </c>
      <c r="AD6" s="788"/>
      <c r="AE6" s="789"/>
      <c r="AF6" s="787" t="s">
        <v>121</v>
      </c>
      <c r="AG6" s="788"/>
      <c r="AH6" s="789"/>
      <c r="AI6" s="787" t="s">
        <v>121</v>
      </c>
      <c r="AJ6" s="788"/>
      <c r="AK6" s="789"/>
      <c r="AL6" s="395"/>
    </row>
    <row r="7" spans="1:38" ht="21" customHeight="1" x14ac:dyDescent="0.35">
      <c r="A7" s="411"/>
      <c r="B7" s="790" t="s">
        <v>243</v>
      </c>
      <c r="C7" s="791"/>
      <c r="D7" s="792"/>
      <c r="E7" s="790" t="s">
        <v>244</v>
      </c>
      <c r="F7" s="791"/>
      <c r="G7" s="792"/>
      <c r="H7" s="790" t="s">
        <v>243</v>
      </c>
      <c r="I7" s="791"/>
      <c r="J7" s="792"/>
      <c r="K7" s="790" t="s">
        <v>245</v>
      </c>
      <c r="L7" s="791"/>
      <c r="M7" s="792"/>
      <c r="N7" s="790" t="s">
        <v>55</v>
      </c>
      <c r="O7" s="791"/>
      <c r="P7" s="792"/>
      <c r="Q7" s="790" t="s">
        <v>60</v>
      </c>
      <c r="R7" s="791"/>
      <c r="S7" s="792"/>
      <c r="T7" s="790" t="s">
        <v>246</v>
      </c>
      <c r="U7" s="791"/>
      <c r="V7" s="792"/>
      <c r="W7" s="790" t="s">
        <v>305</v>
      </c>
      <c r="X7" s="791"/>
      <c r="Y7" s="792"/>
      <c r="Z7" s="790" t="s">
        <v>243</v>
      </c>
      <c r="AA7" s="791"/>
      <c r="AB7" s="792"/>
      <c r="AC7" s="790" t="s">
        <v>243</v>
      </c>
      <c r="AD7" s="791"/>
      <c r="AE7" s="792"/>
      <c r="AF7" s="790" t="s">
        <v>248</v>
      </c>
      <c r="AG7" s="791"/>
      <c r="AH7" s="792"/>
      <c r="AI7" s="793" t="s">
        <v>249</v>
      </c>
      <c r="AJ7" s="794"/>
      <c r="AK7" s="795"/>
      <c r="AL7" s="395"/>
    </row>
    <row r="8" spans="1:38" ht="18.75" customHeight="1" x14ac:dyDescent="0.35">
      <c r="A8" s="411"/>
      <c r="B8" s="412"/>
      <c r="C8" s="412"/>
      <c r="D8" s="413" t="s">
        <v>85</v>
      </c>
      <c r="E8" s="412"/>
      <c r="F8" s="412"/>
      <c r="G8" s="413" t="s">
        <v>85</v>
      </c>
      <c r="H8" s="412"/>
      <c r="I8" s="412"/>
      <c r="J8" s="413" t="s">
        <v>85</v>
      </c>
      <c r="K8" s="412"/>
      <c r="L8" s="412"/>
      <c r="M8" s="413" t="s">
        <v>85</v>
      </c>
      <c r="N8" s="412"/>
      <c r="O8" s="412"/>
      <c r="P8" s="413" t="s">
        <v>85</v>
      </c>
      <c r="Q8" s="412"/>
      <c r="R8" s="412"/>
      <c r="S8" s="413" t="s">
        <v>85</v>
      </c>
      <c r="T8" s="412"/>
      <c r="U8" s="412"/>
      <c r="V8" s="413" t="s">
        <v>85</v>
      </c>
      <c r="W8" s="412"/>
      <c r="X8" s="412"/>
      <c r="Y8" s="413" t="s">
        <v>85</v>
      </c>
      <c r="Z8" s="412"/>
      <c r="AA8" s="412"/>
      <c r="AB8" s="413" t="s">
        <v>85</v>
      </c>
      <c r="AC8" s="412"/>
      <c r="AD8" s="412"/>
      <c r="AE8" s="413" t="s">
        <v>85</v>
      </c>
      <c r="AF8" s="412"/>
      <c r="AG8" s="412"/>
      <c r="AH8" s="413" t="s">
        <v>85</v>
      </c>
      <c r="AI8" s="412"/>
      <c r="AJ8" s="412"/>
      <c r="AK8" s="413" t="s">
        <v>85</v>
      </c>
      <c r="AL8" s="395"/>
    </row>
    <row r="9" spans="1:38" ht="18.75" customHeight="1" x14ac:dyDescent="0.35">
      <c r="A9" s="531" t="s">
        <v>250</v>
      </c>
      <c r="B9" s="415">
        <v>2024</v>
      </c>
      <c r="C9" s="415">
        <v>2025</v>
      </c>
      <c r="D9" s="416" t="s">
        <v>88</v>
      </c>
      <c r="E9" s="415">
        <f>$B$9</f>
        <v>2024</v>
      </c>
      <c r="F9" s="415">
        <f>$C$9</f>
        <v>2025</v>
      </c>
      <c r="G9" s="416" t="s">
        <v>88</v>
      </c>
      <c r="H9" s="415">
        <f>$B$9</f>
        <v>2024</v>
      </c>
      <c r="I9" s="415">
        <f>$C$9</f>
        <v>2025</v>
      </c>
      <c r="J9" s="416" t="s">
        <v>88</v>
      </c>
      <c r="K9" s="415">
        <f>$B$9</f>
        <v>2024</v>
      </c>
      <c r="L9" s="415">
        <f>$C$9</f>
        <v>2025</v>
      </c>
      <c r="M9" s="416" t="s">
        <v>88</v>
      </c>
      <c r="N9" s="415">
        <f>$B$9</f>
        <v>2024</v>
      </c>
      <c r="O9" s="415">
        <f>$C$9</f>
        <v>2025</v>
      </c>
      <c r="P9" s="416" t="s">
        <v>88</v>
      </c>
      <c r="Q9" s="415">
        <f>$B$9</f>
        <v>2024</v>
      </c>
      <c r="R9" s="415">
        <f>$C$9</f>
        <v>2025</v>
      </c>
      <c r="S9" s="416" t="s">
        <v>88</v>
      </c>
      <c r="T9" s="415">
        <f>$B$9</f>
        <v>2024</v>
      </c>
      <c r="U9" s="415">
        <f>$C$9</f>
        <v>2025</v>
      </c>
      <c r="V9" s="416" t="s">
        <v>88</v>
      </c>
      <c r="W9" s="415">
        <f>$B$9</f>
        <v>2024</v>
      </c>
      <c r="X9" s="415">
        <f>$C$9</f>
        <v>2025</v>
      </c>
      <c r="Y9" s="416" t="s">
        <v>88</v>
      </c>
      <c r="Z9" s="415">
        <f>$B$9</f>
        <v>2024</v>
      </c>
      <c r="AA9" s="415">
        <f>$C$9</f>
        <v>2025</v>
      </c>
      <c r="AB9" s="416" t="s">
        <v>88</v>
      </c>
      <c r="AC9" s="415">
        <f>$B$9</f>
        <v>2024</v>
      </c>
      <c r="AD9" s="415">
        <f>$C$9</f>
        <v>2025</v>
      </c>
      <c r="AE9" s="416" t="s">
        <v>88</v>
      </c>
      <c r="AF9" s="415">
        <f>$B$9</f>
        <v>2024</v>
      </c>
      <c r="AG9" s="415">
        <f>$C$9</f>
        <v>2025</v>
      </c>
      <c r="AH9" s="416" t="s">
        <v>88</v>
      </c>
      <c r="AI9" s="415">
        <f>$B$9</f>
        <v>2024</v>
      </c>
      <c r="AJ9" s="415">
        <f>$C$9</f>
        <v>2025</v>
      </c>
      <c r="AK9" s="416" t="s">
        <v>88</v>
      </c>
      <c r="AL9" s="395"/>
    </row>
    <row r="10" spans="1:38" ht="18.75" customHeight="1" x14ac:dyDescent="0.35">
      <c r="A10" s="532"/>
      <c r="B10" s="689"/>
      <c r="C10" s="431"/>
      <c r="D10" s="533"/>
      <c r="E10" s="678"/>
      <c r="F10" s="431"/>
      <c r="G10" s="533"/>
      <c r="H10" s="678"/>
      <c r="I10" s="431"/>
      <c r="J10" s="533"/>
      <c r="K10" s="678"/>
      <c r="L10" s="431"/>
      <c r="M10" s="534"/>
      <c r="N10" s="431"/>
      <c r="O10" s="431"/>
      <c r="P10" s="533"/>
      <c r="Q10" s="678"/>
      <c r="R10" s="431"/>
      <c r="S10" s="533"/>
      <c r="T10" s="431"/>
      <c r="U10" s="431"/>
      <c r="V10" s="533"/>
      <c r="W10" s="678"/>
      <c r="X10" s="431"/>
      <c r="Y10" s="533"/>
      <c r="Z10" s="678"/>
      <c r="AA10" s="431"/>
      <c r="AB10" s="533"/>
      <c r="AC10" s="534"/>
      <c r="AD10" s="431"/>
      <c r="AE10" s="534"/>
      <c r="AF10" s="534"/>
      <c r="AG10" s="534"/>
      <c r="AH10" s="533"/>
      <c r="AI10" s="431"/>
      <c r="AJ10" s="431"/>
      <c r="AK10" s="533"/>
      <c r="AL10" s="395"/>
    </row>
    <row r="11" spans="1:38" s="395" customFormat="1" ht="18.75" customHeight="1" x14ac:dyDescent="0.35">
      <c r="A11" s="535" t="s">
        <v>306</v>
      </c>
      <c r="B11" s="690"/>
      <c r="C11" s="433"/>
      <c r="D11" s="536"/>
      <c r="E11" s="432"/>
      <c r="F11" s="433"/>
      <c r="G11" s="536"/>
      <c r="H11" s="432"/>
      <c r="I11" s="433"/>
      <c r="J11" s="536"/>
      <c r="K11" s="432"/>
      <c r="L11" s="433"/>
      <c r="M11" s="538"/>
      <c r="N11" s="433"/>
      <c r="O11" s="433"/>
      <c r="P11" s="536"/>
      <c r="Q11" s="432"/>
      <c r="R11" s="433"/>
      <c r="S11" s="539"/>
      <c r="T11" s="433"/>
      <c r="U11" s="433"/>
      <c r="V11" s="536"/>
      <c r="W11" s="432"/>
      <c r="X11" s="433"/>
      <c r="Y11" s="536"/>
      <c r="Z11" s="432"/>
      <c r="AA11" s="433"/>
      <c r="AB11" s="536"/>
      <c r="AC11" s="538"/>
      <c r="AD11" s="433"/>
      <c r="AE11" s="538"/>
      <c r="AF11" s="538"/>
      <c r="AG11" s="538"/>
      <c r="AH11" s="536"/>
      <c r="AI11" s="537"/>
      <c r="AJ11" s="537"/>
      <c r="AK11" s="536"/>
    </row>
    <row r="12" spans="1:38" s="395" customFormat="1" ht="18" x14ac:dyDescent="0.35">
      <c r="A12" s="750" t="s">
        <v>497</v>
      </c>
      <c r="B12" s="691">
        <v>22</v>
      </c>
      <c r="C12" s="692">
        <v>19.525297941653001</v>
      </c>
      <c r="D12" s="540">
        <f>IF(B12=0, "    ---- ", IF(ABS(ROUND(100/B12*C12-100,1))&lt;999,ROUND(100/B12*C12-100,1),IF(ROUND(100/B12*C12-100,1)&gt;999,999,-999)))</f>
        <v>-11.2</v>
      </c>
      <c r="E12" s="434"/>
      <c r="F12" s="435"/>
      <c r="G12" s="542"/>
      <c r="H12" s="434"/>
      <c r="I12" s="435"/>
      <c r="J12" s="542"/>
      <c r="K12" s="434"/>
      <c r="L12" s="435"/>
      <c r="M12" s="543"/>
      <c r="N12" s="435"/>
      <c r="O12" s="435"/>
      <c r="P12" s="542"/>
      <c r="Q12" s="434">
        <v>4.1930512110366189</v>
      </c>
      <c r="R12" s="435">
        <v>6.2101875060870757</v>
      </c>
      <c r="S12" s="540">
        <f t="shared" ref="S12:S58" si="0">IF(Q12=0, "    ---- ", IF(ABS(ROUND(100/Q12*R12-100,1))&lt;999,ROUND(100/Q12*R12-100,1),IF(ROUND(100/Q12*R12-100,1)&gt;999,999,-999)))</f>
        <v>48.1</v>
      </c>
      <c r="T12" s="435"/>
      <c r="U12" s="435"/>
      <c r="V12" s="542"/>
      <c r="W12" s="434">
        <v>6</v>
      </c>
      <c r="X12" s="435">
        <v>7</v>
      </c>
      <c r="Y12" s="540">
        <f>IF(W12=0, "    ---- ", IF(ABS(ROUND(100/W12*X12-100,1))&lt;999,ROUND(100/W12*X12-100,1),IF(ROUND(100/W12*X12-100,1)&gt;999,999,-999)))</f>
        <v>16.7</v>
      </c>
      <c r="Z12" s="434">
        <v>17.08654619</v>
      </c>
      <c r="AA12" s="435">
        <v>16.145837660000019</v>
      </c>
      <c r="AB12" s="540">
        <f>IF(Z12=0, "    ---- ", IF(ABS(ROUND(100/Z12*AA12-100,1))&lt;999,ROUND(100/Z12*AA12-100,1),IF(ROUND(100/Z12*AA12-100,1)&gt;999,999,-999)))</f>
        <v>-5.5</v>
      </c>
      <c r="AC12" s="544"/>
      <c r="AD12" s="435"/>
      <c r="AE12" s="544"/>
      <c r="AF12" s="544">
        <f>B12+E12+H12+K12+N12+Q12+T12+W12+Z12</f>
        <v>49.279597401036618</v>
      </c>
      <c r="AG12" s="544">
        <f>C12+F12+I12+L12+O12+R12+U12+X12+AA12</f>
        <v>48.881323107740094</v>
      </c>
      <c r="AH12" s="540">
        <f t="shared" ref="AH12:AH22" si="1">IF(AF12=0, "    ---- ", IF(ABS(ROUND(100/AF12*AG12-100,1))&lt;999,ROUND(100/AF12*AG12-100,1),IF(ROUND(100/AF12*AG12-100,1)&gt;999,999,-999)))</f>
        <v>-0.8</v>
      </c>
      <c r="AI12" s="544">
        <f>+B12+E12+H12+K12+N12+Q12+T12+W12+Z12+AC12</f>
        <v>49.279597401036618</v>
      </c>
      <c r="AJ12" s="544">
        <f>+C12+F12+I12+L12+O12+R12+U12+X12+AA12+AD12</f>
        <v>48.881323107740094</v>
      </c>
      <c r="AK12" s="540">
        <f t="shared" ref="AK12:AK22" si="2">IF(AI12=0, "    ---- ", IF(ABS(ROUND(100/AI12*AJ12-100,1))&lt;999,ROUND(100/AI12*AJ12-100,1),IF(ROUND(100/AI12*AJ12-100,1)&gt;999,999,-999)))</f>
        <v>-0.8</v>
      </c>
    </row>
    <row r="13" spans="1:38" s="395" customFormat="1" ht="18.75" customHeight="1" x14ac:dyDescent="0.35">
      <c r="A13" s="421" t="s">
        <v>498</v>
      </c>
      <c r="B13" s="691">
        <v>-14</v>
      </c>
      <c r="C13" s="692">
        <v>-8.3000000000000007</v>
      </c>
      <c r="D13" s="540">
        <f>IF(B13=0, "    ---- ", IF(ABS(ROUND(100/B13*C13-100,1))&lt;999,ROUND(100/B13*C13-100,1),IF(ROUND(100/B13*C13-100,1)&gt;999,999,-999)))</f>
        <v>-40.700000000000003</v>
      </c>
      <c r="E13" s="76"/>
      <c r="F13" s="400"/>
      <c r="G13" s="542"/>
      <c r="H13" s="76"/>
      <c r="I13" s="400"/>
      <c r="J13" s="542"/>
      <c r="K13" s="76"/>
      <c r="L13" s="400"/>
      <c r="M13" s="543"/>
      <c r="N13" s="435"/>
      <c r="O13" s="76"/>
      <c r="P13" s="542"/>
      <c r="Q13" s="76">
        <v>-4.1930512110366189</v>
      </c>
      <c r="R13" s="400">
        <v>-2.0810886081025104</v>
      </c>
      <c r="S13" s="540">
        <f t="shared" si="0"/>
        <v>-50.4</v>
      </c>
      <c r="T13" s="435"/>
      <c r="U13" s="76"/>
      <c r="V13" s="542"/>
      <c r="W13" s="76">
        <v>-4</v>
      </c>
      <c r="X13" s="400">
        <v>-4</v>
      </c>
      <c r="Y13" s="540">
        <f>IF(W13=0, "    ---- ", IF(ABS(ROUND(100/W13*X13-100,1))&lt;999,ROUND(100/W13*X13-100,1),IF(ROUND(100/W13*X13-100,1)&gt;999,999,-999)))</f>
        <v>0</v>
      </c>
      <c r="Z13" s="76">
        <v>-8.8070000000000004</v>
      </c>
      <c r="AA13" s="400">
        <v>-11.717665999999999</v>
      </c>
      <c r="AB13" s="540">
        <f>IF(Z13=0, "    ---- ", IF(ABS(ROUND(100/Z13*AA13-100,1))&lt;999,ROUND(100/Z13*AA13-100,1),IF(ROUND(100/Z13*AA13-100,1)&gt;999,999,-999)))</f>
        <v>33</v>
      </c>
      <c r="AC13" s="544"/>
      <c r="AD13" s="76"/>
      <c r="AE13" s="544"/>
      <c r="AF13" s="544">
        <f t="shared" ref="AF13:AG35" si="3">B13+E13+H13+K13+N13+Q13+T13+W13+Z13</f>
        <v>-31.00005121103662</v>
      </c>
      <c r="AG13" s="544">
        <f t="shared" si="3"/>
        <v>-26.09875460810251</v>
      </c>
      <c r="AH13" s="540">
        <f t="shared" si="1"/>
        <v>-15.8</v>
      </c>
      <c r="AI13" s="544">
        <f t="shared" ref="AI13:AJ22" si="4">+B13+E13+H13+K13+N13+Q13+T13+W13+Z13+AC13</f>
        <v>-31.00005121103662</v>
      </c>
      <c r="AJ13" s="544">
        <f t="shared" si="4"/>
        <v>-26.09875460810251</v>
      </c>
      <c r="AK13" s="540">
        <f t="shared" si="2"/>
        <v>-15.8</v>
      </c>
    </row>
    <row r="14" spans="1:38" s="395" customFormat="1" ht="18.75" customHeight="1" x14ac:dyDescent="0.35">
      <c r="A14" s="421" t="s">
        <v>307</v>
      </c>
      <c r="B14" s="691">
        <v>14</v>
      </c>
      <c r="C14" s="692">
        <v>12.264929541979601</v>
      </c>
      <c r="D14" s="540">
        <f>IF(B14=0, "    ---- ", IF(ABS(ROUND(100/B14*C14-100,1))&lt;999,ROUND(100/B14*C14-100,1),IF(ROUND(100/B14*C14-100,1)&gt;999,999,-999)))</f>
        <v>-12.4</v>
      </c>
      <c r="E14" s="434"/>
      <c r="F14" s="435"/>
      <c r="G14" s="542"/>
      <c r="H14" s="434"/>
      <c r="I14" s="435"/>
      <c r="J14" s="542"/>
      <c r="K14" s="434"/>
      <c r="L14" s="435"/>
      <c r="M14" s="543"/>
      <c r="N14" s="435"/>
      <c r="O14" s="435"/>
      <c r="P14" s="542"/>
      <c r="Q14" s="434">
        <v>1.5119585744673227</v>
      </c>
      <c r="R14" s="435">
        <v>-7.170859174067061E-2</v>
      </c>
      <c r="S14" s="540">
        <f t="shared" si="0"/>
        <v>-104.7</v>
      </c>
      <c r="T14" s="435"/>
      <c r="U14" s="435"/>
      <c r="V14" s="542"/>
      <c r="W14" s="434">
        <v>-4</v>
      </c>
      <c r="X14" s="435">
        <v>-4</v>
      </c>
      <c r="Y14" s="540">
        <f>IF(W14=0, "    ---- ", IF(ABS(ROUND(100/W14*X14-100,1))&lt;999,ROUND(100/W14*X14-100,1),IF(ROUND(100/W14*X14-100,1)&gt;999,999,-999)))</f>
        <v>0</v>
      </c>
      <c r="Z14" s="434">
        <v>13.64774924</v>
      </c>
      <c r="AA14" s="435">
        <v>7.9220960199999979</v>
      </c>
      <c r="AB14" s="540">
        <f>IF(Z14=0, "    ---- ", IF(ABS(ROUND(100/Z14*AA14-100,1))&lt;999,ROUND(100/Z14*AA14-100,1),IF(ROUND(100/Z14*AA14-100,1)&gt;999,999,-999)))</f>
        <v>-42</v>
      </c>
      <c r="AC14" s="544"/>
      <c r="AD14" s="435"/>
      <c r="AE14" s="544"/>
      <c r="AF14" s="544">
        <f t="shared" si="3"/>
        <v>25.159707814467325</v>
      </c>
      <c r="AG14" s="544">
        <f t="shared" si="3"/>
        <v>16.115316970238929</v>
      </c>
      <c r="AH14" s="540">
        <f t="shared" si="1"/>
        <v>-35.9</v>
      </c>
      <c r="AI14" s="544">
        <f t="shared" si="4"/>
        <v>25.159707814467325</v>
      </c>
      <c r="AJ14" s="544">
        <f t="shared" si="4"/>
        <v>16.115316970238929</v>
      </c>
      <c r="AK14" s="540">
        <f t="shared" si="2"/>
        <v>-35.9</v>
      </c>
    </row>
    <row r="15" spans="1:38" s="395" customFormat="1" ht="18.75" customHeight="1" x14ac:dyDescent="0.35">
      <c r="A15" s="421" t="s">
        <v>308</v>
      </c>
      <c r="B15" s="691"/>
      <c r="C15" s="692"/>
      <c r="D15" s="540"/>
      <c r="E15" s="434"/>
      <c r="F15" s="435"/>
      <c r="G15" s="542"/>
      <c r="H15" s="434"/>
      <c r="I15" s="435"/>
      <c r="J15" s="542"/>
      <c r="K15" s="434"/>
      <c r="L15" s="435"/>
      <c r="M15" s="543"/>
      <c r="N15" s="435"/>
      <c r="O15" s="435"/>
      <c r="P15" s="542"/>
      <c r="Q15" s="434"/>
      <c r="R15" s="435"/>
      <c r="S15" s="540"/>
      <c r="T15" s="435"/>
      <c r="U15" s="435"/>
      <c r="V15" s="542"/>
      <c r="W15" s="434"/>
      <c r="X15" s="435"/>
      <c r="Y15" s="540"/>
      <c r="Z15" s="434"/>
      <c r="AA15" s="435"/>
      <c r="AB15" s="540"/>
      <c r="AC15" s="544"/>
      <c r="AD15" s="435"/>
      <c r="AE15" s="544"/>
      <c r="AF15" s="544">
        <f t="shared" si="3"/>
        <v>0</v>
      </c>
      <c r="AG15" s="544">
        <f t="shared" si="3"/>
        <v>0</v>
      </c>
      <c r="AH15" s="540" t="str">
        <f t="shared" si="1"/>
        <v xml:space="preserve">    ---- </v>
      </c>
      <c r="AI15" s="544">
        <f t="shared" si="4"/>
        <v>0</v>
      </c>
      <c r="AJ15" s="544">
        <f t="shared" si="4"/>
        <v>0</v>
      </c>
      <c r="AK15" s="540" t="str">
        <f t="shared" si="2"/>
        <v xml:space="preserve">    ---- </v>
      </c>
    </row>
    <row r="16" spans="1:38" s="395" customFormat="1" ht="18.75" customHeight="1" x14ac:dyDescent="0.35">
      <c r="A16" s="421" t="s">
        <v>309</v>
      </c>
      <c r="B16" s="691"/>
      <c r="C16" s="692"/>
      <c r="D16" s="540"/>
      <c r="E16" s="434"/>
      <c r="F16" s="435"/>
      <c r="G16" s="542"/>
      <c r="H16" s="434"/>
      <c r="I16" s="435"/>
      <c r="J16" s="542"/>
      <c r="K16" s="434"/>
      <c r="L16" s="435"/>
      <c r="M16" s="543"/>
      <c r="N16" s="435"/>
      <c r="O16" s="435"/>
      <c r="P16" s="542"/>
      <c r="Q16" s="434"/>
      <c r="R16" s="435"/>
      <c r="S16" s="540"/>
      <c r="T16" s="435"/>
      <c r="U16" s="435"/>
      <c r="V16" s="542"/>
      <c r="W16" s="434"/>
      <c r="X16" s="435"/>
      <c r="Y16" s="540"/>
      <c r="Z16" s="434"/>
      <c r="AA16" s="435"/>
      <c r="AB16" s="540"/>
      <c r="AC16" s="544"/>
      <c r="AD16" s="435"/>
      <c r="AE16" s="544"/>
      <c r="AF16" s="544">
        <f t="shared" si="3"/>
        <v>0</v>
      </c>
      <c r="AG16" s="544">
        <f t="shared" si="3"/>
        <v>0</v>
      </c>
      <c r="AH16" s="540" t="str">
        <f t="shared" si="1"/>
        <v xml:space="preserve">    ---- </v>
      </c>
      <c r="AI16" s="544">
        <f t="shared" si="4"/>
        <v>0</v>
      </c>
      <c r="AJ16" s="544">
        <f t="shared" si="4"/>
        <v>0</v>
      </c>
      <c r="AK16" s="540" t="str">
        <f t="shared" si="2"/>
        <v xml:space="preserve">    ---- </v>
      </c>
    </row>
    <row r="17" spans="1:37" s="395" customFormat="1" ht="18.75" customHeight="1" x14ac:dyDescent="0.35">
      <c r="A17" s="421" t="s">
        <v>310</v>
      </c>
      <c r="B17" s="691">
        <v>30</v>
      </c>
      <c r="C17" s="692">
        <v>22.904037247271912</v>
      </c>
      <c r="D17" s="540">
        <f>IF(B17=0, "    ---- ", IF(ABS(ROUND(100/B17*C17-100,1))&lt;999,ROUND(100/B17*C17-100,1),IF(ROUND(100/B17*C17-100,1)&gt;999,999,-999)))</f>
        <v>-23.7</v>
      </c>
      <c r="E17" s="434"/>
      <c r="F17" s="435"/>
      <c r="G17" s="542"/>
      <c r="H17" s="434"/>
      <c r="I17" s="435"/>
      <c r="J17" s="542"/>
      <c r="K17" s="434"/>
      <c r="L17" s="435"/>
      <c r="M17" s="543"/>
      <c r="N17" s="435"/>
      <c r="O17" s="435"/>
      <c r="P17" s="542"/>
      <c r="Q17" s="434">
        <v>10.81493727914892</v>
      </c>
      <c r="R17" s="435">
        <v>9.7241512274327473</v>
      </c>
      <c r="S17" s="540">
        <f t="shared" si="0"/>
        <v>-10.1</v>
      </c>
      <c r="T17" s="435"/>
      <c r="U17" s="435"/>
      <c r="V17" s="542"/>
      <c r="W17" s="434">
        <v>5</v>
      </c>
      <c r="X17" s="435">
        <v>5</v>
      </c>
      <c r="Y17" s="540">
        <f>IF(W17=0, "    ---- ", IF(ABS(ROUND(100/W17*X17-100,1))&lt;999,ROUND(100/W17*X17-100,1),IF(ROUND(100/W17*X17-100,1)&gt;999,999,-999)))</f>
        <v>0</v>
      </c>
      <c r="Z17" s="434">
        <v>68.018031649999998</v>
      </c>
      <c r="AA17" s="435">
        <v>113.11178334000004</v>
      </c>
      <c r="AB17" s="540">
        <f>IF(Z17=0, "    ---- ", IF(ABS(ROUND(100/Z17*AA17-100,1))&lt;999,ROUND(100/Z17*AA17-100,1),IF(ROUND(100/Z17*AA17-100,1)&gt;999,999,-999)))</f>
        <v>66.3</v>
      </c>
      <c r="AC17" s="544"/>
      <c r="AD17" s="435"/>
      <c r="AE17" s="544"/>
      <c r="AF17" s="544">
        <f t="shared" si="3"/>
        <v>113.83296892914892</v>
      </c>
      <c r="AG17" s="544">
        <f t="shared" si="3"/>
        <v>150.73997181470469</v>
      </c>
      <c r="AH17" s="540">
        <f t="shared" si="1"/>
        <v>32.4</v>
      </c>
      <c r="AI17" s="544">
        <f t="shared" si="4"/>
        <v>113.83296892914892</v>
      </c>
      <c r="AJ17" s="544">
        <f t="shared" si="4"/>
        <v>150.73997181470469</v>
      </c>
      <c r="AK17" s="540">
        <f t="shared" si="2"/>
        <v>32.4</v>
      </c>
    </row>
    <row r="18" spans="1:37" s="395" customFormat="1" ht="18.75" customHeight="1" x14ac:dyDescent="0.35">
      <c r="A18" s="421" t="s">
        <v>311</v>
      </c>
      <c r="B18" s="691"/>
      <c r="C18" s="692"/>
      <c r="D18" s="540"/>
      <c r="E18" s="434"/>
      <c r="F18" s="435"/>
      <c r="G18" s="542"/>
      <c r="H18" s="434"/>
      <c r="I18" s="435"/>
      <c r="J18" s="542"/>
      <c r="K18" s="434"/>
      <c r="L18" s="435"/>
      <c r="M18" s="543"/>
      <c r="N18" s="435"/>
      <c r="O18" s="435"/>
      <c r="P18" s="542"/>
      <c r="Q18" s="434"/>
      <c r="R18" s="435"/>
      <c r="S18" s="540"/>
      <c r="T18" s="435"/>
      <c r="U18" s="435"/>
      <c r="V18" s="542"/>
      <c r="W18" s="434"/>
      <c r="X18" s="435"/>
      <c r="Y18" s="540"/>
      <c r="Z18" s="434"/>
      <c r="AA18" s="435"/>
      <c r="AB18" s="540"/>
      <c r="AC18" s="544"/>
      <c r="AD18" s="435"/>
      <c r="AE18" s="544"/>
      <c r="AF18" s="544">
        <f t="shared" si="3"/>
        <v>0</v>
      </c>
      <c r="AG18" s="544">
        <f t="shared" si="3"/>
        <v>0</v>
      </c>
      <c r="AH18" s="540" t="str">
        <f t="shared" si="1"/>
        <v xml:space="preserve">    ---- </v>
      </c>
      <c r="AI18" s="544">
        <f t="shared" si="4"/>
        <v>0</v>
      </c>
      <c r="AJ18" s="544">
        <f t="shared" si="4"/>
        <v>0</v>
      </c>
      <c r="AK18" s="540" t="str">
        <f t="shared" si="2"/>
        <v xml:space="preserve">    ---- </v>
      </c>
    </row>
    <row r="19" spans="1:37" s="395" customFormat="1" ht="18.75" customHeight="1" x14ac:dyDescent="0.35">
      <c r="A19" s="421" t="s">
        <v>312</v>
      </c>
      <c r="B19" s="691"/>
      <c r="C19" s="692"/>
      <c r="D19" s="540"/>
      <c r="E19" s="434"/>
      <c r="F19" s="435"/>
      <c r="G19" s="542"/>
      <c r="H19" s="434"/>
      <c r="I19" s="435"/>
      <c r="J19" s="542"/>
      <c r="K19" s="434"/>
      <c r="L19" s="435"/>
      <c r="M19" s="543"/>
      <c r="N19" s="435"/>
      <c r="O19" s="435"/>
      <c r="P19" s="542"/>
      <c r="Q19" s="434"/>
      <c r="R19" s="435"/>
      <c r="S19" s="540"/>
      <c r="T19" s="435"/>
      <c r="U19" s="435"/>
      <c r="V19" s="542"/>
      <c r="W19" s="434"/>
      <c r="X19" s="435"/>
      <c r="Y19" s="540"/>
      <c r="Z19" s="434"/>
      <c r="AA19" s="435"/>
      <c r="AB19" s="540"/>
      <c r="AC19" s="544"/>
      <c r="AD19" s="435"/>
      <c r="AE19" s="544"/>
      <c r="AF19" s="544">
        <f t="shared" si="3"/>
        <v>0</v>
      </c>
      <c r="AG19" s="544">
        <f t="shared" si="3"/>
        <v>0</v>
      </c>
      <c r="AH19" s="540" t="str">
        <f t="shared" si="1"/>
        <v xml:space="preserve">    ---- </v>
      </c>
      <c r="AI19" s="544">
        <f t="shared" si="4"/>
        <v>0</v>
      </c>
      <c r="AJ19" s="544">
        <f t="shared" si="4"/>
        <v>0</v>
      </c>
      <c r="AK19" s="540" t="str">
        <f t="shared" si="2"/>
        <v xml:space="preserve">    ---- </v>
      </c>
    </row>
    <row r="20" spans="1:37" s="528" customFormat="1" ht="18.75" customHeight="1" x14ac:dyDescent="0.3">
      <c r="A20" s="535" t="s">
        <v>313</v>
      </c>
      <c r="B20" s="690">
        <f>SUM(B12:B17)+B19</f>
        <v>52</v>
      </c>
      <c r="C20" s="693">
        <f>SUM(C12:C17)+C19</f>
        <v>46.39426473090451</v>
      </c>
      <c r="D20" s="539">
        <f>IF(B20=0, "    ---- ", IF(ABS(ROUND(100/B20*C20-100,1))&lt;999,ROUND(100/B20*C20-100,1),IF(ROUND(100/B20*C20-100,1)&gt;999,999,-999)))</f>
        <v>-10.8</v>
      </c>
      <c r="E20" s="432"/>
      <c r="F20" s="433"/>
      <c r="G20" s="536"/>
      <c r="H20" s="432"/>
      <c r="I20" s="433"/>
      <c r="J20" s="536"/>
      <c r="K20" s="432"/>
      <c r="L20" s="433"/>
      <c r="M20" s="538"/>
      <c r="N20" s="433"/>
      <c r="O20" s="433"/>
      <c r="P20" s="536"/>
      <c r="Q20" s="432">
        <f>SUM(Q12:Q17)+Q19</f>
        <v>12.326895853616243</v>
      </c>
      <c r="R20" s="433">
        <f>SUM(R12:R17)+R19</f>
        <v>13.781541533676641</v>
      </c>
      <c r="S20" s="539">
        <f t="shared" si="0"/>
        <v>11.8</v>
      </c>
      <c r="T20" s="433"/>
      <c r="U20" s="433"/>
      <c r="V20" s="536"/>
      <c r="W20" s="432">
        <f>SUM(W12:W17)+W19</f>
        <v>3</v>
      </c>
      <c r="X20" s="433">
        <f>SUM(X12:X17)+X19</f>
        <v>4</v>
      </c>
      <c r="Y20" s="539">
        <f>IF(W20=0, "    ---- ", IF(ABS(ROUND(100/W20*X20-100,1))&lt;999,ROUND(100/W20*X20-100,1),IF(ROUND(100/W20*X20-100,1)&gt;999,999,-999)))</f>
        <v>33.299999999999997</v>
      </c>
      <c r="Z20" s="432">
        <f>SUM(Z12:Z17)+Z19</f>
        <v>89.945327079999998</v>
      </c>
      <c r="AA20" s="433">
        <f>SUM(AA12:AA17)+AA19</f>
        <v>125.46205102000006</v>
      </c>
      <c r="AB20" s="539">
        <f>IF(Z20=0, "    ---- ", IF(ABS(ROUND(100/Z20*AA20-100,1))&lt;999,ROUND(100/Z20*AA20-100,1),IF(ROUND(100/Z20*AA20-100,1)&gt;999,999,-999)))</f>
        <v>39.5</v>
      </c>
      <c r="AC20" s="545"/>
      <c r="AD20" s="433"/>
      <c r="AE20" s="545"/>
      <c r="AF20" s="545">
        <f t="shared" si="3"/>
        <v>157.27222293361623</v>
      </c>
      <c r="AG20" s="545">
        <f t="shared" si="3"/>
        <v>189.63785728458123</v>
      </c>
      <c r="AH20" s="539">
        <f t="shared" si="1"/>
        <v>20.6</v>
      </c>
      <c r="AI20" s="545">
        <f t="shared" si="4"/>
        <v>157.27222293361623</v>
      </c>
      <c r="AJ20" s="545">
        <f t="shared" si="4"/>
        <v>189.63785728458123</v>
      </c>
      <c r="AK20" s="539">
        <f t="shared" si="2"/>
        <v>20.6</v>
      </c>
    </row>
    <row r="21" spans="1:37" s="395" customFormat="1" ht="18.75" customHeight="1" x14ac:dyDescent="0.35">
      <c r="A21" s="421" t="s">
        <v>314</v>
      </c>
      <c r="B21" s="691">
        <v>33</v>
      </c>
      <c r="C21" s="692">
        <v>30.156272075087902</v>
      </c>
      <c r="D21" s="540">
        <f>IF(B21=0, "    ---- ", IF(ABS(ROUND(100/B21*C21-100,1))&lt;999,ROUND(100/B21*C21-100,1),IF(ROUND(100/B21*C21-100,1)&gt;999,999,-999)))</f>
        <v>-8.6</v>
      </c>
      <c r="E21" s="434"/>
      <c r="F21" s="435"/>
      <c r="G21" s="542"/>
      <c r="H21" s="434"/>
      <c r="I21" s="435"/>
      <c r="J21" s="542"/>
      <c r="K21" s="434"/>
      <c r="L21" s="435"/>
      <c r="M21" s="543"/>
      <c r="N21" s="435"/>
      <c r="O21" s="435"/>
      <c r="P21" s="542"/>
      <c r="Q21" s="434">
        <v>8.0124823048505576</v>
      </c>
      <c r="R21" s="435">
        <v>8.9580019968898181</v>
      </c>
      <c r="S21" s="540">
        <f t="shared" si="0"/>
        <v>11.8</v>
      </c>
      <c r="T21" s="435"/>
      <c r="U21" s="435"/>
      <c r="V21" s="542"/>
      <c r="W21" s="434">
        <v>2</v>
      </c>
      <c r="X21" s="435">
        <v>3</v>
      </c>
      <c r="Y21" s="540">
        <f>IF(W21=0, "    ---- ", IF(ABS(ROUND(100/W21*X21-100,1))&lt;999,ROUND(100/W21*X21-100,1),IF(ROUND(100/W21*X21-100,1)&gt;999,999,-999)))</f>
        <v>50</v>
      </c>
      <c r="Z21" s="691">
        <v>58.460552</v>
      </c>
      <c r="AA21" s="435">
        <v>81.549739000000002</v>
      </c>
      <c r="AB21" s="540">
        <f>IF(Z21=0, "    ---- ", IF(ABS(ROUND(100/Z21*AA21-100,1))&lt;999,ROUND(100/Z21*AA21-100,1),IF(ROUND(100/Z21*AA21-100,1)&gt;999,999,-999)))</f>
        <v>39.5</v>
      </c>
      <c r="AC21" s="544"/>
      <c r="AD21" s="435"/>
      <c r="AE21" s="544"/>
      <c r="AF21" s="544">
        <f t="shared" si="3"/>
        <v>101.47303430485056</v>
      </c>
      <c r="AG21" s="544">
        <f t="shared" si="3"/>
        <v>123.66401307197772</v>
      </c>
      <c r="AH21" s="540">
        <f t="shared" si="1"/>
        <v>21.9</v>
      </c>
      <c r="AI21" s="544">
        <f t="shared" si="4"/>
        <v>101.47303430485056</v>
      </c>
      <c r="AJ21" s="544">
        <f t="shared" si="4"/>
        <v>123.66401307197772</v>
      </c>
      <c r="AK21" s="540">
        <f t="shared" si="2"/>
        <v>21.9</v>
      </c>
    </row>
    <row r="22" spans="1:37" s="395" customFormat="1" ht="18.75" customHeight="1" x14ac:dyDescent="0.35">
      <c r="A22" s="421" t="s">
        <v>315</v>
      </c>
      <c r="B22" s="691">
        <v>19</v>
      </c>
      <c r="C22" s="692">
        <v>16.237992655816608</v>
      </c>
      <c r="D22" s="540">
        <f>IF(B22=0, "    ---- ", IF(ABS(ROUND(100/B22*C22-100,1))&lt;999,ROUND(100/B22*C22-100,1),IF(ROUND(100/B22*C22-100,1)&gt;999,999,-999)))</f>
        <v>-14.5</v>
      </c>
      <c r="E22" s="434"/>
      <c r="F22" s="435"/>
      <c r="G22" s="542"/>
      <c r="H22" s="434"/>
      <c r="I22" s="435"/>
      <c r="J22" s="542"/>
      <c r="K22" s="434"/>
      <c r="L22" s="435"/>
      <c r="M22" s="543"/>
      <c r="N22" s="435"/>
      <c r="O22" s="435"/>
      <c r="P22" s="542"/>
      <c r="Q22" s="434">
        <v>4.3144135487656854</v>
      </c>
      <c r="R22" s="435">
        <v>4.8235395367868232</v>
      </c>
      <c r="S22" s="540">
        <f t="shared" si="0"/>
        <v>11.8</v>
      </c>
      <c r="T22" s="435"/>
      <c r="U22" s="435"/>
      <c r="V22" s="542"/>
      <c r="W22" s="434">
        <v>1</v>
      </c>
      <c r="X22" s="435">
        <v>1</v>
      </c>
      <c r="Y22" s="540">
        <f>IF(W22=0, "    ---- ", IF(ABS(ROUND(100/W22*X22-100,1))&lt;999,ROUND(100/W22*X22-100,1),IF(ROUND(100/W22*X22-100,1)&gt;999,999,-999)))</f>
        <v>0</v>
      </c>
      <c r="Z22" s="434">
        <v>31.478325080000001</v>
      </c>
      <c r="AA22" s="435">
        <v>43.911396580000059</v>
      </c>
      <c r="AB22" s="540">
        <f>IF(Z22=0, "    ---- ", IF(ABS(ROUND(100/Z22*AA22-100,1))&lt;999,ROUND(100/Z22*AA22-100,1),IF(ROUND(100/Z22*AA22-100,1)&gt;999,999,-999)))</f>
        <v>39.5</v>
      </c>
      <c r="AC22" s="544"/>
      <c r="AD22" s="435"/>
      <c r="AE22" s="544"/>
      <c r="AF22" s="544">
        <f t="shared" si="3"/>
        <v>55.79273862876569</v>
      </c>
      <c r="AG22" s="544">
        <f t="shared" si="3"/>
        <v>65.972928772603495</v>
      </c>
      <c r="AH22" s="540">
        <f t="shared" si="1"/>
        <v>18.2</v>
      </c>
      <c r="AI22" s="544">
        <f t="shared" si="4"/>
        <v>55.79273862876569</v>
      </c>
      <c r="AJ22" s="544">
        <f t="shared" si="4"/>
        <v>65.972928772603495</v>
      </c>
      <c r="AK22" s="540">
        <f t="shared" si="2"/>
        <v>18.2</v>
      </c>
    </row>
    <row r="23" spans="1:37" s="395" customFormat="1" ht="18.75" customHeight="1" x14ac:dyDescent="0.35">
      <c r="A23" s="535" t="s">
        <v>316</v>
      </c>
      <c r="B23" s="690"/>
      <c r="C23" s="693"/>
      <c r="D23" s="539"/>
      <c r="E23" s="432"/>
      <c r="F23" s="433"/>
      <c r="G23" s="536"/>
      <c r="H23" s="432"/>
      <c r="I23" s="433"/>
      <c r="J23" s="536"/>
      <c r="K23" s="432"/>
      <c r="L23" s="433"/>
      <c r="M23" s="538"/>
      <c r="N23" s="433"/>
      <c r="O23" s="433"/>
      <c r="P23" s="536"/>
      <c r="Q23" s="432"/>
      <c r="R23" s="433"/>
      <c r="S23" s="539"/>
      <c r="T23" s="433"/>
      <c r="U23" s="433"/>
      <c r="V23" s="536"/>
      <c r="W23" s="432"/>
      <c r="X23" s="433"/>
      <c r="Y23" s="539"/>
      <c r="Z23" s="432"/>
      <c r="AA23" s="433"/>
      <c r="AB23" s="539"/>
      <c r="AC23" s="545"/>
      <c r="AD23" s="433"/>
      <c r="AE23" s="545"/>
      <c r="AF23" s="544">
        <f t="shared" si="3"/>
        <v>0</v>
      </c>
      <c r="AG23" s="544">
        <f t="shared" si="3"/>
        <v>0</v>
      </c>
      <c r="AH23" s="539"/>
      <c r="AI23" s="544"/>
      <c r="AJ23" s="544"/>
      <c r="AK23" s="539"/>
    </row>
    <row r="24" spans="1:37" s="395" customFormat="1" ht="18" x14ac:dyDescent="0.35">
      <c r="A24" s="750" t="s">
        <v>497</v>
      </c>
      <c r="B24" s="691">
        <v>170</v>
      </c>
      <c r="C24" s="692">
        <v>177.59289212911952</v>
      </c>
      <c r="D24" s="540">
        <f t="shared" ref="D24:D29" si="5">IF(B24=0, "    ---- ", IF(ABS(ROUND(100/B24*C24-100,1))&lt;999,ROUND(100/B24*C24-100,1),IF(ROUND(100/B24*C24-100,1)&gt;999,999,-999)))</f>
        <v>4.5</v>
      </c>
      <c r="E24" s="434"/>
      <c r="F24" s="435"/>
      <c r="G24" s="542"/>
      <c r="H24" s="434"/>
      <c r="I24" s="435"/>
      <c r="J24" s="542"/>
      <c r="K24" s="434"/>
      <c r="L24" s="435"/>
      <c r="M24" s="543"/>
      <c r="N24" s="435"/>
      <c r="O24" s="435"/>
      <c r="P24" s="542"/>
      <c r="Q24" s="434"/>
      <c r="R24" s="435"/>
      <c r="S24" s="540"/>
      <c r="T24" s="435"/>
      <c r="U24" s="435"/>
      <c r="V24" s="542"/>
      <c r="W24" s="434"/>
      <c r="X24" s="435">
        <v>1</v>
      </c>
      <c r="Y24" s="540" t="str">
        <f>IF(W24=0, "    ---- ", IF(ABS(ROUND(100/W24*X24-100,1))&lt;999,ROUND(100/W24*X24-100,1),IF(ROUND(100/W24*X24-100,1)&gt;999,999,-999)))</f>
        <v xml:space="preserve">    ---- </v>
      </c>
      <c r="Z24" s="434"/>
      <c r="AA24" s="435"/>
      <c r="AB24" s="542"/>
      <c r="AC24" s="543"/>
      <c r="AD24" s="435"/>
      <c r="AE24" s="543"/>
      <c r="AF24" s="544">
        <f t="shared" si="3"/>
        <v>170</v>
      </c>
      <c r="AG24" s="544">
        <f t="shared" si="3"/>
        <v>178.59289212911952</v>
      </c>
      <c r="AH24" s="540">
        <f t="shared" ref="AH24:AH86" si="6">IF(AF24=0, "    ---- ", IF(ABS(ROUND(100/AF24*AG24-100,1))&lt;999,ROUND(100/AF24*AG24-100,1),IF(ROUND(100/AF24*AG24-100,1)&gt;999,999,-999)))</f>
        <v>5.0999999999999996</v>
      </c>
      <c r="AI24" s="544">
        <f t="shared" ref="AI24:AJ34" si="7">+B24+E24+H24+K24+N24+Q24+T24+W24+Z24+AC24</f>
        <v>170</v>
      </c>
      <c r="AJ24" s="544">
        <f t="shared" si="7"/>
        <v>178.59289212911952</v>
      </c>
      <c r="AK24" s="540">
        <f t="shared" ref="AK24:AK86" si="8">IF(AI24=0, "    ---- ", IF(ABS(ROUND(100/AI24*AJ24-100,1))&lt;999,ROUND(100/AI24*AJ24-100,1),IF(ROUND(100/AI24*AJ24-100,1)&gt;999,999,-999)))</f>
        <v>5.0999999999999996</v>
      </c>
    </row>
    <row r="25" spans="1:37" s="395" customFormat="1" ht="18.75" customHeight="1" x14ac:dyDescent="0.35">
      <c r="A25" s="421" t="s">
        <v>498</v>
      </c>
      <c r="B25" s="691">
        <v>-17</v>
      </c>
      <c r="C25" s="692">
        <v>8.9</v>
      </c>
      <c r="D25" s="540">
        <f t="shared" si="5"/>
        <v>-152.4</v>
      </c>
      <c r="E25" s="76"/>
      <c r="F25" s="400"/>
      <c r="G25" s="542"/>
      <c r="H25" s="76"/>
      <c r="I25" s="400"/>
      <c r="J25" s="542"/>
      <c r="K25" s="76"/>
      <c r="L25" s="400"/>
      <c r="M25" s="543"/>
      <c r="N25" s="435"/>
      <c r="O25" s="76"/>
      <c r="P25" s="542"/>
      <c r="Q25" s="76"/>
      <c r="R25" s="400"/>
      <c r="S25" s="540"/>
      <c r="T25" s="435"/>
      <c r="U25" s="76"/>
      <c r="V25" s="542"/>
      <c r="W25" s="76"/>
      <c r="X25" s="400"/>
      <c r="Y25" s="540"/>
      <c r="Z25" s="76"/>
      <c r="AA25" s="400"/>
      <c r="AB25" s="542"/>
      <c r="AC25" s="543"/>
      <c r="AD25" s="76"/>
      <c r="AE25" s="543"/>
      <c r="AF25" s="544">
        <f t="shared" si="3"/>
        <v>-17</v>
      </c>
      <c r="AG25" s="544">
        <f t="shared" si="3"/>
        <v>8.9</v>
      </c>
      <c r="AH25" s="540">
        <f t="shared" si="6"/>
        <v>-152.4</v>
      </c>
      <c r="AI25" s="544">
        <f t="shared" si="7"/>
        <v>-17</v>
      </c>
      <c r="AJ25" s="544">
        <f t="shared" si="7"/>
        <v>8.9</v>
      </c>
      <c r="AK25" s="540">
        <f t="shared" si="8"/>
        <v>-152.4</v>
      </c>
    </row>
    <row r="26" spans="1:37" s="395" customFormat="1" ht="18.75" customHeight="1" x14ac:dyDescent="0.35">
      <c r="A26" s="421" t="s">
        <v>307</v>
      </c>
      <c r="B26" s="691">
        <v>13</v>
      </c>
      <c r="C26" s="692">
        <v>8.3478652042917894</v>
      </c>
      <c r="D26" s="540">
        <f t="shared" si="5"/>
        <v>-35.799999999999997</v>
      </c>
      <c r="E26" s="434"/>
      <c r="F26" s="435"/>
      <c r="G26" s="542"/>
      <c r="H26" s="434"/>
      <c r="I26" s="435"/>
      <c r="J26" s="542"/>
      <c r="K26" s="434"/>
      <c r="L26" s="435"/>
      <c r="M26" s="543"/>
      <c r="N26" s="435"/>
      <c r="O26" s="435"/>
      <c r="P26" s="542"/>
      <c r="Q26" s="434"/>
      <c r="R26" s="435"/>
      <c r="S26" s="540"/>
      <c r="T26" s="435"/>
      <c r="U26" s="435"/>
      <c r="V26" s="542"/>
      <c r="W26" s="434">
        <v>1</v>
      </c>
      <c r="X26" s="435">
        <v>1</v>
      </c>
      <c r="Y26" s="540">
        <f>IF(W26=0, "    ---- ", IF(ABS(ROUND(100/W26*X26-100,1))&lt;999,ROUND(100/W26*X26-100,1),IF(ROUND(100/W26*X26-100,1)&gt;999,999,-999)))</f>
        <v>0</v>
      </c>
      <c r="Z26" s="434"/>
      <c r="AA26" s="435"/>
      <c r="AB26" s="542"/>
      <c r="AC26" s="543"/>
      <c r="AD26" s="435"/>
      <c r="AE26" s="543"/>
      <c r="AF26" s="544">
        <f t="shared" si="3"/>
        <v>14</v>
      </c>
      <c r="AG26" s="544">
        <f t="shared" si="3"/>
        <v>9.3478652042917894</v>
      </c>
      <c r="AH26" s="540">
        <f t="shared" si="6"/>
        <v>-33.200000000000003</v>
      </c>
      <c r="AI26" s="544">
        <f t="shared" si="7"/>
        <v>14</v>
      </c>
      <c r="AJ26" s="544">
        <f t="shared" si="7"/>
        <v>9.3478652042917894</v>
      </c>
      <c r="AK26" s="540">
        <f t="shared" si="8"/>
        <v>-33.200000000000003</v>
      </c>
    </row>
    <row r="27" spans="1:37" s="395" customFormat="1" ht="18.75" customHeight="1" x14ac:dyDescent="0.35">
      <c r="A27" s="421" t="s">
        <v>308</v>
      </c>
      <c r="B27" s="691"/>
      <c r="C27" s="692">
        <v>0.22442936999999999</v>
      </c>
      <c r="D27" s="540" t="str">
        <f t="shared" si="5"/>
        <v xml:space="preserve">    ---- </v>
      </c>
      <c r="E27" s="434"/>
      <c r="F27" s="435"/>
      <c r="G27" s="542"/>
      <c r="H27" s="434"/>
      <c r="I27" s="435"/>
      <c r="J27" s="542"/>
      <c r="K27" s="434"/>
      <c r="L27" s="435"/>
      <c r="M27" s="543"/>
      <c r="N27" s="435"/>
      <c r="O27" s="435"/>
      <c r="P27" s="542"/>
      <c r="Q27" s="434"/>
      <c r="R27" s="435"/>
      <c r="S27" s="540"/>
      <c r="T27" s="435"/>
      <c r="U27" s="435"/>
      <c r="V27" s="542"/>
      <c r="W27" s="434"/>
      <c r="X27" s="435"/>
      <c r="Y27" s="540"/>
      <c r="Z27" s="434"/>
      <c r="AA27" s="435"/>
      <c r="AB27" s="542"/>
      <c r="AC27" s="543"/>
      <c r="AD27" s="435"/>
      <c r="AE27" s="543"/>
      <c r="AF27" s="544">
        <f t="shared" si="3"/>
        <v>0</v>
      </c>
      <c r="AG27" s="544">
        <f t="shared" si="3"/>
        <v>0.22442936999999999</v>
      </c>
      <c r="AH27" s="540" t="str">
        <f t="shared" si="6"/>
        <v xml:space="preserve">    ---- </v>
      </c>
      <c r="AI27" s="544">
        <f t="shared" si="7"/>
        <v>0</v>
      </c>
      <c r="AJ27" s="544">
        <f t="shared" si="7"/>
        <v>0.22442936999999999</v>
      </c>
      <c r="AK27" s="540" t="str">
        <f t="shared" si="8"/>
        <v xml:space="preserve">    ---- </v>
      </c>
    </row>
    <row r="28" spans="1:37" s="395" customFormat="1" ht="18.75" customHeight="1" x14ac:dyDescent="0.35">
      <c r="A28" s="421" t="s">
        <v>309</v>
      </c>
      <c r="B28" s="691">
        <v>27</v>
      </c>
      <c r="C28" s="692">
        <v>21.60304442</v>
      </c>
      <c r="D28" s="540">
        <f t="shared" si="5"/>
        <v>-20</v>
      </c>
      <c r="E28" s="434"/>
      <c r="F28" s="435"/>
      <c r="G28" s="542"/>
      <c r="H28" s="434"/>
      <c r="I28" s="435"/>
      <c r="J28" s="542"/>
      <c r="K28" s="434"/>
      <c r="L28" s="435"/>
      <c r="M28" s="543"/>
      <c r="N28" s="435"/>
      <c r="O28" s="435"/>
      <c r="P28" s="542"/>
      <c r="Q28" s="434"/>
      <c r="R28" s="435"/>
      <c r="S28" s="540"/>
      <c r="T28" s="435"/>
      <c r="U28" s="435"/>
      <c r="V28" s="542"/>
      <c r="W28" s="434"/>
      <c r="X28" s="435"/>
      <c r="Y28" s="540"/>
      <c r="Z28" s="434"/>
      <c r="AA28" s="435"/>
      <c r="AB28" s="542"/>
      <c r="AC28" s="543"/>
      <c r="AD28" s="435"/>
      <c r="AE28" s="543"/>
      <c r="AF28" s="544">
        <f t="shared" si="3"/>
        <v>27</v>
      </c>
      <c r="AG28" s="544">
        <f t="shared" si="3"/>
        <v>21.60304442</v>
      </c>
      <c r="AH28" s="540">
        <f t="shared" si="6"/>
        <v>-20</v>
      </c>
      <c r="AI28" s="544">
        <f t="shared" si="7"/>
        <v>27</v>
      </c>
      <c r="AJ28" s="544">
        <f t="shared" si="7"/>
        <v>21.60304442</v>
      </c>
      <c r="AK28" s="540">
        <f t="shared" si="8"/>
        <v>-20</v>
      </c>
    </row>
    <row r="29" spans="1:37" s="395" customFormat="1" ht="18.75" customHeight="1" x14ac:dyDescent="0.35">
      <c r="A29" s="421" t="s">
        <v>310</v>
      </c>
      <c r="B29" s="691">
        <v>9</v>
      </c>
      <c r="C29" s="692">
        <v>10.028916754828513</v>
      </c>
      <c r="D29" s="540">
        <f t="shared" si="5"/>
        <v>11.4</v>
      </c>
      <c r="E29" s="434"/>
      <c r="F29" s="435"/>
      <c r="G29" s="542"/>
      <c r="H29" s="434"/>
      <c r="I29" s="435"/>
      <c r="J29" s="542"/>
      <c r="K29" s="434"/>
      <c r="L29" s="435"/>
      <c r="M29" s="543"/>
      <c r="N29" s="435"/>
      <c r="O29" s="435"/>
      <c r="P29" s="542"/>
      <c r="Q29" s="434"/>
      <c r="R29" s="435"/>
      <c r="S29" s="540"/>
      <c r="T29" s="435"/>
      <c r="U29" s="435"/>
      <c r="V29" s="542"/>
      <c r="W29" s="434"/>
      <c r="X29" s="435"/>
      <c r="Y29" s="540"/>
      <c r="Z29" s="434"/>
      <c r="AA29" s="435"/>
      <c r="AB29" s="542"/>
      <c r="AC29" s="543"/>
      <c r="AD29" s="435"/>
      <c r="AE29" s="543"/>
      <c r="AF29" s="544">
        <f t="shared" si="3"/>
        <v>9</v>
      </c>
      <c r="AG29" s="544">
        <f t="shared" si="3"/>
        <v>10.028916754828513</v>
      </c>
      <c r="AH29" s="540">
        <f t="shared" si="6"/>
        <v>11.4</v>
      </c>
      <c r="AI29" s="544">
        <f t="shared" si="7"/>
        <v>9</v>
      </c>
      <c r="AJ29" s="544">
        <f t="shared" si="7"/>
        <v>10.028916754828513</v>
      </c>
      <c r="AK29" s="540">
        <f t="shared" si="8"/>
        <v>11.4</v>
      </c>
    </row>
    <row r="30" spans="1:37" s="395" customFormat="1" ht="18.75" customHeight="1" x14ac:dyDescent="0.35">
      <c r="A30" s="421" t="s">
        <v>311</v>
      </c>
      <c r="B30" s="691"/>
      <c r="C30" s="692"/>
      <c r="D30" s="540"/>
      <c r="E30" s="434"/>
      <c r="F30" s="435"/>
      <c r="G30" s="542"/>
      <c r="H30" s="434"/>
      <c r="I30" s="435"/>
      <c r="J30" s="542"/>
      <c r="K30" s="434"/>
      <c r="L30" s="435"/>
      <c r="M30" s="543"/>
      <c r="N30" s="435"/>
      <c r="O30" s="435"/>
      <c r="P30" s="542"/>
      <c r="Q30" s="434"/>
      <c r="R30" s="435"/>
      <c r="S30" s="540"/>
      <c r="T30" s="435"/>
      <c r="U30" s="435"/>
      <c r="V30" s="542"/>
      <c r="W30" s="434"/>
      <c r="X30" s="435"/>
      <c r="Y30" s="540"/>
      <c r="Z30" s="434"/>
      <c r="AA30" s="435"/>
      <c r="AB30" s="542"/>
      <c r="AC30" s="543"/>
      <c r="AD30" s="435"/>
      <c r="AE30" s="543"/>
      <c r="AF30" s="544">
        <f t="shared" si="3"/>
        <v>0</v>
      </c>
      <c r="AG30" s="544">
        <f t="shared" si="3"/>
        <v>0</v>
      </c>
      <c r="AH30" s="540" t="str">
        <f t="shared" si="6"/>
        <v xml:space="preserve">    ---- </v>
      </c>
      <c r="AI30" s="544">
        <f t="shared" si="7"/>
        <v>0</v>
      </c>
      <c r="AJ30" s="544">
        <f t="shared" si="7"/>
        <v>0</v>
      </c>
      <c r="AK30" s="540" t="str">
        <f t="shared" si="8"/>
        <v xml:space="preserve">    ---- </v>
      </c>
    </row>
    <row r="31" spans="1:37" s="395" customFormat="1" ht="18.75" customHeight="1" x14ac:dyDescent="0.35">
      <c r="A31" s="421" t="s">
        <v>312</v>
      </c>
      <c r="B31" s="691"/>
      <c r="C31" s="692"/>
      <c r="D31" s="540"/>
      <c r="E31" s="434"/>
      <c r="F31" s="435"/>
      <c r="G31" s="449"/>
      <c r="H31" s="434"/>
      <c r="I31" s="435"/>
      <c r="J31" s="449"/>
      <c r="K31" s="434"/>
      <c r="L31" s="435"/>
      <c r="M31" s="435"/>
      <c r="N31" s="435"/>
      <c r="O31" s="435"/>
      <c r="P31" s="449"/>
      <c r="Q31" s="434"/>
      <c r="R31" s="435"/>
      <c r="S31" s="540"/>
      <c r="T31" s="435"/>
      <c r="U31" s="435"/>
      <c r="V31" s="449"/>
      <c r="W31" s="434"/>
      <c r="X31" s="435"/>
      <c r="Y31" s="540"/>
      <c r="Z31" s="434"/>
      <c r="AA31" s="435"/>
      <c r="AB31" s="449"/>
      <c r="AC31" s="435"/>
      <c r="AD31" s="435"/>
      <c r="AE31" s="435"/>
      <c r="AF31" s="544">
        <f t="shared" si="3"/>
        <v>0</v>
      </c>
      <c r="AG31" s="544">
        <f t="shared" si="3"/>
        <v>0</v>
      </c>
      <c r="AH31" s="449" t="str">
        <f t="shared" si="6"/>
        <v xml:space="preserve">    ---- </v>
      </c>
      <c r="AI31" s="544">
        <f t="shared" si="7"/>
        <v>0</v>
      </c>
      <c r="AJ31" s="544">
        <f t="shared" si="7"/>
        <v>0</v>
      </c>
      <c r="AK31" s="540" t="str">
        <f t="shared" si="8"/>
        <v xml:space="preserve">    ---- </v>
      </c>
    </row>
    <row r="32" spans="1:37" s="528" customFormat="1" ht="18.75" customHeight="1" x14ac:dyDescent="0.3">
      <c r="A32" s="535" t="s">
        <v>313</v>
      </c>
      <c r="B32" s="690">
        <f>SUM(B24:B29)+B31</f>
        <v>202</v>
      </c>
      <c r="C32" s="693">
        <f>SUM(C24:C29)+C31</f>
        <v>226.69714787823983</v>
      </c>
      <c r="D32" s="539">
        <f>IF(B32=0, "    ---- ", IF(ABS(ROUND(100/B32*C32-100,1))&lt;999,ROUND(100/B32*C32-100,1),IF(ROUND(100/B32*C32-100,1)&gt;999,999,-999)))</f>
        <v>12.2</v>
      </c>
      <c r="E32" s="432"/>
      <c r="F32" s="433"/>
      <c r="G32" s="450"/>
      <c r="H32" s="432"/>
      <c r="I32" s="433"/>
      <c r="J32" s="450"/>
      <c r="K32" s="432"/>
      <c r="L32" s="433"/>
      <c r="M32" s="433"/>
      <c r="N32" s="433"/>
      <c r="O32" s="433"/>
      <c r="P32" s="450"/>
      <c r="Q32" s="432"/>
      <c r="R32" s="433"/>
      <c r="S32" s="539"/>
      <c r="T32" s="433"/>
      <c r="U32" s="433"/>
      <c r="V32" s="450"/>
      <c r="W32" s="432">
        <f>SUM(W24:W29)+W31</f>
        <v>1</v>
      </c>
      <c r="X32" s="433">
        <f>SUM(X24:X29)+X31</f>
        <v>2</v>
      </c>
      <c r="Y32" s="539">
        <f>IF(W32=0, "    ---- ", IF(ABS(ROUND(100/W32*X32-100,1))&lt;999,ROUND(100/W32*X32-100,1),IF(ROUND(100/W32*X32-100,1)&gt;999,999,-999)))</f>
        <v>100</v>
      </c>
      <c r="Z32" s="432"/>
      <c r="AA32" s="433"/>
      <c r="AB32" s="450"/>
      <c r="AC32" s="433"/>
      <c r="AD32" s="433"/>
      <c r="AE32" s="433"/>
      <c r="AF32" s="545">
        <f t="shared" si="3"/>
        <v>203</v>
      </c>
      <c r="AG32" s="545">
        <f t="shared" si="3"/>
        <v>228.69714787823983</v>
      </c>
      <c r="AH32" s="450">
        <f t="shared" si="6"/>
        <v>12.7</v>
      </c>
      <c r="AI32" s="545">
        <f t="shared" si="7"/>
        <v>203</v>
      </c>
      <c r="AJ32" s="545">
        <f t="shared" si="7"/>
        <v>228.69714787823983</v>
      </c>
      <c r="AK32" s="450">
        <f t="shared" si="8"/>
        <v>12.7</v>
      </c>
    </row>
    <row r="33" spans="1:38" s="395" customFormat="1" ht="18.75" customHeight="1" x14ac:dyDescent="0.35">
      <c r="A33" s="421" t="s">
        <v>314</v>
      </c>
      <c r="B33" s="691">
        <v>154</v>
      </c>
      <c r="C33" s="692">
        <v>187.244891449542</v>
      </c>
      <c r="D33" s="540">
        <f>IF(B33=0, "    ---- ", IF(ABS(ROUND(100/B33*C33-100,1))&lt;999,ROUND(100/B33*C33-100,1),IF(ROUND(100/B33*C33-100,1)&gt;999,999,-999)))</f>
        <v>21.6</v>
      </c>
      <c r="E33" s="434"/>
      <c r="F33" s="435"/>
      <c r="G33" s="449"/>
      <c r="H33" s="434"/>
      <c r="I33" s="435"/>
      <c r="J33" s="449"/>
      <c r="K33" s="434"/>
      <c r="L33" s="435"/>
      <c r="M33" s="435"/>
      <c r="N33" s="435"/>
      <c r="O33" s="435"/>
      <c r="P33" s="449"/>
      <c r="Q33" s="434"/>
      <c r="R33" s="435"/>
      <c r="S33" s="540"/>
      <c r="T33" s="435"/>
      <c r="U33" s="435"/>
      <c r="V33" s="449"/>
      <c r="W33" s="434"/>
      <c r="X33" s="435"/>
      <c r="Y33" s="540"/>
      <c r="Z33" s="434"/>
      <c r="AA33" s="435"/>
      <c r="AB33" s="449"/>
      <c r="AC33" s="435"/>
      <c r="AD33" s="435"/>
      <c r="AE33" s="435"/>
      <c r="AF33" s="544">
        <f t="shared" si="3"/>
        <v>154</v>
      </c>
      <c r="AG33" s="544">
        <f t="shared" si="3"/>
        <v>187.244891449542</v>
      </c>
      <c r="AH33" s="449">
        <f t="shared" si="6"/>
        <v>21.6</v>
      </c>
      <c r="AI33" s="544">
        <f t="shared" si="7"/>
        <v>154</v>
      </c>
      <c r="AJ33" s="544">
        <f t="shared" si="7"/>
        <v>187.244891449542</v>
      </c>
      <c r="AK33" s="449">
        <f t="shared" si="8"/>
        <v>21.6</v>
      </c>
    </row>
    <row r="34" spans="1:38" s="395" customFormat="1" ht="18.75" customHeight="1" x14ac:dyDescent="0.35">
      <c r="A34" s="421" t="s">
        <v>315</v>
      </c>
      <c r="B34" s="691">
        <v>48</v>
      </c>
      <c r="C34" s="692">
        <v>39.452256428697837</v>
      </c>
      <c r="D34" s="540">
        <f>IF(B34=0, "    ---- ", IF(ABS(ROUND(100/B34*C34-100,1))&lt;999,ROUND(100/B34*C34-100,1),IF(ROUND(100/B34*C34-100,1)&gt;999,999,-999)))</f>
        <v>-17.8</v>
      </c>
      <c r="E34" s="434"/>
      <c r="F34" s="435"/>
      <c r="G34" s="449"/>
      <c r="H34" s="434"/>
      <c r="I34" s="435"/>
      <c r="J34" s="449"/>
      <c r="K34" s="434"/>
      <c r="L34" s="435"/>
      <c r="M34" s="435"/>
      <c r="N34" s="435"/>
      <c r="O34" s="435"/>
      <c r="P34" s="449"/>
      <c r="Q34" s="434"/>
      <c r="R34" s="435"/>
      <c r="S34" s="540"/>
      <c r="T34" s="435"/>
      <c r="U34" s="435"/>
      <c r="V34" s="449"/>
      <c r="W34" s="434">
        <v>1</v>
      </c>
      <c r="X34" s="435">
        <v>2</v>
      </c>
      <c r="Y34" s="540">
        <f>IF(W34=0, "    ---- ", IF(ABS(ROUND(100/W34*X34-100,1))&lt;999,ROUND(100/W34*X34-100,1),IF(ROUND(100/W34*X34-100,1)&gt;999,999,-999)))</f>
        <v>100</v>
      </c>
      <c r="Z34" s="434"/>
      <c r="AA34" s="435"/>
      <c r="AB34" s="449"/>
      <c r="AC34" s="435"/>
      <c r="AD34" s="435"/>
      <c r="AE34" s="435"/>
      <c r="AF34" s="544">
        <f t="shared" si="3"/>
        <v>49</v>
      </c>
      <c r="AG34" s="544">
        <f t="shared" si="3"/>
        <v>41.452256428697837</v>
      </c>
      <c r="AH34" s="449">
        <f t="shared" si="6"/>
        <v>-15.4</v>
      </c>
      <c r="AI34" s="544">
        <f t="shared" si="7"/>
        <v>49</v>
      </c>
      <c r="AJ34" s="544">
        <f t="shared" si="7"/>
        <v>41.452256428697837</v>
      </c>
      <c r="AK34" s="449">
        <f t="shared" si="8"/>
        <v>-15.4</v>
      </c>
    </row>
    <row r="35" spans="1:38" s="395" customFormat="1" ht="18.75" customHeight="1" x14ac:dyDescent="0.35">
      <c r="A35" s="535" t="s">
        <v>317</v>
      </c>
      <c r="B35" s="691"/>
      <c r="C35" s="454"/>
      <c r="D35" s="540"/>
      <c r="E35" s="434"/>
      <c r="F35" s="435"/>
      <c r="G35" s="449"/>
      <c r="H35" s="434"/>
      <c r="I35" s="435"/>
      <c r="J35" s="449"/>
      <c r="K35" s="434"/>
      <c r="L35" s="435"/>
      <c r="M35" s="435"/>
      <c r="N35" s="435"/>
      <c r="O35" s="435"/>
      <c r="P35" s="449"/>
      <c r="Q35" s="434"/>
      <c r="R35" s="435"/>
      <c r="S35" s="540"/>
      <c r="T35" s="435"/>
      <c r="U35" s="435"/>
      <c r="V35" s="449"/>
      <c r="W35" s="434"/>
      <c r="X35" s="435"/>
      <c r="Y35" s="540"/>
      <c r="Z35" s="434"/>
      <c r="AA35" s="435"/>
      <c r="AB35" s="449"/>
      <c r="AC35" s="435"/>
      <c r="AD35" s="435"/>
      <c r="AE35" s="435"/>
      <c r="AF35" s="544">
        <f t="shared" si="3"/>
        <v>0</v>
      </c>
      <c r="AG35" s="544">
        <f t="shared" si="3"/>
        <v>0</v>
      </c>
      <c r="AH35" s="449"/>
      <c r="AI35" s="544"/>
      <c r="AJ35" s="544"/>
      <c r="AK35" s="449"/>
    </row>
    <row r="36" spans="1:38" s="395" customFormat="1" ht="18" x14ac:dyDescent="0.35">
      <c r="A36" s="750" t="s">
        <v>497</v>
      </c>
      <c r="B36" s="691"/>
      <c r="C36" s="435"/>
      <c r="D36" s="540"/>
      <c r="E36" s="434">
        <v>50.598436729999996</v>
      </c>
      <c r="F36" s="435">
        <v>45.173769839999999</v>
      </c>
      <c r="G36" s="449">
        <f>IF(E36=0, "    ---- ", IF(ABS(ROUND(100/E36*F36-100,1))&lt;999,ROUND(100/E36*F36-100,1),IF(ROUND(100/E36*F36-100,1)&gt;999,999,-999)))</f>
        <v>-10.7</v>
      </c>
      <c r="H36" s="434">
        <v>16.498000000000001</v>
      </c>
      <c r="I36" s="435">
        <v>24.327999999999999</v>
      </c>
      <c r="J36" s="449">
        <f>IF(H36=0, "    ---- ", IF(ABS(ROUND(100/H36*I36-100,1))&lt;999,ROUND(100/H36*I36-100,1),IF(ROUND(100/H36*I36-100,1)&gt;999,999,-999)))</f>
        <v>47.5</v>
      </c>
      <c r="K36" s="434"/>
      <c r="L36" s="435"/>
      <c r="M36" s="435"/>
      <c r="N36" s="435"/>
      <c r="O36" s="435"/>
      <c r="P36" s="449"/>
      <c r="Q36" s="434">
        <v>10.141149909663293</v>
      </c>
      <c r="R36" s="435">
        <v>11.250566943495956</v>
      </c>
      <c r="S36" s="540">
        <f t="shared" si="0"/>
        <v>10.9</v>
      </c>
      <c r="T36" s="435"/>
      <c r="U36" s="435"/>
      <c r="V36" s="449"/>
      <c r="W36" s="434"/>
      <c r="X36" s="435"/>
      <c r="Y36" s="540"/>
      <c r="Z36" s="434">
        <v>21.540570030000101</v>
      </c>
      <c r="AA36" s="435">
        <v>21.113492149999978</v>
      </c>
      <c r="AB36" s="449">
        <f>IF(Z36=0, "    ---- ", IF(ABS(ROUND(100/Z36*AA36-100,1))&lt;999,ROUND(100/Z36*AA36-100,1),IF(ROUND(100/Z36*AA36-100,1)&gt;999,999,-999)))</f>
        <v>-2</v>
      </c>
      <c r="AC36" s="435"/>
      <c r="AD36" s="435"/>
      <c r="AE36" s="435"/>
      <c r="AF36" s="544">
        <f>B36+E36+H36+K36+N36+Q36+T36+W36+Z36</f>
        <v>98.778156669663389</v>
      </c>
      <c r="AG36" s="544">
        <f>C36+F36+I36+L36+O36+R36+U36+X36+AA36</f>
        <v>101.86582893349592</v>
      </c>
      <c r="AH36" s="449">
        <f t="shared" si="6"/>
        <v>3.1</v>
      </c>
      <c r="AI36" s="544">
        <f t="shared" ref="AI36:AJ36" si="9">+B36+E36+H36+K36+N36+Q36+T36+W36+Z36+AC36</f>
        <v>98.778156669663389</v>
      </c>
      <c r="AJ36" s="544">
        <f t="shared" si="9"/>
        <v>101.86582893349592</v>
      </c>
      <c r="AK36" s="449">
        <f t="shared" si="8"/>
        <v>3.1</v>
      </c>
    </row>
    <row r="37" spans="1:38" s="395" customFormat="1" ht="18.75" customHeight="1" x14ac:dyDescent="0.35">
      <c r="A37" s="421" t="s">
        <v>498</v>
      </c>
      <c r="B37" s="691"/>
      <c r="C37" s="435"/>
      <c r="D37" s="540"/>
      <c r="E37" s="76"/>
      <c r="F37" s="400"/>
      <c r="G37" s="449"/>
      <c r="H37" s="76"/>
      <c r="I37" s="400"/>
      <c r="J37" s="449"/>
      <c r="K37" s="76"/>
      <c r="L37" s="400"/>
      <c r="M37" s="435"/>
      <c r="N37" s="435"/>
      <c r="O37" s="76"/>
      <c r="P37" s="449"/>
      <c r="Q37" s="76"/>
      <c r="R37" s="400"/>
      <c r="S37" s="540"/>
      <c r="T37" s="435"/>
      <c r="U37" s="76"/>
      <c r="V37" s="449"/>
      <c r="W37" s="76"/>
      <c r="X37" s="400"/>
      <c r="Y37" s="540"/>
      <c r="Z37" s="76"/>
      <c r="AA37" s="400"/>
      <c r="AB37" s="449"/>
      <c r="AC37" s="435"/>
      <c r="AD37" s="76"/>
      <c r="AE37" s="435"/>
      <c r="AF37" s="544"/>
      <c r="AG37" s="544"/>
      <c r="AH37" s="449"/>
      <c r="AI37" s="544"/>
      <c r="AJ37" s="544"/>
      <c r="AK37" s="449"/>
    </row>
    <row r="38" spans="1:38" s="395" customFormat="1" ht="18.75" customHeight="1" x14ac:dyDescent="0.35">
      <c r="A38" s="421" t="s">
        <v>307</v>
      </c>
      <c r="B38" s="691"/>
      <c r="C38" s="435"/>
      <c r="D38" s="540"/>
      <c r="E38" s="434">
        <v>69.424194319999756</v>
      </c>
      <c r="F38" s="435">
        <v>76.061537499999858</v>
      </c>
      <c r="G38" s="449">
        <f>IF(E38=0, "    ---- ", IF(ABS(ROUND(100/E38*F38-100,1))&lt;999,ROUND(100/E38*F38-100,1),IF(ROUND(100/E38*F38-100,1)&gt;999,999,-999)))</f>
        <v>9.6</v>
      </c>
      <c r="H38" s="434">
        <v>-8.4890000000000008</v>
      </c>
      <c r="I38" s="435">
        <v>-13.747999999999999</v>
      </c>
      <c r="J38" s="449">
        <f>IF(H38=0, "    ---- ", IF(ABS(ROUND(100/H38*I38-100,1))&lt;999,ROUND(100/H38*I38-100,1),IF(ROUND(100/H38*I38-100,1)&gt;999,999,-999)))</f>
        <v>62</v>
      </c>
      <c r="K38" s="434"/>
      <c r="L38" s="435"/>
      <c r="M38" s="435"/>
      <c r="N38" s="435"/>
      <c r="O38" s="435"/>
      <c r="P38" s="449"/>
      <c r="Q38" s="434">
        <v>16.401563892643377</v>
      </c>
      <c r="R38" s="435">
        <v>3.3302409341242911</v>
      </c>
      <c r="S38" s="540">
        <f t="shared" si="0"/>
        <v>-79.7</v>
      </c>
      <c r="T38" s="435"/>
      <c r="U38" s="435"/>
      <c r="V38" s="449"/>
      <c r="W38" s="434"/>
      <c r="X38" s="435"/>
      <c r="Y38" s="540"/>
      <c r="Z38" s="434">
        <v>7.3897014800000296</v>
      </c>
      <c r="AA38" s="435">
        <v>4.7253338400000189</v>
      </c>
      <c r="AB38" s="449">
        <f>IF(Z38=0, "    ---- ", IF(ABS(ROUND(100/Z38*AA38-100,1))&lt;999,ROUND(100/Z38*AA38-100,1),IF(ROUND(100/Z38*AA38-100,1)&gt;999,999,-999)))</f>
        <v>-36.1</v>
      </c>
      <c r="AC38" s="435"/>
      <c r="AD38" s="435"/>
      <c r="AE38" s="435"/>
      <c r="AF38" s="544">
        <f t="shared" ref="AF38:AG48" si="10">B38+E38+H38+K38+N38+Q38+T38+W38+Z38</f>
        <v>84.726459692643161</v>
      </c>
      <c r="AG38" s="544">
        <f t="shared" si="10"/>
        <v>70.369112274124177</v>
      </c>
      <c r="AH38" s="449">
        <f t="shared" si="6"/>
        <v>-16.899999999999999</v>
      </c>
      <c r="AI38" s="544">
        <f t="shared" ref="AI38:AJ46" si="11">+B38+E38+H38+K38+N38+Q38+T38+W38+Z38+AC38</f>
        <v>84.726459692643161</v>
      </c>
      <c r="AJ38" s="544">
        <f t="shared" si="11"/>
        <v>70.369112274124177</v>
      </c>
      <c r="AK38" s="449">
        <f t="shared" si="8"/>
        <v>-16.899999999999999</v>
      </c>
    </row>
    <row r="39" spans="1:38" s="395" customFormat="1" ht="18.75" customHeight="1" x14ac:dyDescent="0.35">
      <c r="A39" s="421" t="s">
        <v>308</v>
      </c>
      <c r="B39" s="691"/>
      <c r="C39" s="435"/>
      <c r="D39" s="540"/>
      <c r="E39" s="434"/>
      <c r="F39" s="435"/>
      <c r="G39" s="449"/>
      <c r="H39" s="434"/>
      <c r="I39" s="435"/>
      <c r="J39" s="449"/>
      <c r="K39" s="434"/>
      <c r="L39" s="435"/>
      <c r="M39" s="435"/>
      <c r="N39" s="435"/>
      <c r="O39" s="435"/>
      <c r="P39" s="449"/>
      <c r="Q39" s="434"/>
      <c r="R39" s="435"/>
      <c r="S39" s="540"/>
      <c r="T39" s="435"/>
      <c r="U39" s="435"/>
      <c r="V39" s="449"/>
      <c r="W39" s="434"/>
      <c r="X39" s="435"/>
      <c r="Y39" s="540"/>
      <c r="Z39" s="434"/>
      <c r="AA39" s="435"/>
      <c r="AB39" s="449"/>
      <c r="AC39" s="435"/>
      <c r="AD39" s="435"/>
      <c r="AE39" s="435"/>
      <c r="AF39" s="544">
        <f t="shared" si="10"/>
        <v>0</v>
      </c>
      <c r="AG39" s="544">
        <f t="shared" si="10"/>
        <v>0</v>
      </c>
      <c r="AH39" s="449" t="str">
        <f t="shared" si="6"/>
        <v xml:space="preserve">    ---- </v>
      </c>
      <c r="AI39" s="544">
        <f t="shared" si="11"/>
        <v>0</v>
      </c>
      <c r="AJ39" s="544">
        <f t="shared" si="11"/>
        <v>0</v>
      </c>
      <c r="AK39" s="449" t="str">
        <f t="shared" si="8"/>
        <v xml:space="preserve">    ---- </v>
      </c>
    </row>
    <row r="40" spans="1:38" s="395" customFormat="1" ht="18.75" customHeight="1" x14ac:dyDescent="0.35">
      <c r="A40" s="421" t="s">
        <v>309</v>
      </c>
      <c r="B40" s="691"/>
      <c r="C40" s="435"/>
      <c r="D40" s="540"/>
      <c r="E40" s="434"/>
      <c r="F40" s="435"/>
      <c r="G40" s="449"/>
      <c r="H40" s="434"/>
      <c r="I40" s="435"/>
      <c r="J40" s="449"/>
      <c r="K40" s="434"/>
      <c r="L40" s="435"/>
      <c r="M40" s="435"/>
      <c r="N40" s="435"/>
      <c r="O40" s="435"/>
      <c r="P40" s="449"/>
      <c r="Q40" s="434"/>
      <c r="R40" s="435"/>
      <c r="S40" s="540"/>
      <c r="T40" s="435"/>
      <c r="U40" s="435"/>
      <c r="V40" s="449"/>
      <c r="W40" s="434"/>
      <c r="X40" s="435"/>
      <c r="Y40" s="540"/>
      <c r="Z40" s="434"/>
      <c r="AA40" s="435"/>
      <c r="AB40" s="449"/>
      <c r="AC40" s="435"/>
      <c r="AD40" s="435"/>
      <c r="AE40" s="435"/>
      <c r="AF40" s="544">
        <f t="shared" si="10"/>
        <v>0</v>
      </c>
      <c r="AG40" s="544">
        <f t="shared" si="10"/>
        <v>0</v>
      </c>
      <c r="AH40" s="449" t="str">
        <f t="shared" si="6"/>
        <v xml:space="preserve">    ---- </v>
      </c>
      <c r="AI40" s="544">
        <f t="shared" si="11"/>
        <v>0</v>
      </c>
      <c r="AJ40" s="544">
        <f t="shared" si="11"/>
        <v>0</v>
      </c>
      <c r="AK40" s="449" t="str">
        <f t="shared" si="8"/>
        <v xml:space="preserve">    ---- </v>
      </c>
    </row>
    <row r="41" spans="1:38" s="395" customFormat="1" ht="18.75" customHeight="1" x14ac:dyDescent="0.35">
      <c r="A41" s="421" t="s">
        <v>310</v>
      </c>
      <c r="B41" s="691"/>
      <c r="C41" s="435"/>
      <c r="D41" s="540"/>
      <c r="E41" s="434">
        <v>570.87628996000035</v>
      </c>
      <c r="F41" s="435">
        <v>608.19770393000033</v>
      </c>
      <c r="G41" s="449">
        <f>IF(E41=0, "    ---- ", IF(ABS(ROUND(100/E41*F41-100,1))&lt;999,ROUND(100/E41*F41-100,1),IF(ROUND(100/E41*F41-100,1)&gt;999,999,-999)))</f>
        <v>6.5</v>
      </c>
      <c r="H41" s="434">
        <v>121.575</v>
      </c>
      <c r="I41" s="435">
        <v>123.526</v>
      </c>
      <c r="J41" s="449">
        <f>IF(H41=0, "    ---- ", IF(ABS(ROUND(100/H41*I41-100,1))&lt;999,ROUND(100/H41*I41-100,1),IF(ROUND(100/H41*I41-100,1)&gt;999,999,-999)))</f>
        <v>1.6</v>
      </c>
      <c r="K41" s="434"/>
      <c r="L41" s="435"/>
      <c r="M41" s="435"/>
      <c r="N41" s="435"/>
      <c r="O41" s="435"/>
      <c r="P41" s="449"/>
      <c r="Q41" s="434">
        <v>227.90617442791432</v>
      </c>
      <c r="R41" s="435">
        <v>277.33225847511659</v>
      </c>
      <c r="S41" s="540">
        <f t="shared" si="0"/>
        <v>21.7</v>
      </c>
      <c r="T41" s="435"/>
      <c r="U41" s="435"/>
      <c r="V41" s="449"/>
      <c r="W41" s="434"/>
      <c r="X41" s="435"/>
      <c r="Y41" s="540"/>
      <c r="Z41" s="434">
        <v>282.36765749</v>
      </c>
      <c r="AA41" s="435">
        <v>219.11933975999997</v>
      </c>
      <c r="AB41" s="449">
        <f>IF(Z41=0, "    ---- ", IF(ABS(ROUND(100/Z41*AA41-100,1))&lt;999,ROUND(100/Z41*AA41-100,1),IF(ROUND(100/Z41*AA41-100,1)&gt;999,999,-999)))</f>
        <v>-22.4</v>
      </c>
      <c r="AC41" s="435"/>
      <c r="AD41" s="435"/>
      <c r="AE41" s="435"/>
      <c r="AF41" s="544">
        <f t="shared" si="10"/>
        <v>1202.7251218779147</v>
      </c>
      <c r="AG41" s="544">
        <f t="shared" si="10"/>
        <v>1228.1753021651168</v>
      </c>
      <c r="AH41" s="449">
        <f t="shared" si="6"/>
        <v>2.1</v>
      </c>
      <c r="AI41" s="544">
        <f t="shared" si="11"/>
        <v>1202.7251218779147</v>
      </c>
      <c r="AJ41" s="544">
        <f t="shared" si="11"/>
        <v>1228.1753021651168</v>
      </c>
      <c r="AK41" s="449">
        <f t="shared" si="8"/>
        <v>2.1</v>
      </c>
    </row>
    <row r="42" spans="1:38" s="395" customFormat="1" ht="18.75" customHeight="1" x14ac:dyDescent="0.35">
      <c r="A42" s="421" t="s">
        <v>311</v>
      </c>
      <c r="B42" s="691"/>
      <c r="C42" s="435"/>
      <c r="D42" s="540"/>
      <c r="E42" s="434"/>
      <c r="F42" s="435"/>
      <c r="G42" s="449"/>
      <c r="H42" s="434"/>
      <c r="I42" s="435"/>
      <c r="J42" s="449"/>
      <c r="K42" s="434"/>
      <c r="L42" s="435"/>
      <c r="M42" s="435"/>
      <c r="N42" s="435"/>
      <c r="O42" s="435"/>
      <c r="P42" s="449"/>
      <c r="Q42" s="434"/>
      <c r="R42" s="435"/>
      <c r="S42" s="540"/>
      <c r="T42" s="435"/>
      <c r="U42" s="435"/>
      <c r="V42" s="449"/>
      <c r="W42" s="434"/>
      <c r="X42" s="435"/>
      <c r="Y42" s="540"/>
      <c r="Z42" s="434"/>
      <c r="AA42" s="435"/>
      <c r="AB42" s="449"/>
      <c r="AC42" s="435"/>
      <c r="AD42" s="435"/>
      <c r="AE42" s="435"/>
      <c r="AF42" s="544">
        <f t="shared" si="10"/>
        <v>0</v>
      </c>
      <c r="AG42" s="544">
        <f t="shared" si="10"/>
        <v>0</v>
      </c>
      <c r="AH42" s="449" t="str">
        <f t="shared" si="6"/>
        <v xml:space="preserve">    ---- </v>
      </c>
      <c r="AI42" s="544">
        <f t="shared" si="11"/>
        <v>0</v>
      </c>
      <c r="AJ42" s="544">
        <f t="shared" si="11"/>
        <v>0</v>
      </c>
      <c r="AK42" s="449" t="str">
        <f t="shared" si="8"/>
        <v xml:space="preserve">    ---- </v>
      </c>
    </row>
    <row r="43" spans="1:38" s="395" customFormat="1" ht="18.75" customHeight="1" x14ac:dyDescent="0.35">
      <c r="A43" s="421" t="s">
        <v>312</v>
      </c>
      <c r="B43" s="691"/>
      <c r="C43" s="435"/>
      <c r="D43" s="540"/>
      <c r="E43" s="434"/>
      <c r="F43" s="435"/>
      <c r="G43" s="449"/>
      <c r="H43" s="434"/>
      <c r="I43" s="435"/>
      <c r="J43" s="449"/>
      <c r="K43" s="434"/>
      <c r="L43" s="435"/>
      <c r="M43" s="435"/>
      <c r="N43" s="435"/>
      <c r="O43" s="435"/>
      <c r="P43" s="449"/>
      <c r="Q43" s="434"/>
      <c r="R43" s="435"/>
      <c r="S43" s="540"/>
      <c r="T43" s="435"/>
      <c r="U43" s="435"/>
      <c r="V43" s="449"/>
      <c r="W43" s="434"/>
      <c r="X43" s="435"/>
      <c r="Y43" s="540"/>
      <c r="Z43" s="434"/>
      <c r="AA43" s="435"/>
      <c r="AB43" s="449"/>
      <c r="AC43" s="435"/>
      <c r="AD43" s="435"/>
      <c r="AE43" s="435"/>
      <c r="AF43" s="544">
        <f t="shared" si="10"/>
        <v>0</v>
      </c>
      <c r="AG43" s="544">
        <f t="shared" si="10"/>
        <v>0</v>
      </c>
      <c r="AH43" s="449" t="str">
        <f t="shared" si="6"/>
        <v xml:space="preserve">    ---- </v>
      </c>
      <c r="AI43" s="544">
        <f t="shared" si="11"/>
        <v>0</v>
      </c>
      <c r="AJ43" s="544">
        <f t="shared" si="11"/>
        <v>0</v>
      </c>
      <c r="AK43" s="449" t="str">
        <f t="shared" si="8"/>
        <v xml:space="preserve">    ---- </v>
      </c>
    </row>
    <row r="44" spans="1:38" s="528" customFormat="1" ht="18.75" customHeight="1" x14ac:dyDescent="0.3">
      <c r="A44" s="535" t="s">
        <v>313</v>
      </c>
      <c r="B44" s="690"/>
      <c r="C44" s="433"/>
      <c r="D44" s="539"/>
      <c r="E44" s="432">
        <f>SUM(E36:E41)+E43</f>
        <v>690.89892101000009</v>
      </c>
      <c r="F44" s="433">
        <f>SUM(F36:F41)+F43</f>
        <v>729.43301127000018</v>
      </c>
      <c r="G44" s="450">
        <f>IF(E44=0, "    ---- ", IF(ABS(ROUND(100/E44*F44-100,1))&lt;999,ROUND(100/E44*F44-100,1),IF(ROUND(100/E44*F44-100,1)&gt;999,999,-999)))</f>
        <v>5.6</v>
      </c>
      <c r="H44" s="432">
        <f>SUM(H36:H41)+H43</f>
        <v>129.584</v>
      </c>
      <c r="I44" s="433">
        <f>SUM(I36:I41)+I43</f>
        <v>134.10599999999999</v>
      </c>
      <c r="J44" s="450">
        <f>IF(H44=0, "    ---- ", IF(ABS(ROUND(100/H44*I44-100,1))&lt;999,ROUND(100/H44*I44-100,1),IF(ROUND(100/H44*I44-100,1)&gt;999,999,-999)))</f>
        <v>3.5</v>
      </c>
      <c r="K44" s="432"/>
      <c r="L44" s="433"/>
      <c r="M44" s="433"/>
      <c r="N44" s="433"/>
      <c r="O44" s="433"/>
      <c r="P44" s="450"/>
      <c r="Q44" s="432">
        <f>SUM(Q36:Q41)+Q43</f>
        <v>254.448888230221</v>
      </c>
      <c r="R44" s="433">
        <f>SUM(R36:R41)+R43</f>
        <v>291.91306635273685</v>
      </c>
      <c r="S44" s="539">
        <f t="shared" si="0"/>
        <v>14.7</v>
      </c>
      <c r="T44" s="433"/>
      <c r="U44" s="433"/>
      <c r="V44" s="450"/>
      <c r="W44" s="432"/>
      <c r="X44" s="433"/>
      <c r="Y44" s="539"/>
      <c r="Z44" s="432">
        <f>SUM(Z36:Z41)+Z43</f>
        <v>311.29792900000012</v>
      </c>
      <c r="AA44" s="433">
        <f>SUM(AA36:AA41)+AA43</f>
        <v>244.95816574999998</v>
      </c>
      <c r="AB44" s="450">
        <f>IF(Z44=0, "    ---- ", IF(ABS(ROUND(100/Z44*AA44-100,1))&lt;999,ROUND(100/Z44*AA44-100,1),IF(ROUND(100/Z44*AA44-100,1)&gt;999,999,-999)))</f>
        <v>-21.3</v>
      </c>
      <c r="AC44" s="433"/>
      <c r="AD44" s="433"/>
      <c r="AE44" s="433"/>
      <c r="AF44" s="545">
        <f t="shared" si="10"/>
        <v>1386.2297382402212</v>
      </c>
      <c r="AG44" s="545">
        <f t="shared" si="10"/>
        <v>1400.4102433727371</v>
      </c>
      <c r="AH44" s="450">
        <f t="shared" si="6"/>
        <v>1</v>
      </c>
      <c r="AI44" s="545">
        <f t="shared" si="11"/>
        <v>1386.2297382402212</v>
      </c>
      <c r="AJ44" s="545">
        <f t="shared" si="11"/>
        <v>1400.4102433727371</v>
      </c>
      <c r="AK44" s="450">
        <f t="shared" si="8"/>
        <v>1</v>
      </c>
    </row>
    <row r="45" spans="1:38" s="395" customFormat="1" ht="18.75" customHeight="1" x14ac:dyDescent="0.35">
      <c r="A45" s="421" t="s">
        <v>314</v>
      </c>
      <c r="B45" s="691"/>
      <c r="C45" s="435"/>
      <c r="D45" s="540"/>
      <c r="E45" s="434"/>
      <c r="F45" s="435"/>
      <c r="G45" s="449"/>
      <c r="H45" s="434"/>
      <c r="I45" s="435"/>
      <c r="J45" s="449"/>
      <c r="K45" s="434"/>
      <c r="L45" s="435"/>
      <c r="M45" s="435"/>
      <c r="N45" s="435"/>
      <c r="O45" s="435"/>
      <c r="P45" s="449"/>
      <c r="Q45" s="434"/>
      <c r="R45" s="435"/>
      <c r="S45" s="540"/>
      <c r="T45" s="435"/>
      <c r="U45" s="435"/>
      <c r="V45" s="449"/>
      <c r="W45" s="434"/>
      <c r="X45" s="435"/>
      <c r="Y45" s="540"/>
      <c r="Z45" s="434"/>
      <c r="AA45" s="435"/>
      <c r="AB45" s="449"/>
      <c r="AC45" s="435"/>
      <c r="AD45" s="435"/>
      <c r="AE45" s="435"/>
      <c r="AF45" s="544">
        <f t="shared" si="10"/>
        <v>0</v>
      </c>
      <c r="AG45" s="544">
        <f t="shared" si="10"/>
        <v>0</v>
      </c>
      <c r="AH45" s="449" t="str">
        <f t="shared" si="6"/>
        <v xml:space="preserve">    ---- </v>
      </c>
      <c r="AI45" s="544">
        <f t="shared" si="11"/>
        <v>0</v>
      </c>
      <c r="AJ45" s="544">
        <f t="shared" si="11"/>
        <v>0</v>
      </c>
      <c r="AK45" s="449" t="str">
        <f t="shared" si="8"/>
        <v xml:space="preserve">    ---- </v>
      </c>
    </row>
    <row r="46" spans="1:38" s="395" customFormat="1" ht="18.75" customHeight="1" x14ac:dyDescent="0.35">
      <c r="A46" s="421" t="s">
        <v>315</v>
      </c>
      <c r="B46" s="691"/>
      <c r="C46" s="435"/>
      <c r="D46" s="540"/>
      <c r="E46" s="434">
        <v>690.89892101000021</v>
      </c>
      <c r="F46" s="435">
        <v>729.43301127000018</v>
      </c>
      <c r="G46" s="449">
        <f>IF(E46=0, "    ---- ", IF(ABS(ROUND(100/E46*F46-100,1))&lt;999,ROUND(100/E46*F46-100,1),IF(ROUND(100/E46*F46-100,1)&gt;999,999,-999)))</f>
        <v>5.6</v>
      </c>
      <c r="H46" s="434">
        <v>129.85400000000001</v>
      </c>
      <c r="I46" s="435">
        <v>134.01599999999999</v>
      </c>
      <c r="J46" s="449">
        <f>IF(H46=0, "    ---- ", IF(ABS(ROUND(100/H46*I46-100,1))&lt;999,ROUND(100/H46*I46-100,1),IF(ROUND(100/H46*I46-100,1)&gt;999,999,-999)))</f>
        <v>3.2</v>
      </c>
      <c r="K46" s="434"/>
      <c r="L46" s="435"/>
      <c r="M46" s="435"/>
      <c r="N46" s="435"/>
      <c r="O46" s="435"/>
      <c r="P46" s="449"/>
      <c r="Q46" s="434">
        <v>254.448888230221</v>
      </c>
      <c r="R46" s="435">
        <v>291.91306635273685</v>
      </c>
      <c r="S46" s="540">
        <f t="shared" si="0"/>
        <v>14.7</v>
      </c>
      <c r="T46" s="435"/>
      <c r="U46" s="435"/>
      <c r="V46" s="449"/>
      <c r="W46" s="434"/>
      <c r="X46" s="435"/>
      <c r="Y46" s="540"/>
      <c r="Z46" s="434">
        <v>311.29792900000001</v>
      </c>
      <c r="AA46" s="435">
        <v>244.95816574999998</v>
      </c>
      <c r="AB46" s="449">
        <f>IF(Z46=0, "    ---- ", IF(ABS(ROUND(100/Z46*AA46-100,1))&lt;999,ROUND(100/Z46*AA46-100,1),IF(ROUND(100/Z46*AA46-100,1)&gt;999,999,-999)))</f>
        <v>-21.3</v>
      </c>
      <c r="AC46" s="435"/>
      <c r="AD46" s="435"/>
      <c r="AE46" s="435"/>
      <c r="AF46" s="544">
        <f t="shared" si="10"/>
        <v>1386.4997382402214</v>
      </c>
      <c r="AG46" s="544">
        <f t="shared" si="10"/>
        <v>1400.320243372737</v>
      </c>
      <c r="AH46" s="449">
        <f t="shared" si="6"/>
        <v>1</v>
      </c>
      <c r="AI46" s="544">
        <f t="shared" si="11"/>
        <v>1386.4997382402214</v>
      </c>
      <c r="AJ46" s="544">
        <f t="shared" si="11"/>
        <v>1400.320243372737</v>
      </c>
      <c r="AK46" s="449">
        <f t="shared" si="8"/>
        <v>1</v>
      </c>
      <c r="AL46" s="528"/>
    </row>
    <row r="47" spans="1:38" s="528" customFormat="1" ht="18.75" customHeight="1" x14ac:dyDescent="0.35">
      <c r="A47" s="535" t="s">
        <v>318</v>
      </c>
      <c r="B47" s="690"/>
      <c r="C47" s="433"/>
      <c r="D47" s="539"/>
      <c r="E47" s="432"/>
      <c r="F47" s="433"/>
      <c r="G47" s="450"/>
      <c r="H47" s="432"/>
      <c r="I47" s="433"/>
      <c r="J47" s="450"/>
      <c r="K47" s="432"/>
      <c r="L47" s="433"/>
      <c r="M47" s="433"/>
      <c r="N47" s="433"/>
      <c r="O47" s="433"/>
      <c r="P47" s="450"/>
      <c r="Q47" s="432"/>
      <c r="R47" s="433"/>
      <c r="S47" s="539"/>
      <c r="T47" s="433"/>
      <c r="U47" s="433"/>
      <c r="V47" s="450"/>
      <c r="W47" s="432"/>
      <c r="X47" s="433"/>
      <c r="Y47" s="539"/>
      <c r="Z47" s="432"/>
      <c r="AA47" s="433"/>
      <c r="AB47" s="450"/>
      <c r="AC47" s="433"/>
      <c r="AD47" s="433"/>
      <c r="AE47" s="433"/>
      <c r="AF47" s="544">
        <f t="shared" si="10"/>
        <v>0</v>
      </c>
      <c r="AG47" s="544">
        <f t="shared" si="10"/>
        <v>0</v>
      </c>
      <c r="AH47" s="450"/>
      <c r="AI47" s="544"/>
      <c r="AJ47" s="544"/>
      <c r="AK47" s="450"/>
    </row>
    <row r="48" spans="1:38" s="395" customFormat="1" ht="18" x14ac:dyDescent="0.35">
      <c r="A48" s="750" t="s">
        <v>497</v>
      </c>
      <c r="B48" s="691">
        <v>1437.4559999999999</v>
      </c>
      <c r="C48" s="435">
        <v>1129.1678285228998</v>
      </c>
      <c r="D48" s="540">
        <f>IF(B48=0, "    ---- ", IF(ABS(ROUND(100/B48*C48-100,1))&lt;999,ROUND(100/B48*C48-100,1),IF(ROUND(100/B48*C48-100,1)&gt;999,999,-999)))</f>
        <v>-21.4</v>
      </c>
      <c r="E48" s="434"/>
      <c r="F48" s="435"/>
      <c r="G48" s="449"/>
      <c r="H48" s="434"/>
      <c r="I48" s="435"/>
      <c r="J48" s="449"/>
      <c r="K48" s="434"/>
      <c r="L48" s="435"/>
      <c r="M48" s="435"/>
      <c r="N48" s="435"/>
      <c r="O48" s="435"/>
      <c r="P48" s="449"/>
      <c r="Q48" s="434">
        <v>0.51749014913606872</v>
      </c>
      <c r="R48" s="435">
        <v>0</v>
      </c>
      <c r="S48" s="540">
        <f t="shared" si="0"/>
        <v>-100</v>
      </c>
      <c r="T48" s="435"/>
      <c r="U48" s="435"/>
      <c r="V48" s="449"/>
      <c r="W48" s="434"/>
      <c r="X48" s="435"/>
      <c r="Y48" s="540"/>
      <c r="Z48" s="434">
        <v>0.16274656000041399</v>
      </c>
      <c r="AA48" s="435">
        <v>-0.14881079999940994</v>
      </c>
      <c r="AB48" s="449">
        <f>IF(Z48=0, "    ---- ", IF(ABS(ROUND(100/Z48*AA48-100,1))&lt;999,ROUND(100/Z48*AA48-100,1),IF(ROUND(100/Z48*AA48-100,1)&gt;999,999,-999)))</f>
        <v>-191.4</v>
      </c>
      <c r="AC48" s="435"/>
      <c r="AD48" s="435"/>
      <c r="AE48" s="435"/>
      <c r="AF48" s="544">
        <f t="shared" si="10"/>
        <v>1438.1362367091365</v>
      </c>
      <c r="AG48" s="544">
        <f t="shared" si="10"/>
        <v>1129.0190177229003</v>
      </c>
      <c r="AH48" s="449">
        <f t="shared" si="6"/>
        <v>-21.5</v>
      </c>
      <c r="AI48" s="544">
        <f t="shared" ref="AI48:AJ48" si="12">+B48+E48+H48+K48+N48+Q48+T48+W48+Z48+AC48</f>
        <v>1438.1362367091365</v>
      </c>
      <c r="AJ48" s="544">
        <f t="shared" si="12"/>
        <v>1129.0190177229003</v>
      </c>
      <c r="AK48" s="449">
        <f t="shared" si="8"/>
        <v>-21.5</v>
      </c>
    </row>
    <row r="49" spans="1:37" s="395" customFormat="1" ht="18.75" customHeight="1" x14ac:dyDescent="0.35">
      <c r="A49" s="421" t="s">
        <v>498</v>
      </c>
      <c r="B49" s="694"/>
      <c r="C49" s="400"/>
      <c r="D49" s="540"/>
      <c r="E49" s="76"/>
      <c r="F49" s="400"/>
      <c r="G49" s="449"/>
      <c r="H49" s="76"/>
      <c r="I49" s="400"/>
      <c r="J49" s="449"/>
      <c r="K49" s="76"/>
      <c r="L49" s="400"/>
      <c r="M49" s="435"/>
      <c r="N49" s="435"/>
      <c r="O49" s="76"/>
      <c r="P49" s="449"/>
      <c r="Q49" s="76"/>
      <c r="R49" s="400"/>
      <c r="S49" s="540"/>
      <c r="T49" s="435"/>
      <c r="U49" s="76"/>
      <c r="V49" s="449"/>
      <c r="W49" s="76"/>
      <c r="X49" s="400"/>
      <c r="Y49" s="540"/>
      <c r="Z49" s="76"/>
      <c r="AA49" s="400"/>
      <c r="AB49" s="449"/>
      <c r="AC49" s="435"/>
      <c r="AD49" s="76"/>
      <c r="AE49" s="435"/>
      <c r="AF49" s="544"/>
      <c r="AG49" s="544"/>
      <c r="AH49" s="449"/>
      <c r="AI49" s="544"/>
      <c r="AJ49" s="544"/>
      <c r="AK49" s="449"/>
    </row>
    <row r="50" spans="1:37" s="395" customFormat="1" ht="18.75" customHeight="1" x14ac:dyDescent="0.35">
      <c r="A50" s="421" t="s">
        <v>307</v>
      </c>
      <c r="B50" s="691">
        <v>20.642900000000001</v>
      </c>
      <c r="C50" s="435">
        <v>24.978828532288937</v>
      </c>
      <c r="D50" s="540">
        <f>IF(B50=0, "    ---- ", IF(ABS(ROUND(100/B50*C50-100,1))&lt;999,ROUND(100/B50*C50-100,1),IF(ROUND(100/B50*C50-100,1)&gt;999,999,-999)))</f>
        <v>21</v>
      </c>
      <c r="E50" s="434"/>
      <c r="F50" s="435"/>
      <c r="G50" s="449"/>
      <c r="H50" s="434"/>
      <c r="I50" s="435"/>
      <c r="J50" s="449"/>
      <c r="K50" s="434"/>
      <c r="L50" s="435"/>
      <c r="M50" s="435"/>
      <c r="N50" s="435"/>
      <c r="O50" s="435"/>
      <c r="P50" s="449"/>
      <c r="Q50" s="434">
        <v>369.8058327373983</v>
      </c>
      <c r="R50" s="435">
        <v>418.53507972955288</v>
      </c>
      <c r="S50" s="540">
        <f t="shared" si="0"/>
        <v>13.2</v>
      </c>
      <c r="T50" s="435"/>
      <c r="U50" s="435"/>
      <c r="V50" s="449"/>
      <c r="W50" s="434">
        <v>-6</v>
      </c>
      <c r="X50" s="435">
        <v>6</v>
      </c>
      <c r="Y50" s="540">
        <f>IF(W50=0, "    ---- ", IF(ABS(ROUND(100/W50*X50-100,1))&lt;999,ROUND(100/W50*X50-100,1),IF(ROUND(100/W50*X50-100,1)&gt;999,999,-999)))</f>
        <v>-200</v>
      </c>
      <c r="Z50" s="434">
        <v>76.038315310000002</v>
      </c>
      <c r="AA50" s="435">
        <v>83.042808599999987</v>
      </c>
      <c r="AB50" s="449">
        <f>IF(Z50=0, "    ---- ", IF(ABS(ROUND(100/Z50*AA50-100,1))&lt;999,ROUND(100/Z50*AA50-100,1),IF(ROUND(100/Z50*AA50-100,1)&gt;999,999,-999)))</f>
        <v>9.1999999999999993</v>
      </c>
      <c r="AC50" s="435"/>
      <c r="AD50" s="435"/>
      <c r="AE50" s="435"/>
      <c r="AF50" s="544">
        <f t="shared" ref="AF50:AG58" si="13">B50+E50+H50+K50+N50+Q50+T50+W50+Z50</f>
        <v>460.48704804739828</v>
      </c>
      <c r="AG50" s="544">
        <f t="shared" si="13"/>
        <v>532.55671686184178</v>
      </c>
      <c r="AH50" s="449">
        <f t="shared" si="6"/>
        <v>15.7</v>
      </c>
      <c r="AI50" s="544">
        <f t="shared" ref="AI50:AJ58" si="14">+B50+E50+H50+K50+N50+Q50+T50+W50+Z50+AC50</f>
        <v>460.48704804739828</v>
      </c>
      <c r="AJ50" s="544">
        <f t="shared" si="14"/>
        <v>532.55671686184178</v>
      </c>
      <c r="AK50" s="449">
        <f t="shared" si="8"/>
        <v>15.7</v>
      </c>
    </row>
    <row r="51" spans="1:37" s="395" customFormat="1" ht="18.75" customHeight="1" x14ac:dyDescent="0.35">
      <c r="A51" s="421" t="s">
        <v>308</v>
      </c>
      <c r="B51" s="691"/>
      <c r="C51" s="435"/>
      <c r="D51" s="540"/>
      <c r="E51" s="434"/>
      <c r="F51" s="435"/>
      <c r="G51" s="449"/>
      <c r="H51" s="434"/>
      <c r="I51" s="435"/>
      <c r="J51" s="449"/>
      <c r="K51" s="434"/>
      <c r="L51" s="435"/>
      <c r="M51" s="435"/>
      <c r="N51" s="435"/>
      <c r="O51" s="435"/>
      <c r="P51" s="449"/>
      <c r="Q51" s="434"/>
      <c r="R51" s="435"/>
      <c r="S51" s="540"/>
      <c r="T51" s="435"/>
      <c r="U51" s="435"/>
      <c r="V51" s="449"/>
      <c r="W51" s="434"/>
      <c r="X51" s="435"/>
      <c r="Y51" s="540"/>
      <c r="Z51" s="434"/>
      <c r="AA51" s="435"/>
      <c r="AB51" s="449"/>
      <c r="AC51" s="435"/>
      <c r="AD51" s="435"/>
      <c r="AE51" s="435"/>
      <c r="AF51" s="544">
        <f t="shared" si="13"/>
        <v>0</v>
      </c>
      <c r="AG51" s="544">
        <f t="shared" si="13"/>
        <v>0</v>
      </c>
      <c r="AH51" s="449" t="str">
        <f t="shared" si="6"/>
        <v xml:space="preserve">    ---- </v>
      </c>
      <c r="AI51" s="544">
        <f t="shared" si="14"/>
        <v>0</v>
      </c>
      <c r="AJ51" s="544">
        <f t="shared" si="14"/>
        <v>0</v>
      </c>
      <c r="AK51" s="449" t="str">
        <f t="shared" si="8"/>
        <v xml:space="preserve">    ---- </v>
      </c>
    </row>
    <row r="52" spans="1:37" s="395" customFormat="1" ht="18.75" customHeight="1" x14ac:dyDescent="0.35">
      <c r="A52" s="421" t="s">
        <v>309</v>
      </c>
      <c r="B52" s="691"/>
      <c r="C52" s="435"/>
      <c r="D52" s="540"/>
      <c r="E52" s="434"/>
      <c r="F52" s="435"/>
      <c r="G52" s="449"/>
      <c r="H52" s="434"/>
      <c r="I52" s="435"/>
      <c r="J52" s="449"/>
      <c r="K52" s="434"/>
      <c r="L52" s="435"/>
      <c r="M52" s="435"/>
      <c r="N52" s="435"/>
      <c r="O52" s="435"/>
      <c r="P52" s="449"/>
      <c r="Q52" s="434"/>
      <c r="R52" s="435"/>
      <c r="S52" s="540"/>
      <c r="T52" s="435"/>
      <c r="U52" s="435"/>
      <c r="V52" s="449"/>
      <c r="W52" s="434"/>
      <c r="X52" s="435"/>
      <c r="Y52" s="540"/>
      <c r="Z52" s="434"/>
      <c r="AA52" s="435"/>
      <c r="AB52" s="449"/>
      <c r="AC52" s="435"/>
      <c r="AD52" s="435"/>
      <c r="AE52" s="435"/>
      <c r="AF52" s="544">
        <f t="shared" si="13"/>
        <v>0</v>
      </c>
      <c r="AG52" s="544">
        <f t="shared" si="13"/>
        <v>0</v>
      </c>
      <c r="AH52" s="449" t="str">
        <f t="shared" si="6"/>
        <v xml:space="preserve">    ---- </v>
      </c>
      <c r="AI52" s="544">
        <f t="shared" si="14"/>
        <v>0</v>
      </c>
      <c r="AJ52" s="544">
        <f t="shared" si="14"/>
        <v>0</v>
      </c>
      <c r="AK52" s="449" t="str">
        <f t="shared" si="8"/>
        <v xml:space="preserve">    ---- </v>
      </c>
    </row>
    <row r="53" spans="1:37" s="395" customFormat="1" ht="18.75" customHeight="1" x14ac:dyDescent="0.35">
      <c r="A53" s="421" t="s">
        <v>310</v>
      </c>
      <c r="B53" s="691">
        <v>0.52280000000000004</v>
      </c>
      <c r="C53" s="435">
        <v>0.49939476999999993</v>
      </c>
      <c r="D53" s="540">
        <f>IF(B53=0, "    ---- ", IF(ABS(ROUND(100/B53*C53-100,1))&lt;999,ROUND(100/B53*C53-100,1),IF(ROUND(100/B53*C53-100,1)&gt;999,999,-999)))</f>
        <v>-4.5</v>
      </c>
      <c r="E53" s="434"/>
      <c r="F53" s="435"/>
      <c r="G53" s="449"/>
      <c r="H53" s="434"/>
      <c r="I53" s="435"/>
      <c r="J53" s="449"/>
      <c r="K53" s="434"/>
      <c r="L53" s="435"/>
      <c r="M53" s="435"/>
      <c r="N53" s="435"/>
      <c r="O53" s="435"/>
      <c r="P53" s="449"/>
      <c r="Q53" s="434">
        <v>11.401927640000004</v>
      </c>
      <c r="R53" s="435">
        <v>13.816400290000001</v>
      </c>
      <c r="S53" s="540">
        <f t="shared" si="0"/>
        <v>21.2</v>
      </c>
      <c r="T53" s="435"/>
      <c r="U53" s="435"/>
      <c r="V53" s="449"/>
      <c r="W53" s="434">
        <v>1</v>
      </c>
      <c r="X53" s="435"/>
      <c r="Y53" s="540">
        <f>IF(W53=0, "    ---- ", IF(ABS(ROUND(100/W53*X53-100,1))&lt;999,ROUND(100/W53*X53-100,1),IF(ROUND(100/W53*X53-100,1)&gt;999,999,-999)))</f>
        <v>-100</v>
      </c>
      <c r="Z53" s="434"/>
      <c r="AA53" s="435">
        <v>1.1750427599999975</v>
      </c>
      <c r="AB53" s="449" t="str">
        <f>IF(Z53=0, "    ---- ", IF(ABS(ROUND(100/Z53*AA53-100,1))&lt;999,ROUND(100/Z53*AA53-100,1),IF(ROUND(100/Z53*AA53-100,1)&gt;999,999,-999)))</f>
        <v xml:space="preserve">    ---- </v>
      </c>
      <c r="AC53" s="435"/>
      <c r="AD53" s="435"/>
      <c r="AE53" s="435"/>
      <c r="AF53" s="544">
        <f t="shared" si="13"/>
        <v>12.924727640000004</v>
      </c>
      <c r="AG53" s="544">
        <f t="shared" si="13"/>
        <v>15.490837819999999</v>
      </c>
      <c r="AH53" s="449">
        <f t="shared" si="6"/>
        <v>19.899999999999999</v>
      </c>
      <c r="AI53" s="544">
        <f t="shared" si="14"/>
        <v>12.924727640000004</v>
      </c>
      <c r="AJ53" s="544">
        <f t="shared" si="14"/>
        <v>15.490837819999999</v>
      </c>
      <c r="AK53" s="449">
        <f t="shared" si="8"/>
        <v>19.899999999999999</v>
      </c>
    </row>
    <row r="54" spans="1:37" s="395" customFormat="1" ht="18.75" customHeight="1" x14ac:dyDescent="0.35">
      <c r="A54" s="421" t="s">
        <v>311</v>
      </c>
      <c r="B54" s="691"/>
      <c r="C54" s="435"/>
      <c r="D54" s="540"/>
      <c r="E54" s="434"/>
      <c r="F54" s="435"/>
      <c r="G54" s="449"/>
      <c r="H54" s="434"/>
      <c r="I54" s="435"/>
      <c r="J54" s="449"/>
      <c r="K54" s="434"/>
      <c r="L54" s="435"/>
      <c r="M54" s="435"/>
      <c r="N54" s="435"/>
      <c r="O54" s="435"/>
      <c r="P54" s="449"/>
      <c r="Q54" s="434"/>
      <c r="R54" s="435"/>
      <c r="S54" s="540"/>
      <c r="T54" s="435"/>
      <c r="U54" s="435"/>
      <c r="V54" s="449"/>
      <c r="W54" s="434"/>
      <c r="X54" s="435"/>
      <c r="Y54" s="540"/>
      <c r="Z54" s="434"/>
      <c r="AA54" s="435"/>
      <c r="AB54" s="449"/>
      <c r="AC54" s="435"/>
      <c r="AD54" s="435"/>
      <c r="AE54" s="435"/>
      <c r="AF54" s="544">
        <f t="shared" si="13"/>
        <v>0</v>
      </c>
      <c r="AG54" s="544">
        <f t="shared" si="13"/>
        <v>0</v>
      </c>
      <c r="AH54" s="449" t="str">
        <f t="shared" si="6"/>
        <v xml:space="preserve">    ---- </v>
      </c>
      <c r="AI54" s="544">
        <f t="shared" si="14"/>
        <v>0</v>
      </c>
      <c r="AJ54" s="544">
        <f t="shared" si="14"/>
        <v>0</v>
      </c>
      <c r="AK54" s="449" t="str">
        <f t="shared" si="8"/>
        <v xml:space="preserve">    ---- </v>
      </c>
    </row>
    <row r="55" spans="1:37" s="395" customFormat="1" ht="18.75" customHeight="1" x14ac:dyDescent="0.35">
      <c r="A55" s="421" t="s">
        <v>312</v>
      </c>
      <c r="B55" s="691"/>
      <c r="C55" s="435"/>
      <c r="D55" s="540"/>
      <c r="E55" s="434"/>
      <c r="F55" s="435"/>
      <c r="G55" s="449"/>
      <c r="H55" s="434"/>
      <c r="I55" s="435"/>
      <c r="J55" s="449"/>
      <c r="K55" s="434"/>
      <c r="L55" s="435"/>
      <c r="M55" s="435"/>
      <c r="N55" s="435"/>
      <c r="O55" s="435"/>
      <c r="P55" s="449"/>
      <c r="Q55" s="434"/>
      <c r="R55" s="435"/>
      <c r="S55" s="540"/>
      <c r="T55" s="435"/>
      <c r="U55" s="435"/>
      <c r="V55" s="449"/>
      <c r="W55" s="434"/>
      <c r="X55" s="435"/>
      <c r="Y55" s="540"/>
      <c r="Z55" s="434"/>
      <c r="AA55" s="435"/>
      <c r="AB55" s="449"/>
      <c r="AC55" s="435"/>
      <c r="AD55" s="435"/>
      <c r="AE55" s="435"/>
      <c r="AF55" s="544">
        <f t="shared" si="13"/>
        <v>0</v>
      </c>
      <c r="AG55" s="544">
        <f t="shared" si="13"/>
        <v>0</v>
      </c>
      <c r="AH55" s="449" t="str">
        <f t="shared" si="6"/>
        <v xml:space="preserve">    ---- </v>
      </c>
      <c r="AI55" s="544">
        <f t="shared" si="14"/>
        <v>0</v>
      </c>
      <c r="AJ55" s="544">
        <f t="shared" si="14"/>
        <v>0</v>
      </c>
      <c r="AK55" s="449" t="str">
        <f t="shared" si="8"/>
        <v xml:space="preserve">    ---- </v>
      </c>
    </row>
    <row r="56" spans="1:37" s="528" customFormat="1" ht="18.75" customHeight="1" x14ac:dyDescent="0.3">
      <c r="A56" s="535" t="s">
        <v>313</v>
      </c>
      <c r="B56" s="690">
        <f>SUM(B48:B53)+B55</f>
        <v>1458.6216999999999</v>
      </c>
      <c r="C56" s="433">
        <f>SUM(C48:C53)+C55</f>
        <v>1154.6460518251886</v>
      </c>
      <c r="D56" s="539">
        <f>IF(B56=0, "    ---- ", IF(ABS(ROUND(100/B56*C56-100,1))&lt;999,ROUND(100/B56*C56-100,1),IF(ROUND(100/B56*C56-100,1)&gt;999,999,-999)))</f>
        <v>-20.8</v>
      </c>
      <c r="E56" s="432"/>
      <c r="F56" s="433"/>
      <c r="G56" s="450"/>
      <c r="H56" s="432"/>
      <c r="I56" s="433"/>
      <c r="J56" s="450"/>
      <c r="K56" s="432"/>
      <c r="L56" s="433"/>
      <c r="M56" s="433"/>
      <c r="N56" s="433"/>
      <c r="O56" s="433"/>
      <c r="P56" s="450"/>
      <c r="Q56" s="432">
        <f>SUM(Q48:Q53)+Q55</f>
        <v>381.72525052653435</v>
      </c>
      <c r="R56" s="433">
        <f>SUM(R48:R53)+R55</f>
        <v>432.35148001955287</v>
      </c>
      <c r="S56" s="539">
        <f t="shared" si="0"/>
        <v>13.3</v>
      </c>
      <c r="T56" s="433"/>
      <c r="U56" s="433"/>
      <c r="V56" s="450"/>
      <c r="W56" s="432">
        <f>SUM(W48:W53)+W55</f>
        <v>-5</v>
      </c>
      <c r="X56" s="433">
        <f>SUM(X48:X53)+X55</f>
        <v>6</v>
      </c>
      <c r="Y56" s="539">
        <f>IF(W56=0, "    ---- ", IF(ABS(ROUND(100/W56*X56-100,1))&lt;999,ROUND(100/W56*X56-100,1),IF(ROUND(100/W56*X56-100,1)&gt;999,999,-999)))</f>
        <v>-220</v>
      </c>
      <c r="Z56" s="432">
        <f>SUM(Z48:Z53)+Z55</f>
        <v>76.201061870000416</v>
      </c>
      <c r="AA56" s="433">
        <f>SUM(AA48:AA53)+AA55</f>
        <v>84.069040560000573</v>
      </c>
      <c r="AB56" s="450">
        <f>IF(Z56=0, "    ---- ", IF(ABS(ROUND(100/Z56*AA56-100,1))&lt;999,ROUND(100/Z56*AA56-100,1),IF(ROUND(100/Z56*AA56-100,1)&gt;999,999,-999)))</f>
        <v>10.3</v>
      </c>
      <c r="AC56" s="433"/>
      <c r="AD56" s="433"/>
      <c r="AE56" s="433"/>
      <c r="AF56" s="545">
        <f t="shared" si="13"/>
        <v>1911.5480123965347</v>
      </c>
      <c r="AG56" s="545">
        <f t="shared" si="13"/>
        <v>1677.0665724047419</v>
      </c>
      <c r="AH56" s="450">
        <f t="shared" si="6"/>
        <v>-12.3</v>
      </c>
      <c r="AI56" s="545">
        <f t="shared" si="14"/>
        <v>1911.5480123965347</v>
      </c>
      <c r="AJ56" s="545">
        <f t="shared" si="14"/>
        <v>1677.0665724047419</v>
      </c>
      <c r="AK56" s="450">
        <f t="shared" si="8"/>
        <v>-12.3</v>
      </c>
    </row>
    <row r="57" spans="1:37" s="395" customFormat="1" ht="18.75" customHeight="1" x14ac:dyDescent="0.35">
      <c r="A57" s="421" t="s">
        <v>314</v>
      </c>
      <c r="B57" s="691">
        <v>1437.4559999999999</v>
      </c>
      <c r="C57" s="435">
        <v>1129.1678285229</v>
      </c>
      <c r="D57" s="539">
        <f>IF(B57=0, "    ---- ", IF(ABS(ROUND(100/B57*C57-100,1))&lt;999,ROUND(100/B57*C57-100,1),IF(ROUND(100/B57*C57-100,1)&gt;999,999,-999)))</f>
        <v>-21.4</v>
      </c>
      <c r="E57" s="434"/>
      <c r="F57" s="435"/>
      <c r="G57" s="449"/>
      <c r="H57" s="434"/>
      <c r="I57" s="435"/>
      <c r="J57" s="449"/>
      <c r="K57" s="434"/>
      <c r="L57" s="435"/>
      <c r="M57" s="435"/>
      <c r="N57" s="435"/>
      <c r="O57" s="435"/>
      <c r="P57" s="449"/>
      <c r="Q57" s="434">
        <v>-5.7009638200000019</v>
      </c>
      <c r="R57" s="435">
        <v>-6.9082001450000003</v>
      </c>
      <c r="S57" s="540">
        <f t="shared" si="0"/>
        <v>21.2</v>
      </c>
      <c r="T57" s="435"/>
      <c r="U57" s="435"/>
      <c r="V57" s="449"/>
      <c r="W57" s="434"/>
      <c r="X57" s="435"/>
      <c r="Y57" s="540"/>
      <c r="Z57" s="434"/>
      <c r="AA57" s="435">
        <v>1.1750430000000001</v>
      </c>
      <c r="AB57" s="449" t="str">
        <f>IF(Z57=0, "    ---- ", IF(ABS(ROUND(100/Z57*AA57-100,1))&lt;999,ROUND(100/Z57*AA57-100,1),IF(ROUND(100/Z57*AA57-100,1)&gt;999,999,-999)))</f>
        <v xml:space="preserve">    ---- </v>
      </c>
      <c r="AC57" s="435"/>
      <c r="AD57" s="435"/>
      <c r="AE57" s="435"/>
      <c r="AF57" s="544">
        <f t="shared" si="13"/>
        <v>1431.7550361799999</v>
      </c>
      <c r="AG57" s="544">
        <f t="shared" si="13"/>
        <v>1123.4346713779</v>
      </c>
      <c r="AH57" s="449">
        <f t="shared" si="6"/>
        <v>-21.5</v>
      </c>
      <c r="AI57" s="544">
        <f t="shared" si="14"/>
        <v>1431.7550361799999</v>
      </c>
      <c r="AJ57" s="544">
        <f t="shared" si="14"/>
        <v>1123.4346713779</v>
      </c>
      <c r="AK57" s="449">
        <f t="shared" si="8"/>
        <v>-21.5</v>
      </c>
    </row>
    <row r="58" spans="1:37" s="395" customFormat="1" ht="18.75" customHeight="1" x14ac:dyDescent="0.35">
      <c r="A58" s="421" t="s">
        <v>315</v>
      </c>
      <c r="B58" s="691">
        <v>21.164999999999999</v>
      </c>
      <c r="C58" s="435">
        <v>25.478223302288825</v>
      </c>
      <c r="D58" s="540">
        <f>IF(B58=0, "    ---- ", IF(ABS(ROUND(100/B58*C58-100,1))&lt;999,ROUND(100/B58*C58-100,1),IF(ROUND(100/B58*C58-100,1)&gt;999,999,-999)))</f>
        <v>20.399999999999999</v>
      </c>
      <c r="E58" s="434"/>
      <c r="F58" s="435"/>
      <c r="G58" s="449"/>
      <c r="H58" s="434"/>
      <c r="I58" s="435"/>
      <c r="J58" s="449"/>
      <c r="K58" s="434"/>
      <c r="L58" s="435"/>
      <c r="M58" s="435"/>
      <c r="N58" s="435"/>
      <c r="O58" s="435"/>
      <c r="P58" s="449"/>
      <c r="Q58" s="434">
        <v>387.42621434653438</v>
      </c>
      <c r="R58" s="435">
        <v>439.25968016455289</v>
      </c>
      <c r="S58" s="540">
        <f t="shared" si="0"/>
        <v>13.4</v>
      </c>
      <c r="T58" s="435"/>
      <c r="U58" s="435"/>
      <c r="V58" s="449"/>
      <c r="W58" s="434">
        <v>-5</v>
      </c>
      <c r="X58" s="435">
        <v>6</v>
      </c>
      <c r="Y58" s="540">
        <f>IF(W58=0, "    ---- ", IF(ABS(ROUND(100/W58*X58-100,1))&lt;999,ROUND(100/W58*X58-100,1),IF(ROUND(100/W58*X58-100,1)&gt;999,999,-999)))</f>
        <v>-220</v>
      </c>
      <c r="Z58" s="434">
        <v>76.201061870000402</v>
      </c>
      <c r="AA58" s="435">
        <v>82.893997560000571</v>
      </c>
      <c r="AB58" s="449">
        <f>IF(Z58=0, "    ---- ", IF(ABS(ROUND(100/Z58*AA58-100,1))&lt;999,ROUND(100/Z58*AA58-100,1),IF(ROUND(100/Z58*AA58-100,1)&gt;999,999,-999)))</f>
        <v>8.8000000000000007</v>
      </c>
      <c r="AC58" s="435"/>
      <c r="AD58" s="435"/>
      <c r="AE58" s="435"/>
      <c r="AF58" s="544">
        <f t="shared" si="13"/>
        <v>479.79227621653479</v>
      </c>
      <c r="AG58" s="544">
        <f t="shared" si="13"/>
        <v>553.63190102684234</v>
      </c>
      <c r="AH58" s="449">
        <f t="shared" si="6"/>
        <v>15.4</v>
      </c>
      <c r="AI58" s="544">
        <f t="shared" si="14"/>
        <v>479.79227621653479</v>
      </c>
      <c r="AJ58" s="544">
        <f t="shared" si="14"/>
        <v>553.63190102684234</v>
      </c>
      <c r="AK58" s="449">
        <f t="shared" si="8"/>
        <v>15.4</v>
      </c>
    </row>
    <row r="59" spans="1:37" s="395" customFormat="1" ht="18.75" customHeight="1" x14ac:dyDescent="0.35">
      <c r="A59" s="423"/>
      <c r="B59" s="695"/>
      <c r="C59" s="436"/>
      <c r="D59" s="546"/>
      <c r="E59" s="679"/>
      <c r="F59" s="436"/>
      <c r="G59" s="451"/>
      <c r="H59" s="679"/>
      <c r="I59" s="436"/>
      <c r="J59" s="451"/>
      <c r="K59" s="679"/>
      <c r="L59" s="436"/>
      <c r="M59" s="436"/>
      <c r="N59" s="436"/>
      <c r="O59" s="436"/>
      <c r="P59" s="451"/>
      <c r="Q59" s="679"/>
      <c r="R59" s="436"/>
      <c r="S59" s="546"/>
      <c r="T59" s="436"/>
      <c r="U59" s="436"/>
      <c r="V59" s="451"/>
      <c r="W59" s="679"/>
      <c r="X59" s="436"/>
      <c r="Y59" s="546"/>
      <c r="Z59" s="679"/>
      <c r="AA59" s="436"/>
      <c r="AB59" s="451"/>
      <c r="AC59" s="436"/>
      <c r="AD59" s="436"/>
      <c r="AE59" s="436"/>
      <c r="AF59" s="451"/>
      <c r="AG59" s="451"/>
      <c r="AH59" s="451"/>
      <c r="AI59" s="649"/>
      <c r="AJ59" s="546"/>
      <c r="AK59" s="451"/>
    </row>
    <row r="60" spans="1:37" s="395" customFormat="1" ht="18.75" customHeight="1" x14ac:dyDescent="0.35">
      <c r="A60" s="547"/>
      <c r="B60" s="696"/>
      <c r="C60" s="437"/>
      <c r="D60" s="548"/>
      <c r="E60" s="680"/>
      <c r="F60" s="437"/>
      <c r="G60" s="549"/>
      <c r="H60" s="680"/>
      <c r="I60" s="437"/>
      <c r="J60" s="549"/>
      <c r="K60" s="680"/>
      <c r="L60" s="437"/>
      <c r="M60" s="437"/>
      <c r="N60" s="437"/>
      <c r="O60" s="437"/>
      <c r="P60" s="549"/>
      <c r="Q60" s="680"/>
      <c r="R60" s="437"/>
      <c r="S60" s="548"/>
      <c r="T60" s="437"/>
      <c r="U60" s="437"/>
      <c r="V60" s="549"/>
      <c r="W60" s="680"/>
      <c r="X60" s="437"/>
      <c r="Y60" s="548"/>
      <c r="Z60" s="680"/>
      <c r="AA60" s="437"/>
      <c r="AB60" s="549"/>
      <c r="AC60" s="437"/>
      <c r="AD60" s="437"/>
      <c r="AE60" s="435"/>
      <c r="AF60" s="544"/>
      <c r="AG60" s="544"/>
      <c r="AH60" s="549"/>
      <c r="AI60" s="544"/>
      <c r="AJ60" s="544"/>
      <c r="AK60" s="549"/>
    </row>
    <row r="61" spans="1:37" s="528" customFormat="1" ht="18.75" customHeight="1" x14ac:dyDescent="0.35">
      <c r="A61" s="535" t="s">
        <v>319</v>
      </c>
      <c r="B61" s="690"/>
      <c r="C61" s="433"/>
      <c r="D61" s="539"/>
      <c r="E61" s="432"/>
      <c r="F61" s="433"/>
      <c r="G61" s="450"/>
      <c r="H61" s="432"/>
      <c r="I61" s="433"/>
      <c r="J61" s="450"/>
      <c r="K61" s="432"/>
      <c r="L61" s="433"/>
      <c r="M61" s="433"/>
      <c r="N61" s="433"/>
      <c r="O61" s="433"/>
      <c r="P61" s="450"/>
      <c r="Q61" s="432"/>
      <c r="R61" s="433"/>
      <c r="S61" s="539"/>
      <c r="T61" s="433"/>
      <c r="U61" s="433"/>
      <c r="V61" s="450"/>
      <c r="W61" s="432"/>
      <c r="X61" s="433"/>
      <c r="Y61" s="539"/>
      <c r="Z61" s="432"/>
      <c r="AA61" s="433"/>
      <c r="AB61" s="450"/>
      <c r="AC61" s="433"/>
      <c r="AD61" s="433"/>
      <c r="AE61" s="433"/>
      <c r="AF61" s="544"/>
      <c r="AG61" s="544"/>
      <c r="AH61" s="450"/>
      <c r="AI61" s="544"/>
      <c r="AJ61" s="544"/>
      <c r="AK61" s="450"/>
    </row>
    <row r="62" spans="1:37" s="395" customFormat="1" ht="18" x14ac:dyDescent="0.35">
      <c r="A62" s="750" t="s">
        <v>497</v>
      </c>
      <c r="B62" s="691">
        <v>153.6</v>
      </c>
      <c r="C62" s="435">
        <v>142.32129870601602</v>
      </c>
      <c r="D62" s="540">
        <f>IF(B62=0, "    ---- ", IF(ABS(ROUND(100/B62*C62-100,1))&lt;999,ROUND(100/B62*C62-100,1),IF(ROUND(100/B62*C62-100,1)&gt;999,999,-999)))</f>
        <v>-7.3</v>
      </c>
      <c r="E62" s="434"/>
      <c r="F62" s="435"/>
      <c r="G62" s="449"/>
      <c r="H62" s="434"/>
      <c r="I62" s="435"/>
      <c r="J62" s="449"/>
      <c r="K62" s="434"/>
      <c r="L62" s="435"/>
      <c r="M62" s="435"/>
      <c r="N62" s="435"/>
      <c r="O62" s="435"/>
      <c r="P62" s="449"/>
      <c r="Q62" s="434">
        <v>33.862260206834108</v>
      </c>
      <c r="R62" s="435">
        <v>51.897545746335922</v>
      </c>
      <c r="S62" s="540">
        <f t="shared" ref="S62:S108" si="15">IF(Q62=0, "    ---- ", IF(ABS(ROUND(100/Q62*R62-100,1))&lt;999,ROUND(100/Q62*R62-100,1),IF(ROUND(100/Q62*R62-100,1)&gt;999,999,-999)))</f>
        <v>53.3</v>
      </c>
      <c r="T62" s="435"/>
      <c r="U62" s="435"/>
      <c r="V62" s="449"/>
      <c r="W62" s="434">
        <v>45</v>
      </c>
      <c r="X62" s="435">
        <v>60</v>
      </c>
      <c r="Y62" s="540">
        <f>IF(W62=0, "    ---- ", IF(ABS(ROUND(100/W62*X62-100,1))&lt;999,ROUND(100/W62*X62-100,1),IF(ROUND(100/W62*X62-100,1)&gt;999,999,-999)))</f>
        <v>33.299999999999997</v>
      </c>
      <c r="Z62" s="434">
        <v>32.608044790000001</v>
      </c>
      <c r="AA62" s="435">
        <v>17.905007040000385</v>
      </c>
      <c r="AB62" s="449">
        <f>IF(Z62=0, "    ---- ", IF(ABS(ROUND(100/Z62*AA62-100,1))&lt;999,ROUND(100/Z62*AA62-100,1),IF(ROUND(100/Z62*AA62-100,1)&gt;999,999,-999)))</f>
        <v>-45.1</v>
      </c>
      <c r="AC62" s="435"/>
      <c r="AD62" s="435"/>
      <c r="AE62" s="435"/>
      <c r="AF62" s="544">
        <f t="shared" ref="AF62" si="16">B62+E62+H62+K62+N62+Q62+T62+W62+Z62</f>
        <v>265.07030499683412</v>
      </c>
      <c r="AG62" s="544">
        <f>C62+F62+I62+L62+O62+R62+U62+X62+AA62</f>
        <v>272.12385149235234</v>
      </c>
      <c r="AH62" s="449">
        <f t="shared" si="6"/>
        <v>2.7</v>
      </c>
      <c r="AI62" s="544">
        <f t="shared" ref="AI62:AJ62" si="17">+B62+E62+H62+K62+N62+Q62+T62+W62+Z62+AC62</f>
        <v>265.07030499683412</v>
      </c>
      <c r="AJ62" s="544">
        <f t="shared" si="17"/>
        <v>272.12385149235234</v>
      </c>
      <c r="AK62" s="449">
        <f t="shared" si="8"/>
        <v>2.7</v>
      </c>
    </row>
    <row r="63" spans="1:37" s="395" customFormat="1" ht="18.75" customHeight="1" x14ac:dyDescent="0.35">
      <c r="A63" s="421" t="s">
        <v>498</v>
      </c>
      <c r="B63" s="694">
        <v>-117.7</v>
      </c>
      <c r="C63" s="400">
        <v>-75.900000000000006</v>
      </c>
      <c r="D63" s="540"/>
      <c r="E63" s="76"/>
      <c r="F63" s="400"/>
      <c r="G63" s="449"/>
      <c r="H63" s="76"/>
      <c r="I63" s="400"/>
      <c r="J63" s="449"/>
      <c r="K63" s="76"/>
      <c r="L63" s="400"/>
      <c r="M63" s="435"/>
      <c r="N63" s="435"/>
      <c r="O63" s="76"/>
      <c r="P63" s="449"/>
      <c r="Q63" s="76">
        <v>-33.862260206834108</v>
      </c>
      <c r="R63" s="400">
        <v>-16.273974794307509</v>
      </c>
      <c r="S63" s="540"/>
      <c r="T63" s="435"/>
      <c r="U63" s="76"/>
      <c r="V63" s="449"/>
      <c r="W63" s="76">
        <v>-10</v>
      </c>
      <c r="X63" s="400">
        <v>-26</v>
      </c>
      <c r="Y63" s="540">
        <f>IF(W63=0, "    ---- ", IF(ABS(ROUND(100/W63*X63-100,1))&lt;999,ROUND(100/W63*X63-100,1),IF(ROUND(100/W63*X63-100,1)&gt;999,999,-999)))</f>
        <v>160</v>
      </c>
      <c r="Z63" s="76">
        <v>-15.826669000000001</v>
      </c>
      <c r="AA63" s="400">
        <v>14.820458</v>
      </c>
      <c r="AB63" s="449">
        <f>IF(Z63=0, "    ---- ", IF(ABS(ROUND(100/Z63*AA63-100,1))&lt;999,ROUND(100/Z63*AA63-100,1),IF(ROUND(100/Z63*AA63-100,1)&gt;999,999,-999)))</f>
        <v>-193.6</v>
      </c>
      <c r="AC63" s="435"/>
      <c r="AD63" s="76"/>
      <c r="AE63" s="435"/>
      <c r="AF63" s="544">
        <f t="shared" ref="AF63:AG72" si="18">B63+E63+H63+K63+N63+Q63+T63+W63+Z63</f>
        <v>-177.38892920683412</v>
      </c>
      <c r="AG63" s="544">
        <f t="shared" si="18"/>
        <v>-103.35351679430751</v>
      </c>
      <c r="AH63" s="449">
        <f t="shared" si="6"/>
        <v>-41.7</v>
      </c>
      <c r="AI63" s="544">
        <f t="shared" ref="AI63" si="19">+B63+E63+H63+K63+N63+Q63+T63+W63+Z63+AC63</f>
        <v>-177.38892920683412</v>
      </c>
      <c r="AJ63" s="544">
        <f t="shared" ref="AJ63" si="20">+C63+F63+I63+L63+O63+R63+U63+X63+AA63+AD63</f>
        <v>-103.35351679430751</v>
      </c>
      <c r="AK63" s="449">
        <f t="shared" ref="AK63" si="21">IF(AI63=0, "    ---- ", IF(ABS(ROUND(100/AI63*AJ63-100,1))&lt;999,ROUND(100/AI63*AJ63-100,1),IF(ROUND(100/AI63*AJ63-100,1)&gt;999,999,-999)))</f>
        <v>-41.7</v>
      </c>
    </row>
    <row r="64" spans="1:37" s="395" customFormat="1" ht="18.75" customHeight="1" x14ac:dyDescent="0.35">
      <c r="A64" s="421" t="s">
        <v>307</v>
      </c>
      <c r="B64" s="691">
        <v>65.3</v>
      </c>
      <c r="C64" s="435">
        <v>61.994762515504895</v>
      </c>
      <c r="D64" s="540">
        <f>IF(B64=0, "    ---- ", IF(ABS(ROUND(100/B64*C64-100,1))&lt;999,ROUND(100/B64*C64-100,1),IF(ROUND(100/B64*C64-100,1)&gt;999,999,-999)))</f>
        <v>-5.0999999999999996</v>
      </c>
      <c r="E64" s="434"/>
      <c r="F64" s="435"/>
      <c r="G64" s="449"/>
      <c r="H64" s="434"/>
      <c r="I64" s="435"/>
      <c r="J64" s="449"/>
      <c r="K64" s="434"/>
      <c r="L64" s="435"/>
      <c r="M64" s="435"/>
      <c r="N64" s="435"/>
      <c r="O64" s="435"/>
      <c r="P64" s="449"/>
      <c r="Q64" s="434">
        <v>6.1212694572271689</v>
      </c>
      <c r="R64" s="435">
        <v>4.8619321225493382</v>
      </c>
      <c r="S64" s="540">
        <f t="shared" si="15"/>
        <v>-20.6</v>
      </c>
      <c r="T64" s="435"/>
      <c r="U64" s="435"/>
      <c r="V64" s="449"/>
      <c r="W64" s="434">
        <v>2</v>
      </c>
      <c r="X64" s="435">
        <v>2</v>
      </c>
      <c r="Y64" s="540">
        <f>IF(W64=0, "    ---- ", IF(ABS(ROUND(100/W64*X64-100,1))&lt;999,ROUND(100/W64*X64-100,1),IF(ROUND(100/W64*X64-100,1)&gt;999,999,-999)))</f>
        <v>0</v>
      </c>
      <c r="Z64" s="434">
        <v>-8.5174307099999904</v>
      </c>
      <c r="AA64" s="435">
        <v>-11.185635629999997</v>
      </c>
      <c r="AB64" s="449">
        <f>IF(Z64=0, "    ---- ", IF(ABS(ROUND(100/Z64*AA64-100,1))&lt;999,ROUND(100/Z64*AA64-100,1),IF(ROUND(100/Z64*AA64-100,1)&gt;999,999,-999)))</f>
        <v>31.3</v>
      </c>
      <c r="AC64" s="435"/>
      <c r="AD64" s="435"/>
      <c r="AE64" s="435"/>
      <c r="AF64" s="544">
        <f t="shared" si="18"/>
        <v>64.903838747227184</v>
      </c>
      <c r="AG64" s="544">
        <f>C64+F64+I64+L64+O64+R64+U64+X64+AA64</f>
        <v>57.671059008054243</v>
      </c>
      <c r="AH64" s="449">
        <f t="shared" si="6"/>
        <v>-11.1</v>
      </c>
      <c r="AI64" s="544">
        <f t="shared" ref="AI64:AJ72" si="22">+B64+E64+H64+K64+N64+Q64+T64+W64+Z64+AC64</f>
        <v>64.903838747227184</v>
      </c>
      <c r="AJ64" s="544">
        <f t="shared" si="22"/>
        <v>57.671059008054243</v>
      </c>
      <c r="AK64" s="449">
        <f t="shared" si="8"/>
        <v>-11.1</v>
      </c>
    </row>
    <row r="65" spans="1:37" s="395" customFormat="1" ht="18.75" customHeight="1" x14ac:dyDescent="0.35">
      <c r="A65" s="421" t="s">
        <v>308</v>
      </c>
      <c r="B65" s="691"/>
      <c r="C65" s="435"/>
      <c r="D65" s="540"/>
      <c r="E65" s="434"/>
      <c r="F65" s="435"/>
      <c r="G65" s="449"/>
      <c r="H65" s="434"/>
      <c r="I65" s="435"/>
      <c r="J65" s="449"/>
      <c r="K65" s="434"/>
      <c r="L65" s="435"/>
      <c r="M65" s="435"/>
      <c r="N65" s="435"/>
      <c r="O65" s="435"/>
      <c r="P65" s="449"/>
      <c r="Q65" s="434"/>
      <c r="R65" s="435"/>
      <c r="S65" s="540"/>
      <c r="T65" s="435"/>
      <c r="U65" s="435"/>
      <c r="V65" s="449"/>
      <c r="W65" s="434"/>
      <c r="X65" s="435"/>
      <c r="Y65" s="540"/>
      <c r="Z65" s="434"/>
      <c r="AA65" s="435"/>
      <c r="AB65" s="449"/>
      <c r="AC65" s="435"/>
      <c r="AD65" s="435"/>
      <c r="AE65" s="435"/>
      <c r="AF65" s="544">
        <f t="shared" si="18"/>
        <v>0</v>
      </c>
      <c r="AG65" s="544">
        <f t="shared" si="18"/>
        <v>0</v>
      </c>
      <c r="AH65" s="449" t="str">
        <f t="shared" si="6"/>
        <v xml:space="preserve">    ---- </v>
      </c>
      <c r="AI65" s="544">
        <f t="shared" si="22"/>
        <v>0</v>
      </c>
      <c r="AJ65" s="544">
        <f t="shared" si="22"/>
        <v>0</v>
      </c>
      <c r="AK65" s="449" t="str">
        <f t="shared" si="8"/>
        <v xml:space="preserve">    ---- </v>
      </c>
    </row>
    <row r="66" spans="1:37" s="395" customFormat="1" ht="18.75" customHeight="1" x14ac:dyDescent="0.35">
      <c r="A66" s="421" t="s">
        <v>309</v>
      </c>
      <c r="B66" s="691"/>
      <c r="C66" s="435"/>
      <c r="D66" s="540"/>
      <c r="E66" s="434"/>
      <c r="F66" s="435"/>
      <c r="G66" s="449"/>
      <c r="H66" s="434"/>
      <c r="I66" s="435"/>
      <c r="J66" s="449"/>
      <c r="K66" s="434"/>
      <c r="L66" s="435"/>
      <c r="M66" s="435"/>
      <c r="N66" s="435"/>
      <c r="O66" s="435"/>
      <c r="P66" s="449"/>
      <c r="Q66" s="434"/>
      <c r="R66" s="435"/>
      <c r="S66" s="540"/>
      <c r="T66" s="435"/>
      <c r="U66" s="435"/>
      <c r="V66" s="449"/>
      <c r="W66" s="434"/>
      <c r="X66" s="435"/>
      <c r="Y66" s="540"/>
      <c r="Z66" s="434"/>
      <c r="AA66" s="435"/>
      <c r="AB66" s="449"/>
      <c r="AC66" s="435"/>
      <c r="AD66" s="435"/>
      <c r="AE66" s="435"/>
      <c r="AF66" s="544">
        <f t="shared" si="18"/>
        <v>0</v>
      </c>
      <c r="AG66" s="544">
        <f t="shared" si="18"/>
        <v>0</v>
      </c>
      <c r="AH66" s="449" t="str">
        <f t="shared" si="6"/>
        <v xml:space="preserve">    ---- </v>
      </c>
      <c r="AI66" s="544">
        <f t="shared" si="22"/>
        <v>0</v>
      </c>
      <c r="AJ66" s="544">
        <f t="shared" si="22"/>
        <v>0</v>
      </c>
      <c r="AK66" s="449" t="str">
        <f t="shared" si="8"/>
        <v xml:space="preserve">    ---- </v>
      </c>
    </row>
    <row r="67" spans="1:37" s="395" customFormat="1" ht="18.75" customHeight="1" x14ac:dyDescent="0.35">
      <c r="A67" s="421" t="s">
        <v>310</v>
      </c>
      <c r="B67" s="691">
        <v>30.87</v>
      </c>
      <c r="C67" s="435">
        <v>26.924216892590778</v>
      </c>
      <c r="D67" s="540">
        <f>IF(B67=0, "    ---- ", IF(ABS(ROUND(100/B67*C67-100,1))&lt;999,ROUND(100/B67*C67-100,1),IF(ROUND(100/B67*C67-100,1)&gt;999,999,-999)))</f>
        <v>-12.8</v>
      </c>
      <c r="E67" s="434"/>
      <c r="F67" s="435"/>
      <c r="G67" s="449"/>
      <c r="H67" s="434"/>
      <c r="I67" s="435"/>
      <c r="J67" s="449"/>
      <c r="K67" s="434"/>
      <c r="L67" s="435"/>
      <c r="M67" s="435"/>
      <c r="N67" s="435"/>
      <c r="O67" s="435"/>
      <c r="P67" s="449"/>
      <c r="Q67" s="434">
        <v>6.7412602089221796</v>
      </c>
      <c r="R67" s="435">
        <v>11.334839401551092</v>
      </c>
      <c r="S67" s="540">
        <f t="shared" si="15"/>
        <v>68.099999999999994</v>
      </c>
      <c r="T67" s="435"/>
      <c r="U67" s="435"/>
      <c r="V67" s="449"/>
      <c r="W67" s="434">
        <v>5</v>
      </c>
      <c r="X67" s="435">
        <v>2</v>
      </c>
      <c r="Y67" s="540">
        <f>IF(W67=0, "    ---- ", IF(ABS(ROUND(100/W67*X67-100,1))&lt;999,ROUND(100/W67*X67-100,1),IF(ROUND(100/W67*X67-100,1)&gt;999,999,-999)))</f>
        <v>-60</v>
      </c>
      <c r="Z67" s="434">
        <v>-78.835513849999998</v>
      </c>
      <c r="AA67" s="435">
        <v>-139.52648662999994</v>
      </c>
      <c r="AB67" s="449">
        <f>IF(Z67=0, "    ---- ", IF(ABS(ROUND(100/Z67*AA67-100,1))&lt;999,ROUND(100/Z67*AA67-100,1),IF(ROUND(100/Z67*AA67-100,1)&gt;999,999,-999)))</f>
        <v>77</v>
      </c>
      <c r="AC67" s="435"/>
      <c r="AD67" s="435"/>
      <c r="AE67" s="435"/>
      <c r="AF67" s="544">
        <f t="shared" si="18"/>
        <v>-36.224253641077816</v>
      </c>
      <c r="AG67" s="544">
        <f>C67+F67+I67+L67+O67+R67+U67+X67+AA67</f>
        <v>-99.267430335858066</v>
      </c>
      <c r="AH67" s="449">
        <f t="shared" si="6"/>
        <v>174</v>
      </c>
      <c r="AI67" s="544">
        <f t="shared" si="22"/>
        <v>-36.224253641077816</v>
      </c>
      <c r="AJ67" s="544">
        <f t="shared" si="22"/>
        <v>-99.267430335858066</v>
      </c>
      <c r="AK67" s="449">
        <f t="shared" si="8"/>
        <v>174</v>
      </c>
    </row>
    <row r="68" spans="1:37" s="395" customFormat="1" ht="18.75" customHeight="1" x14ac:dyDescent="0.35">
      <c r="A68" s="421" t="s">
        <v>311</v>
      </c>
      <c r="B68" s="691"/>
      <c r="C68" s="435"/>
      <c r="D68" s="540"/>
      <c r="E68" s="434"/>
      <c r="F68" s="435"/>
      <c r="G68" s="449"/>
      <c r="H68" s="434"/>
      <c r="I68" s="435"/>
      <c r="J68" s="449"/>
      <c r="K68" s="434"/>
      <c r="L68" s="435"/>
      <c r="M68" s="435"/>
      <c r="N68" s="435"/>
      <c r="O68" s="435"/>
      <c r="P68" s="449"/>
      <c r="Q68" s="434"/>
      <c r="R68" s="435"/>
      <c r="S68" s="540"/>
      <c r="T68" s="435"/>
      <c r="U68" s="435"/>
      <c r="V68" s="449"/>
      <c r="W68" s="434"/>
      <c r="X68" s="435"/>
      <c r="Y68" s="540"/>
      <c r="Z68" s="434">
        <v>-75.451436000000001</v>
      </c>
      <c r="AA68" s="435">
        <v>-47.367868999999999</v>
      </c>
      <c r="AB68" s="449">
        <f>IF(Z68=0, "    ---- ", IF(ABS(ROUND(100/Z68*AA68-100,1))&lt;999,ROUND(100/Z68*AA68-100,1),IF(ROUND(100/Z68*AA68-100,1)&gt;999,999,-999)))</f>
        <v>-37.200000000000003</v>
      </c>
      <c r="AC68" s="435"/>
      <c r="AD68" s="435"/>
      <c r="AE68" s="435"/>
      <c r="AF68" s="544">
        <f t="shared" si="18"/>
        <v>-75.451436000000001</v>
      </c>
      <c r="AG68" s="544">
        <f>C68+F68+I68+L68+O68+R68+U68+X68+AA68</f>
        <v>-47.367868999999999</v>
      </c>
      <c r="AH68" s="449">
        <f t="shared" si="6"/>
        <v>-37.200000000000003</v>
      </c>
      <c r="AI68" s="544">
        <f t="shared" si="22"/>
        <v>-75.451436000000001</v>
      </c>
      <c r="AJ68" s="544">
        <f t="shared" si="22"/>
        <v>-47.367868999999999</v>
      </c>
      <c r="AK68" s="449">
        <f t="shared" si="8"/>
        <v>-37.200000000000003</v>
      </c>
    </row>
    <row r="69" spans="1:37" s="395" customFormat="1" ht="18.75" customHeight="1" x14ac:dyDescent="0.35">
      <c r="A69" s="421" t="s">
        <v>312</v>
      </c>
      <c r="B69" s="691"/>
      <c r="C69" s="435"/>
      <c r="D69" s="540"/>
      <c r="E69" s="434"/>
      <c r="F69" s="435"/>
      <c r="G69" s="449"/>
      <c r="H69" s="434"/>
      <c r="I69" s="435"/>
      <c r="J69" s="449"/>
      <c r="K69" s="434"/>
      <c r="L69" s="435"/>
      <c r="M69" s="435"/>
      <c r="N69" s="435"/>
      <c r="O69" s="435"/>
      <c r="P69" s="449"/>
      <c r="Q69" s="434"/>
      <c r="R69" s="435"/>
      <c r="S69" s="540"/>
      <c r="T69" s="435"/>
      <c r="U69" s="435"/>
      <c r="V69" s="449"/>
      <c r="W69" s="434"/>
      <c r="X69" s="435"/>
      <c r="Y69" s="540"/>
      <c r="Z69" s="434"/>
      <c r="AA69" s="435"/>
      <c r="AB69" s="449"/>
      <c r="AC69" s="435"/>
      <c r="AD69" s="435"/>
      <c r="AE69" s="435"/>
      <c r="AF69" s="544">
        <f t="shared" si="18"/>
        <v>0</v>
      </c>
      <c r="AG69" s="544">
        <f t="shared" si="18"/>
        <v>0</v>
      </c>
      <c r="AH69" s="449" t="str">
        <f t="shared" si="6"/>
        <v xml:space="preserve">    ---- </v>
      </c>
      <c r="AI69" s="544">
        <f t="shared" si="22"/>
        <v>0</v>
      </c>
      <c r="AJ69" s="544">
        <f t="shared" si="22"/>
        <v>0</v>
      </c>
      <c r="AK69" s="449" t="str">
        <f t="shared" si="8"/>
        <v xml:space="preserve">    ---- </v>
      </c>
    </row>
    <row r="70" spans="1:37" s="528" customFormat="1" ht="18.75" customHeight="1" x14ac:dyDescent="0.3">
      <c r="A70" s="535" t="s">
        <v>313</v>
      </c>
      <c r="B70" s="690">
        <f>SUM(B62:B67)+B69</f>
        <v>132.07</v>
      </c>
      <c r="C70" s="433">
        <f>SUM(C62:C67)+C69</f>
        <v>155.3402781141117</v>
      </c>
      <c r="D70" s="539">
        <f>IF(B70=0, "    ---- ", IF(ABS(ROUND(100/B70*C70-100,1))&lt;999,ROUND(100/B70*C70-100,1),IF(ROUND(100/B70*C70-100,1)&gt;999,999,-999)))</f>
        <v>17.600000000000001</v>
      </c>
      <c r="E70" s="432"/>
      <c r="F70" s="433"/>
      <c r="G70" s="450"/>
      <c r="H70" s="432"/>
      <c r="I70" s="433"/>
      <c r="J70" s="450"/>
      <c r="K70" s="432"/>
      <c r="L70" s="433"/>
      <c r="M70" s="433"/>
      <c r="N70" s="433"/>
      <c r="O70" s="433"/>
      <c r="P70" s="450"/>
      <c r="Q70" s="432">
        <f>SUM(Q62:Q67)+Q69</f>
        <v>12.862529666149349</v>
      </c>
      <c r="R70" s="433">
        <f>SUM(R62:R67)+R69</f>
        <v>51.82034247612885</v>
      </c>
      <c r="S70" s="539">
        <f t="shared" si="15"/>
        <v>302.89999999999998</v>
      </c>
      <c r="T70" s="433"/>
      <c r="U70" s="433"/>
      <c r="V70" s="450"/>
      <c r="W70" s="432">
        <f>SUM(W62:W67)+W69</f>
        <v>42</v>
      </c>
      <c r="X70" s="433">
        <f>SUM(X62:X67)+X69</f>
        <v>38</v>
      </c>
      <c r="Y70" s="539">
        <f>IF(W70=0, "    ---- ", IF(ABS(ROUND(100/W70*X70-100,1))&lt;999,ROUND(100/W70*X70-100,1),IF(ROUND(100/W70*X70-100,1)&gt;999,999,-999)))</f>
        <v>-9.5</v>
      </c>
      <c r="Z70" s="432">
        <f>SUM(Z62:Z67)+Z69</f>
        <v>-70.571568769999985</v>
      </c>
      <c r="AA70" s="433">
        <f>SUM(AA62:AA67)+AA69</f>
        <v>-117.98665721999954</v>
      </c>
      <c r="AB70" s="450">
        <f>IF(Z70=0, "    ---- ", IF(ABS(ROUND(100/Z70*AA70-100,1))&lt;999,ROUND(100/Z70*AA70-100,1),IF(ROUND(100/Z70*AA70-100,1)&gt;999,999,-999)))</f>
        <v>67.2</v>
      </c>
      <c r="AC70" s="433"/>
      <c r="AD70" s="433"/>
      <c r="AE70" s="433"/>
      <c r="AF70" s="545">
        <f t="shared" si="18"/>
        <v>116.36096089614936</v>
      </c>
      <c r="AG70" s="545">
        <f>C70+F70+I70+L70+O70+R70+U70+X70+AA70</f>
        <v>127.173963370241</v>
      </c>
      <c r="AH70" s="450">
        <f t="shared" si="6"/>
        <v>9.3000000000000007</v>
      </c>
      <c r="AI70" s="545">
        <f t="shared" si="22"/>
        <v>116.36096089614936</v>
      </c>
      <c r="AJ70" s="545">
        <f t="shared" si="22"/>
        <v>127.173963370241</v>
      </c>
      <c r="AK70" s="450">
        <f t="shared" si="8"/>
        <v>9.3000000000000007</v>
      </c>
    </row>
    <row r="71" spans="1:37" s="395" customFormat="1" ht="18.75" customHeight="1" x14ac:dyDescent="0.35">
      <c r="A71" s="421" t="s">
        <v>314</v>
      </c>
      <c r="B71" s="691">
        <v>84.62</v>
      </c>
      <c r="C71" s="435">
        <v>105.971180774172</v>
      </c>
      <c r="D71" s="540">
        <f>IF(B71=0, "    ---- ", IF(ABS(ROUND(100/B71*C71-100,1))&lt;999,ROUND(100/B71*C71-100,1),IF(ROUND(100/B71*C71-100,1)&gt;999,999,-999)))</f>
        <v>25.2</v>
      </c>
      <c r="E71" s="434"/>
      <c r="F71" s="435"/>
      <c r="G71" s="449"/>
      <c r="H71" s="434"/>
      <c r="I71" s="435"/>
      <c r="J71" s="449"/>
      <c r="K71" s="434"/>
      <c r="L71" s="435"/>
      <c r="M71" s="435"/>
      <c r="N71" s="435"/>
      <c r="O71" s="435"/>
      <c r="P71" s="449"/>
      <c r="Q71" s="434">
        <v>8.3606442829970753</v>
      </c>
      <c r="R71" s="435">
        <v>33.683222609483749</v>
      </c>
      <c r="S71" s="540">
        <f t="shared" si="15"/>
        <v>302.89999999999998</v>
      </c>
      <c r="T71" s="435"/>
      <c r="U71" s="435"/>
      <c r="V71" s="449"/>
      <c r="W71" s="434">
        <v>27</v>
      </c>
      <c r="X71" s="435">
        <v>25</v>
      </c>
      <c r="Y71" s="540">
        <f>IF(W71=0, "    ---- ", IF(ABS(ROUND(100/W71*X71-100,1))&lt;999,ROUND(100/W71*X71-100,1),IF(ROUND(100/W71*X71-100,1)&gt;999,999,-999)))</f>
        <v>-7.4</v>
      </c>
      <c r="Z71" s="434">
        <v>32.112450000000003</v>
      </c>
      <c r="AA71" s="435">
        <v>33.327545999999998</v>
      </c>
      <c r="AB71" s="449">
        <f>IF(Z71=0, "    ---- ", IF(ABS(ROUND(100/Z71*AA71-100,1))&lt;999,ROUND(100/Z71*AA71-100,1),IF(ROUND(100/Z71*AA71-100,1)&gt;999,999,-999)))</f>
        <v>3.8</v>
      </c>
      <c r="AC71" s="435"/>
      <c r="AD71" s="435"/>
      <c r="AE71" s="435"/>
      <c r="AF71" s="544">
        <f t="shared" si="18"/>
        <v>152.09309428299707</v>
      </c>
      <c r="AG71" s="544">
        <f t="shared" si="18"/>
        <v>197.98194938365572</v>
      </c>
      <c r="AH71" s="449">
        <f t="shared" si="6"/>
        <v>30.2</v>
      </c>
      <c r="AI71" s="544">
        <f t="shared" si="22"/>
        <v>152.09309428299707</v>
      </c>
      <c r="AJ71" s="544">
        <f t="shared" si="22"/>
        <v>197.98194938365572</v>
      </c>
      <c r="AK71" s="449">
        <f t="shared" si="8"/>
        <v>30.2</v>
      </c>
    </row>
    <row r="72" spans="1:37" s="395" customFormat="1" ht="18.75" customHeight="1" x14ac:dyDescent="0.35">
      <c r="A72" s="421" t="s">
        <v>315</v>
      </c>
      <c r="B72" s="691">
        <v>47.58</v>
      </c>
      <c r="C72" s="435">
        <v>49.3690973399397</v>
      </c>
      <c r="D72" s="540">
        <f>IF(B72=0, "    ---- ", IF(ABS(ROUND(100/B72*C72-100,1))&lt;999,ROUND(100/B72*C72-100,1),IF(ROUND(100/B72*C72-100,1)&gt;999,999,-999)))</f>
        <v>3.8</v>
      </c>
      <c r="E72" s="434"/>
      <c r="F72" s="435"/>
      <c r="G72" s="449"/>
      <c r="H72" s="434"/>
      <c r="I72" s="435"/>
      <c r="J72" s="449"/>
      <c r="K72" s="434"/>
      <c r="L72" s="435"/>
      <c r="M72" s="435"/>
      <c r="N72" s="435"/>
      <c r="O72" s="435"/>
      <c r="P72" s="449"/>
      <c r="Q72" s="434">
        <v>4.501885383152274</v>
      </c>
      <c r="R72" s="435">
        <v>18.137119866645101</v>
      </c>
      <c r="S72" s="540">
        <f t="shared" si="15"/>
        <v>302.89999999999998</v>
      </c>
      <c r="T72" s="435"/>
      <c r="U72" s="435"/>
      <c r="V72" s="449"/>
      <c r="W72" s="434">
        <v>15</v>
      </c>
      <c r="X72" s="435">
        <v>13</v>
      </c>
      <c r="Y72" s="540">
        <f>IF(W72=0, "    ---- ", IF(ABS(ROUND(100/W72*X72-100,1))&lt;999,ROUND(100/W72*X72-100,1),IF(ROUND(100/W72*X72-100,1)&gt;999,999,-999)))</f>
        <v>-13.3</v>
      </c>
      <c r="Z72" s="434">
        <v>-102.68633543999999</v>
      </c>
      <c r="AA72" s="435">
        <v>-151.31421106999954</v>
      </c>
      <c r="AB72" s="449">
        <f>IF(Z72=0, "    ---- ", IF(ABS(ROUND(100/Z72*AA72-100,1))&lt;999,ROUND(100/Z72*AA72-100,1),IF(ROUND(100/Z72*AA72-100,1)&gt;999,999,-999)))</f>
        <v>47.4</v>
      </c>
      <c r="AC72" s="435"/>
      <c r="AD72" s="435"/>
      <c r="AE72" s="435"/>
      <c r="AF72" s="544">
        <f t="shared" si="18"/>
        <v>-35.604450056847725</v>
      </c>
      <c r="AG72" s="544">
        <f t="shared" si="18"/>
        <v>-70.807993863414737</v>
      </c>
      <c r="AH72" s="449">
        <f t="shared" si="6"/>
        <v>98.9</v>
      </c>
      <c r="AI72" s="544">
        <f t="shared" si="22"/>
        <v>-35.604450056847725</v>
      </c>
      <c r="AJ72" s="544">
        <f t="shared" si="22"/>
        <v>-70.807993863414737</v>
      </c>
      <c r="AK72" s="449">
        <f t="shared" si="8"/>
        <v>98.9</v>
      </c>
    </row>
    <row r="73" spans="1:37" s="528" customFormat="1" ht="18.75" customHeight="1" x14ac:dyDescent="0.35">
      <c r="A73" s="535" t="s">
        <v>320</v>
      </c>
      <c r="B73" s="690"/>
      <c r="C73" s="433"/>
      <c r="D73" s="539"/>
      <c r="E73" s="432"/>
      <c r="F73" s="433"/>
      <c r="G73" s="450"/>
      <c r="H73" s="432"/>
      <c r="I73" s="433"/>
      <c r="J73" s="450"/>
      <c r="K73" s="432"/>
      <c r="L73" s="433"/>
      <c r="M73" s="433"/>
      <c r="N73" s="433"/>
      <c r="O73" s="433"/>
      <c r="P73" s="450"/>
      <c r="Q73" s="432"/>
      <c r="R73" s="433"/>
      <c r="S73" s="539"/>
      <c r="T73" s="433"/>
      <c r="U73" s="433"/>
      <c r="V73" s="450"/>
      <c r="W73" s="432"/>
      <c r="X73" s="433"/>
      <c r="Y73" s="539"/>
      <c r="Z73" s="432"/>
      <c r="AA73" s="433"/>
      <c r="AB73" s="450"/>
      <c r="AC73" s="433"/>
      <c r="AD73" s="433"/>
      <c r="AE73" s="433"/>
      <c r="AF73" s="544"/>
      <c r="AG73" s="544"/>
      <c r="AH73" s="450"/>
      <c r="AI73" s="544"/>
      <c r="AJ73" s="544"/>
      <c r="AK73" s="450"/>
    </row>
    <row r="74" spans="1:37" s="395" customFormat="1" ht="18" x14ac:dyDescent="0.35">
      <c r="A74" s="750" t="s">
        <v>497</v>
      </c>
      <c r="B74" s="691">
        <v>118.41</v>
      </c>
      <c r="C74" s="435">
        <v>151.70775867229503</v>
      </c>
      <c r="D74" s="540">
        <f t="shared" ref="D74:D79" si="23">IF(B74=0, "    ---- ", IF(ABS(ROUND(100/B74*C74-100,1))&lt;999,ROUND(100/B74*C74-100,1),IF(ROUND(100/B74*C74-100,1)&gt;999,999,-999)))</f>
        <v>28.1</v>
      </c>
      <c r="E74" s="434"/>
      <c r="F74" s="435"/>
      <c r="G74" s="449"/>
      <c r="H74" s="434"/>
      <c r="I74" s="435"/>
      <c r="J74" s="449"/>
      <c r="K74" s="434"/>
      <c r="L74" s="435"/>
      <c r="M74" s="435"/>
      <c r="N74" s="435"/>
      <c r="O74" s="435"/>
      <c r="P74" s="449"/>
      <c r="Q74" s="434">
        <v>19.072789507792798</v>
      </c>
      <c r="R74" s="435">
        <v>36.503714623248669</v>
      </c>
      <c r="S74" s="540">
        <f t="shared" si="15"/>
        <v>91.4</v>
      </c>
      <c r="T74" s="435"/>
      <c r="U74" s="435"/>
      <c r="V74" s="449"/>
      <c r="W74" s="434">
        <v>12</v>
      </c>
      <c r="X74" s="435">
        <v>15</v>
      </c>
      <c r="Y74" s="540">
        <f>IF(W74=0, "    ---- ", IF(ABS(ROUND(100/W74*X74-100,1))&lt;999,ROUND(100/W74*X74-100,1),IF(ROUND(100/W74*X74-100,1)&gt;999,999,-999)))</f>
        <v>25</v>
      </c>
      <c r="Z74" s="434"/>
      <c r="AA74" s="435"/>
      <c r="AB74" s="449"/>
      <c r="AC74" s="435"/>
      <c r="AD74" s="435"/>
      <c r="AE74" s="435"/>
      <c r="AF74" s="544">
        <f t="shared" ref="AF74:AG74" si="24">B74+E74+H74+K74+N74+Q74+T74+W74+Z74</f>
        <v>149.4827895077928</v>
      </c>
      <c r="AG74" s="544">
        <f t="shared" si="24"/>
        <v>203.2114732955437</v>
      </c>
      <c r="AH74" s="449">
        <f t="shared" si="6"/>
        <v>35.9</v>
      </c>
      <c r="AI74" s="544">
        <f t="shared" ref="AI74:AJ74" si="25">+B74+E74+H74+K74+N74+Q74+T74+W74+Z74+AC74</f>
        <v>149.4827895077928</v>
      </c>
      <c r="AJ74" s="544">
        <f t="shared" si="25"/>
        <v>203.2114732955437</v>
      </c>
      <c r="AK74" s="449">
        <f t="shared" si="8"/>
        <v>35.9</v>
      </c>
    </row>
    <row r="75" spans="1:37" s="395" customFormat="1" ht="18.75" customHeight="1" x14ac:dyDescent="0.35">
      <c r="A75" s="421" t="s">
        <v>498</v>
      </c>
      <c r="B75" s="694">
        <v>-19.559999999999999</v>
      </c>
      <c r="C75" s="400">
        <v>-1.8000000000000007</v>
      </c>
      <c r="D75" s="540"/>
      <c r="E75" s="76"/>
      <c r="F75" s="400"/>
      <c r="G75" s="449"/>
      <c r="H75" s="76"/>
      <c r="I75" s="400"/>
      <c r="J75" s="449"/>
      <c r="K75" s="76"/>
      <c r="L75" s="400"/>
      <c r="M75" s="435"/>
      <c r="N75" s="435"/>
      <c r="O75" s="76"/>
      <c r="P75" s="449"/>
      <c r="Q75" s="76">
        <v>-18.176281076705976</v>
      </c>
      <c r="R75" s="400">
        <v>-14.664071823764461</v>
      </c>
      <c r="S75" s="540">
        <f t="shared" si="15"/>
        <v>-19.3</v>
      </c>
      <c r="T75" s="435"/>
      <c r="U75" s="76"/>
      <c r="V75" s="449"/>
      <c r="W75" s="76">
        <v>-8</v>
      </c>
      <c r="X75" s="400">
        <v>-5</v>
      </c>
      <c r="Y75" s="540">
        <f>IF(W75=0, "    ---- ", IF(ABS(ROUND(100/W75*X75-100,1))&lt;999,ROUND(100/W75*X75-100,1),IF(ROUND(100/W75*X75-100,1)&gt;999,999,-999)))</f>
        <v>-37.5</v>
      </c>
      <c r="Z75" s="76"/>
      <c r="AA75" s="400"/>
      <c r="AB75" s="449"/>
      <c r="AC75" s="435"/>
      <c r="AD75" s="76"/>
      <c r="AE75" s="435"/>
      <c r="AF75" s="544">
        <f t="shared" ref="AF75" si="26">B75+E75+H75+K75+N75+Q75+T75+W75+Z75</f>
        <v>-45.736281076705978</v>
      </c>
      <c r="AG75" s="544">
        <f t="shared" ref="AG75" si="27">C75+F75+I75+L75+O75+R75+U75+X75+AA75</f>
        <v>-21.464071823764463</v>
      </c>
      <c r="AH75" s="449">
        <f t="shared" ref="AH75" si="28">IF(AF75=0, "    ---- ", IF(ABS(ROUND(100/AF75*AG75-100,1))&lt;999,ROUND(100/AF75*AG75-100,1),IF(ROUND(100/AF75*AG75-100,1)&gt;999,999,-999)))</f>
        <v>-53.1</v>
      </c>
      <c r="AI75" s="544">
        <f t="shared" ref="AI75" si="29">+B75+E75+H75+K75+N75+Q75+T75+W75+Z75+AC75</f>
        <v>-45.736281076705978</v>
      </c>
      <c r="AJ75" s="544">
        <f t="shared" ref="AJ75" si="30">+C75+F75+I75+L75+O75+R75+U75+X75+AA75+AD75</f>
        <v>-21.464071823764463</v>
      </c>
      <c r="AK75" s="449">
        <f t="shared" ref="AK75" si="31">IF(AI75=0, "    ---- ", IF(ABS(ROUND(100/AI75*AJ75-100,1))&lt;999,ROUND(100/AI75*AJ75-100,1),IF(ROUND(100/AI75*AJ75-100,1)&gt;999,999,-999)))</f>
        <v>-53.1</v>
      </c>
    </row>
    <row r="76" spans="1:37" s="395" customFormat="1" ht="18.75" customHeight="1" x14ac:dyDescent="0.35">
      <c r="A76" s="421" t="s">
        <v>307</v>
      </c>
      <c r="B76" s="691">
        <v>1.83</v>
      </c>
      <c r="C76" s="435">
        <v>-0.57985353136090012</v>
      </c>
      <c r="D76" s="540">
        <f t="shared" si="23"/>
        <v>-131.69999999999999</v>
      </c>
      <c r="E76" s="434"/>
      <c r="F76" s="435"/>
      <c r="G76" s="449"/>
      <c r="H76" s="434"/>
      <c r="I76" s="435"/>
      <c r="J76" s="449"/>
      <c r="K76" s="434"/>
      <c r="L76" s="435"/>
      <c r="M76" s="435"/>
      <c r="N76" s="435"/>
      <c r="O76" s="435"/>
      <c r="P76" s="449"/>
      <c r="Q76" s="434">
        <v>4.4498960051309915</v>
      </c>
      <c r="R76" s="435">
        <v>5.1007017979417331</v>
      </c>
      <c r="S76" s="540">
        <f t="shared" si="15"/>
        <v>14.6</v>
      </c>
      <c r="T76" s="435"/>
      <c r="U76" s="435"/>
      <c r="V76" s="449"/>
      <c r="W76" s="434">
        <v>1</v>
      </c>
      <c r="X76" s="435">
        <v>2</v>
      </c>
      <c r="Y76" s="540">
        <f>IF(W76=0, "    ---- ", IF(ABS(ROUND(100/W76*X76-100,1))&lt;999,ROUND(100/W76*X76-100,1),IF(ROUND(100/W76*X76-100,1)&gt;999,999,-999)))</f>
        <v>100</v>
      </c>
      <c r="Z76" s="434"/>
      <c r="AA76" s="435"/>
      <c r="AB76" s="449"/>
      <c r="AC76" s="435"/>
      <c r="AD76" s="435"/>
      <c r="AE76" s="435"/>
      <c r="AF76" s="544">
        <f t="shared" ref="AF76:AG84" si="32">B76+E76+H76+K76+N76+Q76+T76+W76+Z76</f>
        <v>7.2798960051309916</v>
      </c>
      <c r="AG76" s="544">
        <f t="shared" si="32"/>
        <v>6.5208482665808329</v>
      </c>
      <c r="AH76" s="449">
        <f t="shared" si="6"/>
        <v>-10.4</v>
      </c>
      <c r="AI76" s="544">
        <f t="shared" ref="AI76:AJ84" si="33">+B76+E76+H76+K76+N76+Q76+T76+W76+Z76+AC76</f>
        <v>7.2798960051309916</v>
      </c>
      <c r="AJ76" s="544">
        <f t="shared" si="33"/>
        <v>6.5208482665808329</v>
      </c>
      <c r="AK76" s="449">
        <f t="shared" si="8"/>
        <v>-10.4</v>
      </c>
    </row>
    <row r="77" spans="1:37" s="395" customFormat="1" ht="18.75" customHeight="1" x14ac:dyDescent="0.35">
      <c r="A77" s="421" t="s">
        <v>308</v>
      </c>
      <c r="B77" s="691">
        <v>1</v>
      </c>
      <c r="C77" s="435">
        <v>0.59438363000000005</v>
      </c>
      <c r="D77" s="540">
        <f t="shared" si="23"/>
        <v>-40.6</v>
      </c>
      <c r="E77" s="434"/>
      <c r="F77" s="435"/>
      <c r="G77" s="449"/>
      <c r="H77" s="434"/>
      <c r="I77" s="435"/>
      <c r="J77" s="449"/>
      <c r="K77" s="434"/>
      <c r="L77" s="435"/>
      <c r="M77" s="435"/>
      <c r="N77" s="435"/>
      <c r="O77" s="435"/>
      <c r="P77" s="449"/>
      <c r="Q77" s="434"/>
      <c r="R77" s="435"/>
      <c r="S77" s="540"/>
      <c r="T77" s="435"/>
      <c r="U77" s="435"/>
      <c r="V77" s="449"/>
      <c r="W77" s="434"/>
      <c r="X77" s="435"/>
      <c r="Y77" s="540"/>
      <c r="Z77" s="434"/>
      <c r="AA77" s="435"/>
      <c r="AB77" s="449"/>
      <c r="AC77" s="435"/>
      <c r="AD77" s="435"/>
      <c r="AE77" s="435"/>
      <c r="AF77" s="544">
        <f t="shared" si="32"/>
        <v>1</v>
      </c>
      <c r="AG77" s="544">
        <f t="shared" si="32"/>
        <v>0.59438363000000005</v>
      </c>
      <c r="AH77" s="449">
        <f t="shared" si="6"/>
        <v>-40.6</v>
      </c>
      <c r="AI77" s="544">
        <f t="shared" si="33"/>
        <v>1</v>
      </c>
      <c r="AJ77" s="544">
        <f t="shared" si="33"/>
        <v>0.59438363000000005</v>
      </c>
      <c r="AK77" s="449">
        <f t="shared" si="8"/>
        <v>-40.6</v>
      </c>
    </row>
    <row r="78" spans="1:37" s="395" customFormat="1" ht="18.75" customHeight="1" x14ac:dyDescent="0.35">
      <c r="A78" s="421" t="s">
        <v>309</v>
      </c>
      <c r="B78" s="691">
        <v>19</v>
      </c>
      <c r="C78" s="435">
        <v>19.350799899999998</v>
      </c>
      <c r="D78" s="540">
        <f t="shared" si="23"/>
        <v>1.8</v>
      </c>
      <c r="E78" s="434"/>
      <c r="F78" s="435"/>
      <c r="G78" s="449"/>
      <c r="H78" s="434"/>
      <c r="I78" s="435"/>
      <c r="J78" s="449"/>
      <c r="K78" s="434"/>
      <c r="L78" s="435"/>
      <c r="M78" s="435"/>
      <c r="N78" s="435"/>
      <c r="O78" s="435"/>
      <c r="P78" s="449"/>
      <c r="Q78" s="434">
        <v>3.0006837013333332</v>
      </c>
      <c r="R78" s="435">
        <v>3.4200099413333334</v>
      </c>
      <c r="S78" s="540">
        <f t="shared" si="15"/>
        <v>14</v>
      </c>
      <c r="T78" s="435"/>
      <c r="U78" s="435"/>
      <c r="V78" s="449"/>
      <c r="W78" s="434">
        <v>2</v>
      </c>
      <c r="X78" s="435">
        <v>2</v>
      </c>
      <c r="Y78" s="540">
        <f>IF(W78=0, "    ---- ", IF(ABS(ROUND(100/W78*X78-100,1))&lt;999,ROUND(100/W78*X78-100,1),IF(ROUND(100/W78*X78-100,1)&gt;999,999,-999)))</f>
        <v>0</v>
      </c>
      <c r="Z78" s="434"/>
      <c r="AA78" s="435"/>
      <c r="AB78" s="449"/>
      <c r="AC78" s="435"/>
      <c r="AD78" s="435"/>
      <c r="AE78" s="435"/>
      <c r="AF78" s="544">
        <f t="shared" si="32"/>
        <v>24.000683701333333</v>
      </c>
      <c r="AG78" s="544">
        <f t="shared" si="32"/>
        <v>24.770809841333332</v>
      </c>
      <c r="AH78" s="449">
        <f t="shared" si="6"/>
        <v>3.2</v>
      </c>
      <c r="AI78" s="544">
        <f t="shared" si="33"/>
        <v>24.000683701333333</v>
      </c>
      <c r="AJ78" s="544">
        <f t="shared" si="33"/>
        <v>24.770809841333332</v>
      </c>
      <c r="AK78" s="449">
        <f t="shared" si="8"/>
        <v>3.2</v>
      </c>
    </row>
    <row r="79" spans="1:37" s="395" customFormat="1" ht="18.75" customHeight="1" x14ac:dyDescent="0.35">
      <c r="A79" s="421" t="s">
        <v>310</v>
      </c>
      <c r="B79" s="691">
        <v>6</v>
      </c>
      <c r="C79" s="435">
        <v>0.8285340200004887</v>
      </c>
      <c r="D79" s="540">
        <f t="shared" si="23"/>
        <v>-86.2</v>
      </c>
      <c r="E79" s="434"/>
      <c r="F79" s="435"/>
      <c r="G79" s="449"/>
      <c r="H79" s="434"/>
      <c r="I79" s="435"/>
      <c r="J79" s="449"/>
      <c r="K79" s="434"/>
      <c r="L79" s="435"/>
      <c r="M79" s="435"/>
      <c r="N79" s="435"/>
      <c r="O79" s="435"/>
      <c r="P79" s="449"/>
      <c r="Q79" s="434">
        <v>1.3240364428641076</v>
      </c>
      <c r="R79" s="435">
        <v>1.9013492354968597</v>
      </c>
      <c r="S79" s="540">
        <f t="shared" si="15"/>
        <v>43.6</v>
      </c>
      <c r="T79" s="435"/>
      <c r="U79" s="435"/>
      <c r="V79" s="449"/>
      <c r="W79" s="434">
        <v>3</v>
      </c>
      <c r="X79" s="435">
        <v>-2</v>
      </c>
      <c r="Y79" s="540">
        <f>IF(W79=0, "    ---- ", IF(ABS(ROUND(100/W79*X79-100,1))&lt;999,ROUND(100/W79*X79-100,1),IF(ROUND(100/W79*X79-100,1)&gt;999,999,-999)))</f>
        <v>-166.7</v>
      </c>
      <c r="Z79" s="434"/>
      <c r="AA79" s="435"/>
      <c r="AB79" s="449"/>
      <c r="AC79" s="435"/>
      <c r="AD79" s="435"/>
      <c r="AE79" s="435"/>
      <c r="AF79" s="544">
        <f t="shared" si="32"/>
        <v>10.324036442864108</v>
      </c>
      <c r="AG79" s="544">
        <f t="shared" si="32"/>
        <v>0.72988325549734867</v>
      </c>
      <c r="AH79" s="449">
        <f t="shared" si="6"/>
        <v>-92.9</v>
      </c>
      <c r="AI79" s="544">
        <f t="shared" si="33"/>
        <v>10.324036442864108</v>
      </c>
      <c r="AJ79" s="544">
        <f t="shared" si="33"/>
        <v>0.72988325549734867</v>
      </c>
      <c r="AK79" s="449">
        <f t="shared" si="8"/>
        <v>-92.9</v>
      </c>
    </row>
    <row r="80" spans="1:37" s="395" customFormat="1" ht="18.75" customHeight="1" x14ac:dyDescent="0.35">
      <c r="A80" s="421" t="s">
        <v>311</v>
      </c>
      <c r="B80" s="691"/>
      <c r="C80" s="435"/>
      <c r="D80" s="540"/>
      <c r="E80" s="434"/>
      <c r="F80" s="435"/>
      <c r="G80" s="449"/>
      <c r="H80" s="434"/>
      <c r="I80" s="435"/>
      <c r="J80" s="449"/>
      <c r="K80" s="434"/>
      <c r="L80" s="435"/>
      <c r="M80" s="435"/>
      <c r="N80" s="435"/>
      <c r="O80" s="435"/>
      <c r="P80" s="449"/>
      <c r="Q80" s="434">
        <v>11.869593475881926</v>
      </c>
      <c r="R80" s="435">
        <v>13.5973808656366</v>
      </c>
      <c r="S80" s="540">
        <f t="shared" si="15"/>
        <v>14.6</v>
      </c>
      <c r="T80" s="435"/>
      <c r="U80" s="435"/>
      <c r="V80" s="449"/>
      <c r="W80" s="434"/>
      <c r="X80" s="435"/>
      <c r="Y80" s="540"/>
      <c r="Z80" s="434"/>
      <c r="AA80" s="435"/>
      <c r="AB80" s="449"/>
      <c r="AC80" s="435"/>
      <c r="AD80" s="435"/>
      <c r="AE80" s="435"/>
      <c r="AF80" s="544">
        <f t="shared" si="32"/>
        <v>11.869593475881926</v>
      </c>
      <c r="AG80" s="544">
        <f t="shared" si="32"/>
        <v>13.5973808656366</v>
      </c>
      <c r="AH80" s="449">
        <f t="shared" si="6"/>
        <v>14.6</v>
      </c>
      <c r="AI80" s="544">
        <f t="shared" si="33"/>
        <v>11.869593475881926</v>
      </c>
      <c r="AJ80" s="544">
        <f t="shared" si="33"/>
        <v>13.5973808656366</v>
      </c>
      <c r="AK80" s="449">
        <f t="shared" si="8"/>
        <v>14.6</v>
      </c>
    </row>
    <row r="81" spans="1:37" s="395" customFormat="1" ht="18.75" customHeight="1" x14ac:dyDescent="0.35">
      <c r="A81" s="421" t="s">
        <v>312</v>
      </c>
      <c r="B81" s="691"/>
      <c r="C81" s="435"/>
      <c r="D81" s="540"/>
      <c r="E81" s="434"/>
      <c r="F81" s="435"/>
      <c r="G81" s="449"/>
      <c r="H81" s="434"/>
      <c r="I81" s="435"/>
      <c r="J81" s="449"/>
      <c r="K81" s="434"/>
      <c r="L81" s="435"/>
      <c r="M81" s="435"/>
      <c r="N81" s="435"/>
      <c r="O81" s="435"/>
      <c r="P81" s="449"/>
      <c r="Q81" s="434"/>
      <c r="R81" s="435"/>
      <c r="S81" s="540"/>
      <c r="T81" s="435"/>
      <c r="U81" s="435"/>
      <c r="V81" s="449"/>
      <c r="W81" s="434"/>
      <c r="X81" s="435"/>
      <c r="Y81" s="540"/>
      <c r="Z81" s="434"/>
      <c r="AA81" s="435"/>
      <c r="AB81" s="449"/>
      <c r="AC81" s="435"/>
      <c r="AD81" s="435"/>
      <c r="AE81" s="435"/>
      <c r="AF81" s="544">
        <f t="shared" si="32"/>
        <v>0</v>
      </c>
      <c r="AG81" s="544">
        <f t="shared" si="32"/>
        <v>0</v>
      </c>
      <c r="AH81" s="449" t="str">
        <f t="shared" si="6"/>
        <v xml:space="preserve">    ---- </v>
      </c>
      <c r="AI81" s="544">
        <f t="shared" si="33"/>
        <v>0</v>
      </c>
      <c r="AJ81" s="544">
        <f t="shared" si="33"/>
        <v>0</v>
      </c>
      <c r="AK81" s="449" t="str">
        <f t="shared" si="8"/>
        <v xml:space="preserve">    ---- </v>
      </c>
    </row>
    <row r="82" spans="1:37" s="528" customFormat="1" ht="18.75" customHeight="1" x14ac:dyDescent="0.3">
      <c r="A82" s="535" t="s">
        <v>313</v>
      </c>
      <c r="B82" s="690">
        <f>SUM(B74:B79)+B81</f>
        <v>126.67999999999999</v>
      </c>
      <c r="C82" s="433">
        <f>SUM(C74:C79)+C81</f>
        <v>170.10162269093462</v>
      </c>
      <c r="D82" s="539">
        <f>IF(B82=0, "    ---- ", IF(ABS(ROUND(100/B82*C82-100,1))&lt;999,ROUND(100/B82*C82-100,1),IF(ROUND(100/B82*C82-100,1)&gt;999,999,-999)))</f>
        <v>34.299999999999997</v>
      </c>
      <c r="E82" s="432"/>
      <c r="F82" s="433"/>
      <c r="G82" s="450"/>
      <c r="H82" s="432"/>
      <c r="I82" s="433"/>
      <c r="J82" s="450"/>
      <c r="K82" s="432"/>
      <c r="L82" s="433"/>
      <c r="M82" s="433"/>
      <c r="N82" s="433"/>
      <c r="O82" s="433"/>
      <c r="P82" s="450"/>
      <c r="Q82" s="432">
        <f>SUM(Q74:Q79)+Q81</f>
        <v>9.6711245804152544</v>
      </c>
      <c r="R82" s="433">
        <f>SUM(R74:R79)+R81</f>
        <v>32.261703774256134</v>
      </c>
      <c r="S82" s="539">
        <f t="shared" si="15"/>
        <v>233.6</v>
      </c>
      <c r="T82" s="433"/>
      <c r="U82" s="433"/>
      <c r="V82" s="450"/>
      <c r="W82" s="432">
        <f>SUM(W74:W79)+W81</f>
        <v>10</v>
      </c>
      <c r="X82" s="433">
        <f>SUM(X74:X79)+X81</f>
        <v>12</v>
      </c>
      <c r="Y82" s="539">
        <f>IF(W82=0, "    ---- ", IF(ABS(ROUND(100/W82*X82-100,1))&lt;999,ROUND(100/W82*X82-100,1),IF(ROUND(100/W82*X82-100,1)&gt;999,999,-999)))</f>
        <v>20</v>
      </c>
      <c r="Z82" s="432"/>
      <c r="AA82" s="433"/>
      <c r="AB82" s="450"/>
      <c r="AC82" s="433"/>
      <c r="AD82" s="433"/>
      <c r="AE82" s="433"/>
      <c r="AF82" s="545">
        <f t="shared" si="32"/>
        <v>146.35112458041525</v>
      </c>
      <c r="AG82" s="545">
        <f t="shared" si="32"/>
        <v>214.36332646519077</v>
      </c>
      <c r="AH82" s="450">
        <f t="shared" si="6"/>
        <v>46.5</v>
      </c>
      <c r="AI82" s="545">
        <f t="shared" si="33"/>
        <v>146.35112458041525</v>
      </c>
      <c r="AJ82" s="545">
        <f t="shared" si="33"/>
        <v>214.36332646519077</v>
      </c>
      <c r="AK82" s="450">
        <f t="shared" si="8"/>
        <v>46.5</v>
      </c>
    </row>
    <row r="83" spans="1:37" s="395" customFormat="1" ht="18.75" customHeight="1" x14ac:dyDescent="0.35">
      <c r="A83" s="421" t="s">
        <v>314</v>
      </c>
      <c r="B83" s="691">
        <v>102</v>
      </c>
      <c r="C83" s="435">
        <v>150.32202568229499</v>
      </c>
      <c r="D83" s="540">
        <f>IF(B83=0, "    ---- ", IF(ABS(ROUND(100/B83*C83-100,1))&lt;999,ROUND(100/B83*C83-100,1),IF(ROUND(100/B83*C83-100,1)&gt;999,999,-999)))</f>
        <v>47.4</v>
      </c>
      <c r="E83" s="434"/>
      <c r="F83" s="435"/>
      <c r="G83" s="449"/>
      <c r="H83" s="434"/>
      <c r="I83" s="435"/>
      <c r="J83" s="449"/>
      <c r="K83" s="434"/>
      <c r="L83" s="435"/>
      <c r="M83" s="435"/>
      <c r="N83" s="435"/>
      <c r="O83" s="435"/>
      <c r="P83" s="449"/>
      <c r="Q83" s="434">
        <v>0.66201822143205258</v>
      </c>
      <c r="R83" s="435">
        <v>22.013204645226395</v>
      </c>
      <c r="S83" s="540">
        <f t="shared" si="15"/>
        <v>999</v>
      </c>
      <c r="T83" s="435"/>
      <c r="U83" s="435"/>
      <c r="V83" s="449"/>
      <c r="W83" s="434">
        <v>4</v>
      </c>
      <c r="X83" s="435">
        <v>10</v>
      </c>
      <c r="Y83" s="540">
        <f>IF(W83=0, "    ---- ", IF(ABS(ROUND(100/W83*X83-100,1))&lt;999,ROUND(100/W83*X83-100,1),IF(ROUND(100/W83*X83-100,1)&gt;999,999,-999)))</f>
        <v>150</v>
      </c>
      <c r="Z83" s="434"/>
      <c r="AA83" s="435"/>
      <c r="AB83" s="449"/>
      <c r="AC83" s="435"/>
      <c r="AD83" s="435"/>
      <c r="AE83" s="435"/>
      <c r="AF83" s="544">
        <f t="shared" si="32"/>
        <v>106.66201822143205</v>
      </c>
      <c r="AG83" s="544">
        <f t="shared" si="32"/>
        <v>182.3352303275214</v>
      </c>
      <c r="AH83" s="449">
        <f t="shared" si="6"/>
        <v>70.900000000000006</v>
      </c>
      <c r="AI83" s="544">
        <f>+B83+E83+H83+K83+N83+Q83+T83+W83+Z83+AC83</f>
        <v>106.66201822143205</v>
      </c>
      <c r="AJ83" s="544">
        <f t="shared" si="33"/>
        <v>182.3352303275214</v>
      </c>
      <c r="AK83" s="449">
        <f t="shared" si="8"/>
        <v>70.900000000000006</v>
      </c>
    </row>
    <row r="84" spans="1:37" s="395" customFormat="1" ht="18.75" customHeight="1" x14ac:dyDescent="0.35">
      <c r="A84" s="421" t="s">
        <v>315</v>
      </c>
      <c r="B84" s="691">
        <v>25</v>
      </c>
      <c r="C84" s="435">
        <v>19.779597008639627</v>
      </c>
      <c r="D84" s="540">
        <f>IF(B84=0, "    ---- ", IF(ABS(ROUND(100/B84*C84-100,1))&lt;999,ROUND(100/B84*C84-100,1),IF(ROUND(100/B84*C84-100,1)&gt;999,999,-999)))</f>
        <v>-20.9</v>
      </c>
      <c r="E84" s="434"/>
      <c r="F84" s="435"/>
      <c r="G84" s="449"/>
      <c r="H84" s="434"/>
      <c r="I84" s="435"/>
      <c r="J84" s="449"/>
      <c r="K84" s="434"/>
      <c r="L84" s="435"/>
      <c r="M84" s="435"/>
      <c r="N84" s="435"/>
      <c r="O84" s="435"/>
      <c r="P84" s="449"/>
      <c r="Q84" s="434">
        <v>9.0091063589832014</v>
      </c>
      <c r="R84" s="435">
        <v>10.248499129029739</v>
      </c>
      <c r="S84" s="540">
        <f t="shared" si="15"/>
        <v>13.8</v>
      </c>
      <c r="T84" s="435"/>
      <c r="U84" s="435"/>
      <c r="V84" s="449"/>
      <c r="W84" s="434">
        <v>6</v>
      </c>
      <c r="X84" s="435">
        <v>2</v>
      </c>
      <c r="Y84" s="540">
        <f>IF(W84=0, "    ---- ", IF(ABS(ROUND(100/W84*X84-100,1))&lt;999,ROUND(100/W84*X84-100,1),IF(ROUND(100/W84*X84-100,1)&gt;999,999,-999)))</f>
        <v>-66.7</v>
      </c>
      <c r="Z84" s="434"/>
      <c r="AA84" s="435"/>
      <c r="AB84" s="449"/>
      <c r="AC84" s="435"/>
      <c r="AD84" s="435"/>
      <c r="AE84" s="435"/>
      <c r="AF84" s="544">
        <f t="shared" si="32"/>
        <v>40.009106358983203</v>
      </c>
      <c r="AG84" s="544">
        <f t="shared" si="32"/>
        <v>32.028096137669365</v>
      </c>
      <c r="AH84" s="449">
        <f t="shared" si="6"/>
        <v>-19.899999999999999</v>
      </c>
      <c r="AI84" s="544">
        <f t="shared" si="33"/>
        <v>40.009106358983203</v>
      </c>
      <c r="AJ84" s="544">
        <f t="shared" si="33"/>
        <v>32.028096137669365</v>
      </c>
      <c r="AK84" s="449">
        <f t="shared" si="8"/>
        <v>-19.899999999999999</v>
      </c>
    </row>
    <row r="85" spans="1:37" s="528" customFormat="1" ht="18.75" customHeight="1" x14ac:dyDescent="0.35">
      <c r="A85" s="535" t="s">
        <v>321</v>
      </c>
      <c r="B85" s="690"/>
      <c r="C85" s="433"/>
      <c r="D85" s="539"/>
      <c r="E85" s="432"/>
      <c r="F85" s="433"/>
      <c r="G85" s="450"/>
      <c r="H85" s="432"/>
      <c r="I85" s="433"/>
      <c r="J85" s="450"/>
      <c r="K85" s="432"/>
      <c r="L85" s="433"/>
      <c r="M85" s="433"/>
      <c r="N85" s="433"/>
      <c r="O85" s="433"/>
      <c r="P85" s="450"/>
      <c r="Q85" s="432"/>
      <c r="R85" s="433"/>
      <c r="S85" s="539"/>
      <c r="T85" s="433"/>
      <c r="U85" s="433"/>
      <c r="V85" s="450"/>
      <c r="W85" s="432"/>
      <c r="X85" s="433"/>
      <c r="Y85" s="539"/>
      <c r="Z85" s="432"/>
      <c r="AA85" s="433"/>
      <c r="AB85" s="450"/>
      <c r="AC85" s="433"/>
      <c r="AD85" s="433"/>
      <c r="AE85" s="433"/>
      <c r="AF85" s="544"/>
      <c r="AG85" s="544"/>
      <c r="AH85" s="450"/>
      <c r="AI85" s="544"/>
      <c r="AJ85" s="544"/>
      <c r="AK85" s="450"/>
    </row>
    <row r="86" spans="1:37" s="395" customFormat="1" ht="18" x14ac:dyDescent="0.35">
      <c r="A86" s="750" t="s">
        <v>497</v>
      </c>
      <c r="B86" s="691"/>
      <c r="C86" s="435"/>
      <c r="D86" s="540"/>
      <c r="E86" s="434"/>
      <c r="F86" s="435"/>
      <c r="G86" s="540"/>
      <c r="H86" s="434">
        <v>48.002000000000002</v>
      </c>
      <c r="I86" s="435">
        <v>55.015999999999998</v>
      </c>
      <c r="J86" s="540">
        <f>IF(H86=0, "    ---- ", IF(ABS(ROUND(100/H86*I86-100,1))&lt;999,ROUND(100/H86*I86-100,1),IF(ROUND(100/H86*I86-100,1)&gt;999,999,-999)))</f>
        <v>14.6</v>
      </c>
      <c r="K86" s="434">
        <v>45</v>
      </c>
      <c r="L86" s="435">
        <v>69</v>
      </c>
      <c r="M86" s="544">
        <f>IF(K86=0, "    ---- ", IF(ABS(ROUND(100/K86*L86-100,1))&lt;999,ROUND(100/K86*L86-100,1),IF(ROUND(100/K86*L86-100,1)&gt;999,999,-999)))</f>
        <v>53.3</v>
      </c>
      <c r="N86" s="435"/>
      <c r="O86" s="435"/>
      <c r="P86" s="550"/>
      <c r="Q86" s="434">
        <v>13.214089595045261</v>
      </c>
      <c r="R86" s="435">
        <v>22.863027583208122</v>
      </c>
      <c r="S86" s="540">
        <f t="shared" si="15"/>
        <v>73</v>
      </c>
      <c r="T86" s="435"/>
      <c r="U86" s="435"/>
      <c r="V86" s="540"/>
      <c r="W86" s="434"/>
      <c r="X86" s="435"/>
      <c r="Y86" s="540"/>
      <c r="Z86" s="434">
        <v>14.98726654</v>
      </c>
      <c r="AA86" s="435">
        <v>15.341043630000044</v>
      </c>
      <c r="AB86" s="449">
        <f>IF(Z86=0, "    ---- ", IF(ABS(ROUND(100/Z86*AA86-100,1))&lt;999,ROUND(100/Z86*AA86-100,1),IF(ROUND(100/Z86*AA86-100,1)&gt;999,999,-999)))</f>
        <v>2.4</v>
      </c>
      <c r="AC86" s="544"/>
      <c r="AD86" s="435"/>
      <c r="AE86" s="544"/>
      <c r="AF86" s="544">
        <f t="shared" ref="AF86:AG96" si="34">B86+E86+H86+K86+N86+Q86+T86+W86+Z86</f>
        <v>121.20335613504528</v>
      </c>
      <c r="AG86" s="544">
        <f t="shared" si="34"/>
        <v>162.22007121320814</v>
      </c>
      <c r="AH86" s="540">
        <f t="shared" si="6"/>
        <v>33.799999999999997</v>
      </c>
      <c r="AI86" s="544">
        <f t="shared" ref="AI86:AJ86" si="35">+B86+E86+H86+K86+N86+Q86+T86+W86+Z86+AC86</f>
        <v>121.20335613504528</v>
      </c>
      <c r="AJ86" s="544">
        <f t="shared" si="35"/>
        <v>162.22007121320814</v>
      </c>
      <c r="AK86" s="540">
        <f t="shared" si="8"/>
        <v>33.799999999999997</v>
      </c>
    </row>
    <row r="87" spans="1:37" s="395" customFormat="1" ht="18.75" customHeight="1" x14ac:dyDescent="0.35">
      <c r="A87" s="421" t="s">
        <v>498</v>
      </c>
      <c r="B87" s="694"/>
      <c r="C87" s="400"/>
      <c r="D87" s="540"/>
      <c r="E87" s="76"/>
      <c r="F87" s="400"/>
      <c r="G87" s="550"/>
      <c r="H87" s="76"/>
      <c r="I87" s="400"/>
      <c r="J87" s="550"/>
      <c r="K87" s="76"/>
      <c r="L87" s="400"/>
      <c r="M87" s="541"/>
      <c r="N87" s="435"/>
      <c r="O87" s="76"/>
      <c r="P87" s="550"/>
      <c r="Q87" s="76"/>
      <c r="R87" s="400"/>
      <c r="S87" s="540"/>
      <c r="T87" s="435"/>
      <c r="U87" s="76"/>
      <c r="V87" s="550"/>
      <c r="W87" s="76"/>
      <c r="X87" s="400"/>
      <c r="Y87" s="540"/>
      <c r="Z87" s="76"/>
      <c r="AA87" s="400"/>
      <c r="AB87" s="550"/>
      <c r="AC87" s="541"/>
      <c r="AD87" s="76"/>
      <c r="AE87" s="541"/>
      <c r="AF87" s="544">
        <f t="shared" si="34"/>
        <v>0</v>
      </c>
      <c r="AG87" s="544">
        <f t="shared" si="34"/>
        <v>0</v>
      </c>
      <c r="AH87" s="550"/>
      <c r="AI87" s="544"/>
      <c r="AJ87" s="544"/>
      <c r="AK87" s="550"/>
    </row>
    <row r="88" spans="1:37" s="395" customFormat="1" ht="18.75" customHeight="1" x14ac:dyDescent="0.35">
      <c r="A88" s="421" t="s">
        <v>307</v>
      </c>
      <c r="B88" s="691"/>
      <c r="C88" s="435"/>
      <c r="D88" s="540"/>
      <c r="E88" s="434"/>
      <c r="F88" s="435"/>
      <c r="G88" s="449"/>
      <c r="H88" s="434">
        <v>-24.288</v>
      </c>
      <c r="I88" s="435">
        <v>-31.544</v>
      </c>
      <c r="J88" s="449">
        <f>IF(H88=0, "    ---- ", IF(ABS(ROUND(100/H88*I88-100,1))&lt;999,ROUND(100/H88*I88-100,1),IF(ROUND(100/H88*I88-100,1)&gt;999,999,-999)))</f>
        <v>29.9</v>
      </c>
      <c r="K88" s="434">
        <v>43</v>
      </c>
      <c r="L88" s="435">
        <v>43</v>
      </c>
      <c r="M88" s="435">
        <f>IF(K88=0, "    ---- ", IF(ABS(ROUND(100/K88*L88-100,1))&lt;999,ROUND(100/K88*L88-100,1),IF(ROUND(100/K88*L88-100,1)&gt;999,999,-999)))</f>
        <v>0</v>
      </c>
      <c r="N88" s="435"/>
      <c r="O88" s="435"/>
      <c r="P88" s="449"/>
      <c r="Q88" s="434">
        <v>15.222606499398365</v>
      </c>
      <c r="R88" s="435">
        <v>15.578907379131861</v>
      </c>
      <c r="S88" s="540">
        <f t="shared" si="15"/>
        <v>2.2999999999999998</v>
      </c>
      <c r="T88" s="435"/>
      <c r="U88" s="435"/>
      <c r="V88" s="449"/>
      <c r="W88" s="434"/>
      <c r="X88" s="435"/>
      <c r="Y88" s="540"/>
      <c r="Z88" s="434">
        <v>-15.64193691</v>
      </c>
      <c r="AA88" s="435">
        <v>-20.160875219999994</v>
      </c>
      <c r="AB88" s="449">
        <f>IF(Z88=0, "    ---- ", IF(ABS(ROUND(100/Z88*AA88-100,1))&lt;999,ROUND(100/Z88*AA88-100,1),IF(ROUND(100/Z88*AA88-100,1)&gt;999,999,-999)))</f>
        <v>28.9</v>
      </c>
      <c r="AC88" s="435"/>
      <c r="AD88" s="435"/>
      <c r="AE88" s="435"/>
      <c r="AF88" s="544">
        <f t="shared" si="34"/>
        <v>18.292669589398365</v>
      </c>
      <c r="AG88" s="544">
        <f t="shared" si="34"/>
        <v>6.8740321591318647</v>
      </c>
      <c r="AH88" s="449">
        <f t="shared" ref="AH88:AH108" si="36">IF(AF88=0, "    ---- ", IF(ABS(ROUND(100/AF88*AG88-100,1))&lt;999,ROUND(100/AF88*AG88-100,1),IF(ROUND(100/AF88*AG88-100,1)&gt;999,999,-999)))</f>
        <v>-62.4</v>
      </c>
      <c r="AI88" s="544">
        <f t="shared" ref="AI88:AJ96" si="37">+B88+E88+H88+K88+N88+Q88+T88+W88+Z88+AC88</f>
        <v>18.292669589398365</v>
      </c>
      <c r="AJ88" s="544">
        <f t="shared" si="37"/>
        <v>6.8740321591318647</v>
      </c>
      <c r="AK88" s="449">
        <f t="shared" ref="AK88:AK108" si="38">IF(AI88=0, "    ---- ", IF(ABS(ROUND(100/AI88*AJ88-100,1))&lt;999,ROUND(100/AI88*AJ88-100,1),IF(ROUND(100/AI88*AJ88-100,1)&gt;999,999,-999)))</f>
        <v>-62.4</v>
      </c>
    </row>
    <row r="89" spans="1:37" s="395" customFormat="1" ht="18.75" customHeight="1" x14ac:dyDescent="0.35">
      <c r="A89" s="421" t="s">
        <v>308</v>
      </c>
      <c r="B89" s="691"/>
      <c r="C89" s="435"/>
      <c r="D89" s="540"/>
      <c r="E89" s="434"/>
      <c r="F89" s="435"/>
      <c r="G89" s="449"/>
      <c r="H89" s="434"/>
      <c r="I89" s="435"/>
      <c r="J89" s="449"/>
      <c r="K89" s="434"/>
      <c r="L89" s="435"/>
      <c r="M89" s="435"/>
      <c r="N89" s="435"/>
      <c r="O89" s="435"/>
      <c r="P89" s="449"/>
      <c r="Q89" s="434"/>
      <c r="R89" s="435"/>
      <c r="S89" s="540"/>
      <c r="T89" s="435"/>
      <c r="U89" s="435"/>
      <c r="V89" s="449"/>
      <c r="W89" s="434"/>
      <c r="X89" s="435"/>
      <c r="Y89" s="540"/>
      <c r="Z89" s="434"/>
      <c r="AA89" s="435"/>
      <c r="AB89" s="449"/>
      <c r="AC89" s="435"/>
      <c r="AD89" s="435"/>
      <c r="AE89" s="435"/>
      <c r="AF89" s="544">
        <f t="shared" si="34"/>
        <v>0</v>
      </c>
      <c r="AG89" s="544">
        <f t="shared" si="34"/>
        <v>0</v>
      </c>
      <c r="AH89" s="449" t="str">
        <f t="shared" si="36"/>
        <v xml:space="preserve">    ---- </v>
      </c>
      <c r="AI89" s="544">
        <f t="shared" si="37"/>
        <v>0</v>
      </c>
      <c r="AJ89" s="544">
        <f t="shared" si="37"/>
        <v>0</v>
      </c>
      <c r="AK89" s="449" t="str">
        <f t="shared" si="38"/>
        <v xml:space="preserve">    ---- </v>
      </c>
    </row>
    <row r="90" spans="1:37" s="395" customFormat="1" ht="18.75" customHeight="1" x14ac:dyDescent="0.35">
      <c r="A90" s="421" t="s">
        <v>309</v>
      </c>
      <c r="B90" s="691"/>
      <c r="C90" s="435"/>
      <c r="D90" s="540"/>
      <c r="E90" s="434"/>
      <c r="F90" s="435"/>
      <c r="G90" s="449"/>
      <c r="H90" s="434"/>
      <c r="I90" s="435"/>
      <c r="J90" s="449"/>
      <c r="K90" s="434"/>
      <c r="L90" s="435"/>
      <c r="M90" s="435"/>
      <c r="N90" s="435"/>
      <c r="O90" s="435"/>
      <c r="P90" s="449"/>
      <c r="Q90" s="434"/>
      <c r="R90" s="435"/>
      <c r="S90" s="540"/>
      <c r="T90" s="435"/>
      <c r="U90" s="435"/>
      <c r="V90" s="449"/>
      <c r="W90" s="434"/>
      <c r="X90" s="435"/>
      <c r="Y90" s="540"/>
      <c r="Z90" s="434"/>
      <c r="AA90" s="435"/>
      <c r="AB90" s="449"/>
      <c r="AC90" s="435"/>
      <c r="AD90" s="435"/>
      <c r="AE90" s="435"/>
      <c r="AF90" s="544">
        <f t="shared" si="34"/>
        <v>0</v>
      </c>
      <c r="AG90" s="544">
        <f t="shared" si="34"/>
        <v>0</v>
      </c>
      <c r="AH90" s="449" t="str">
        <f t="shared" si="36"/>
        <v xml:space="preserve">    ---- </v>
      </c>
      <c r="AI90" s="544">
        <f t="shared" si="37"/>
        <v>0</v>
      </c>
      <c r="AJ90" s="544">
        <f t="shared" si="37"/>
        <v>0</v>
      </c>
      <c r="AK90" s="449" t="str">
        <f t="shared" si="38"/>
        <v xml:space="preserve">    ---- </v>
      </c>
    </row>
    <row r="91" spans="1:37" s="395" customFormat="1" ht="18.75" customHeight="1" x14ac:dyDescent="0.35">
      <c r="A91" s="421" t="s">
        <v>310</v>
      </c>
      <c r="B91" s="691"/>
      <c r="C91" s="435"/>
      <c r="D91" s="540"/>
      <c r="E91" s="434"/>
      <c r="F91" s="435"/>
      <c r="G91" s="449"/>
      <c r="H91" s="434">
        <v>-84.584999999999994</v>
      </c>
      <c r="I91" s="435">
        <v>-107.363</v>
      </c>
      <c r="J91" s="449">
        <f>IF(H91=0, "    ---- ", IF(ABS(ROUND(100/H91*I91-100,1))&lt;999,ROUND(100/H91*I91-100,1),IF(ROUND(100/H91*I91-100,1)&gt;999,999,-999)))</f>
        <v>26.9</v>
      </c>
      <c r="K91" s="434">
        <v>-23</v>
      </c>
      <c r="L91" s="435">
        <v>51</v>
      </c>
      <c r="M91" s="435">
        <f>IF(K91=0, "    ---- ", IF(ABS(ROUND(100/K91*L91-100,1))&lt;999,ROUND(100/K91*L91-100,1),IF(ROUND(100/K91*L91-100,1)&gt;999,999,-999)))</f>
        <v>-321.7</v>
      </c>
      <c r="N91" s="435"/>
      <c r="O91" s="435"/>
      <c r="P91" s="449"/>
      <c r="Q91" s="434">
        <v>20.278907993024433</v>
      </c>
      <c r="R91" s="435">
        <v>-39.597752540305144</v>
      </c>
      <c r="S91" s="540">
        <f t="shared" si="15"/>
        <v>-295.3</v>
      </c>
      <c r="T91" s="435"/>
      <c r="U91" s="435"/>
      <c r="V91" s="449"/>
      <c r="W91" s="434"/>
      <c r="X91" s="435"/>
      <c r="Y91" s="540"/>
      <c r="Z91" s="434">
        <v>-42.420266710000099</v>
      </c>
      <c r="AA91" s="435">
        <v>-88.818628420000039</v>
      </c>
      <c r="AB91" s="449">
        <f>IF(Z91=0, "    ---- ", IF(ABS(ROUND(100/Z91*AA91-100,1))&lt;999,ROUND(100/Z91*AA91-100,1),IF(ROUND(100/Z91*AA91-100,1)&gt;999,999,-999)))</f>
        <v>109.4</v>
      </c>
      <c r="AC91" s="435"/>
      <c r="AD91" s="435"/>
      <c r="AE91" s="435"/>
      <c r="AF91" s="544">
        <f t="shared" si="34"/>
        <v>-129.72635871697565</v>
      </c>
      <c r="AG91" s="544">
        <f t="shared" si="34"/>
        <v>-184.77938096030519</v>
      </c>
      <c r="AH91" s="449">
        <f t="shared" si="36"/>
        <v>42.4</v>
      </c>
      <c r="AI91" s="544">
        <f t="shared" si="37"/>
        <v>-129.72635871697565</v>
      </c>
      <c r="AJ91" s="544">
        <f t="shared" si="37"/>
        <v>-184.77938096030519</v>
      </c>
      <c r="AK91" s="449">
        <f t="shared" si="38"/>
        <v>42.4</v>
      </c>
    </row>
    <row r="92" spans="1:37" s="395" customFormat="1" ht="18.75" customHeight="1" x14ac:dyDescent="0.35">
      <c r="A92" s="421" t="s">
        <v>311</v>
      </c>
      <c r="B92" s="691"/>
      <c r="C92" s="435"/>
      <c r="D92" s="540"/>
      <c r="E92" s="434"/>
      <c r="F92" s="435"/>
      <c r="G92" s="449"/>
      <c r="H92" s="434"/>
      <c r="I92" s="435"/>
      <c r="J92" s="449"/>
      <c r="K92" s="434"/>
      <c r="L92" s="435"/>
      <c r="M92" s="435"/>
      <c r="N92" s="435"/>
      <c r="O92" s="435"/>
      <c r="P92" s="449"/>
      <c r="Q92" s="434"/>
      <c r="R92" s="435"/>
      <c r="S92" s="540"/>
      <c r="T92" s="435"/>
      <c r="U92" s="435"/>
      <c r="V92" s="449"/>
      <c r="W92" s="434"/>
      <c r="X92" s="435"/>
      <c r="Y92" s="540"/>
      <c r="Z92" s="434"/>
      <c r="AA92" s="435"/>
      <c r="AB92" s="449"/>
      <c r="AC92" s="435"/>
      <c r="AD92" s="435"/>
      <c r="AE92" s="435"/>
      <c r="AF92" s="544">
        <f t="shared" si="34"/>
        <v>0</v>
      </c>
      <c r="AG92" s="544">
        <f t="shared" si="34"/>
        <v>0</v>
      </c>
      <c r="AH92" s="449" t="str">
        <f t="shared" si="36"/>
        <v xml:space="preserve">    ---- </v>
      </c>
      <c r="AI92" s="544">
        <f t="shared" si="37"/>
        <v>0</v>
      </c>
      <c r="AJ92" s="544">
        <f t="shared" si="37"/>
        <v>0</v>
      </c>
      <c r="AK92" s="449" t="str">
        <f t="shared" si="38"/>
        <v xml:space="preserve">    ---- </v>
      </c>
    </row>
    <row r="93" spans="1:37" s="395" customFormat="1" ht="18.75" customHeight="1" x14ac:dyDescent="0.35">
      <c r="A93" s="421" t="s">
        <v>312</v>
      </c>
      <c r="B93" s="691"/>
      <c r="C93" s="435"/>
      <c r="D93" s="540"/>
      <c r="E93" s="434"/>
      <c r="F93" s="435"/>
      <c r="G93" s="449"/>
      <c r="H93" s="434"/>
      <c r="I93" s="435"/>
      <c r="J93" s="449"/>
      <c r="K93" s="434"/>
      <c r="L93" s="435"/>
      <c r="M93" s="435"/>
      <c r="N93" s="435"/>
      <c r="O93" s="435"/>
      <c r="P93" s="449"/>
      <c r="Q93" s="434"/>
      <c r="R93" s="435">
        <v>0</v>
      </c>
      <c r="S93" s="540"/>
      <c r="T93" s="435"/>
      <c r="U93" s="435"/>
      <c r="V93" s="449"/>
      <c r="W93" s="434"/>
      <c r="X93" s="435"/>
      <c r="Y93" s="540"/>
      <c r="Z93" s="434"/>
      <c r="AA93" s="435"/>
      <c r="AB93" s="449"/>
      <c r="AC93" s="435"/>
      <c r="AD93" s="435"/>
      <c r="AE93" s="435"/>
      <c r="AF93" s="544">
        <f t="shared" si="34"/>
        <v>0</v>
      </c>
      <c r="AG93" s="544">
        <f t="shared" si="34"/>
        <v>0</v>
      </c>
      <c r="AH93" s="449" t="str">
        <f t="shared" si="36"/>
        <v xml:space="preserve">    ---- </v>
      </c>
      <c r="AI93" s="544">
        <f t="shared" si="37"/>
        <v>0</v>
      </c>
      <c r="AJ93" s="544">
        <f t="shared" si="37"/>
        <v>0</v>
      </c>
      <c r="AK93" s="449" t="str">
        <f t="shared" si="38"/>
        <v xml:space="preserve">    ---- </v>
      </c>
    </row>
    <row r="94" spans="1:37" s="528" customFormat="1" ht="18.75" customHeight="1" x14ac:dyDescent="0.3">
      <c r="A94" s="535" t="s">
        <v>313</v>
      </c>
      <c r="B94" s="690"/>
      <c r="C94" s="433"/>
      <c r="D94" s="539"/>
      <c r="E94" s="432"/>
      <c r="F94" s="433"/>
      <c r="G94" s="450"/>
      <c r="H94" s="432">
        <f>SUM(H86:H91)+H93</f>
        <v>-60.870999999999995</v>
      </c>
      <c r="I94" s="433">
        <f>SUM(I86:I91)+I93</f>
        <v>-83.891000000000005</v>
      </c>
      <c r="J94" s="450">
        <f>IF(H94=0, "    ---- ", IF(ABS(ROUND(100/H94*I94-100,1))&lt;999,ROUND(100/H94*I94-100,1),IF(ROUND(100/H94*I94-100,1)&gt;999,999,-999)))</f>
        <v>37.799999999999997</v>
      </c>
      <c r="K94" s="432">
        <f>SUM(K86:K91)+K93</f>
        <v>65</v>
      </c>
      <c r="L94" s="433">
        <f>SUM(L86:L91)+L93</f>
        <v>163</v>
      </c>
      <c r="M94" s="433">
        <f>IF(K94=0, "    ---- ", IF(ABS(ROUND(100/K94*L94-100,1))&lt;999,ROUND(100/K94*L94-100,1),IF(ROUND(100/K94*L94-100,1)&gt;999,999,-999)))</f>
        <v>150.80000000000001</v>
      </c>
      <c r="N94" s="433"/>
      <c r="O94" s="433"/>
      <c r="P94" s="450"/>
      <c r="Q94" s="432">
        <f>SUM(Q86:Q91)+Q93</f>
        <v>48.715604087468058</v>
      </c>
      <c r="R94" s="433">
        <f>SUM(R86:R91)+R93</f>
        <v>-1.1558175779651592</v>
      </c>
      <c r="S94" s="539">
        <f t="shared" si="15"/>
        <v>-102.4</v>
      </c>
      <c r="T94" s="433"/>
      <c r="U94" s="433"/>
      <c r="V94" s="450"/>
      <c r="W94" s="432"/>
      <c r="X94" s="433"/>
      <c r="Y94" s="539"/>
      <c r="Z94" s="432">
        <f>SUM(Z86:Z91)+Z93</f>
        <v>-43.074937080000097</v>
      </c>
      <c r="AA94" s="433">
        <f>SUM(AA86:AA91)+AA93</f>
        <v>-93.638460009999989</v>
      </c>
      <c r="AB94" s="450">
        <f>IF(Z94=0, "    ---- ", IF(ABS(ROUND(100/Z94*AA94-100,1))&lt;999,ROUND(100/Z94*AA94-100,1),IF(ROUND(100/Z94*AA94-100,1)&gt;999,999,-999)))</f>
        <v>117.4</v>
      </c>
      <c r="AC94" s="433"/>
      <c r="AD94" s="433"/>
      <c r="AE94" s="433"/>
      <c r="AF94" s="545">
        <f t="shared" si="34"/>
        <v>9.7696670074679659</v>
      </c>
      <c r="AG94" s="545">
        <f t="shared" si="34"/>
        <v>-15.685277587965146</v>
      </c>
      <c r="AH94" s="450">
        <f t="shared" si="36"/>
        <v>-260.60000000000002</v>
      </c>
      <c r="AI94" s="545">
        <f t="shared" si="37"/>
        <v>9.7696670074679659</v>
      </c>
      <c r="AJ94" s="545">
        <f t="shared" si="37"/>
        <v>-15.685277587965146</v>
      </c>
      <c r="AK94" s="450">
        <f t="shared" si="38"/>
        <v>-260.60000000000002</v>
      </c>
    </row>
    <row r="95" spans="1:37" s="395" customFormat="1" ht="18.75" customHeight="1" x14ac:dyDescent="0.35">
      <c r="A95" s="421" t="s">
        <v>314</v>
      </c>
      <c r="B95" s="691"/>
      <c r="C95" s="435"/>
      <c r="D95" s="540"/>
      <c r="E95" s="434"/>
      <c r="F95" s="435"/>
      <c r="G95" s="449"/>
      <c r="H95" s="434"/>
      <c r="I95" s="435"/>
      <c r="J95" s="449"/>
      <c r="K95" s="434">
        <v>39</v>
      </c>
      <c r="L95" s="435">
        <v>56</v>
      </c>
      <c r="M95" s="435">
        <f>IF(K95=0, "    ---- ", IF(ABS(ROUND(100/K95*L95-100,1))&lt;999,ROUND(100/K95*L95-100,1),IF(ROUND(100/K95*L95-100,1)&gt;999,999,-999)))</f>
        <v>43.6</v>
      </c>
      <c r="N95" s="435"/>
      <c r="O95" s="435"/>
      <c r="P95" s="449"/>
      <c r="Q95" s="434">
        <v>-13.214089595045264</v>
      </c>
      <c r="R95" s="435">
        <v>-22.863027583208122</v>
      </c>
      <c r="S95" s="540">
        <f t="shared" si="15"/>
        <v>73</v>
      </c>
      <c r="T95" s="435"/>
      <c r="U95" s="435"/>
      <c r="V95" s="449"/>
      <c r="W95" s="434"/>
      <c r="X95" s="435"/>
      <c r="Y95" s="540"/>
      <c r="Z95" s="434"/>
      <c r="AA95" s="435"/>
      <c r="AB95" s="449"/>
      <c r="AC95" s="435"/>
      <c r="AD95" s="435"/>
      <c r="AE95" s="435"/>
      <c r="AF95" s="544">
        <f t="shared" si="34"/>
        <v>25.785910404954734</v>
      </c>
      <c r="AG95" s="544">
        <f t="shared" si="34"/>
        <v>33.136972416791878</v>
      </c>
      <c r="AH95" s="449">
        <f t="shared" si="36"/>
        <v>28.5</v>
      </c>
      <c r="AI95" s="544">
        <f t="shared" si="37"/>
        <v>25.785910404954734</v>
      </c>
      <c r="AJ95" s="544">
        <f t="shared" si="37"/>
        <v>33.136972416791878</v>
      </c>
      <c r="AK95" s="449">
        <f t="shared" si="38"/>
        <v>28.5</v>
      </c>
    </row>
    <row r="96" spans="1:37" s="395" customFormat="1" ht="18.75" customHeight="1" x14ac:dyDescent="0.35">
      <c r="A96" s="421" t="s">
        <v>315</v>
      </c>
      <c r="B96" s="691"/>
      <c r="C96" s="435"/>
      <c r="D96" s="540"/>
      <c r="E96" s="434"/>
      <c r="F96" s="435"/>
      <c r="G96" s="449"/>
      <c r="H96" s="434">
        <v>-60.871000000000002</v>
      </c>
      <c r="I96" s="435">
        <v>-83.891000000000005</v>
      </c>
      <c r="J96" s="449">
        <f>IF(H96=0, "    ---- ", IF(ABS(ROUND(100/H96*I96-100,1))&lt;999,ROUND(100/H96*I96-100,1),IF(ROUND(100/H96*I96-100,1)&gt;999,999,-999)))</f>
        <v>37.799999999999997</v>
      </c>
      <c r="K96" s="434">
        <v>26</v>
      </c>
      <c r="L96" s="435">
        <v>107</v>
      </c>
      <c r="M96" s="435">
        <f>IF(K96=0, "    ---- ", IF(ABS(ROUND(100/K96*L96-100,1))&lt;999,ROUND(100/K96*L96-100,1),IF(ROUND(100/K96*L96-100,1)&gt;999,999,-999)))</f>
        <v>311.5</v>
      </c>
      <c r="N96" s="435"/>
      <c r="O96" s="435"/>
      <c r="P96" s="449"/>
      <c r="Q96" s="434">
        <v>61.929693682513324</v>
      </c>
      <c r="R96" s="435">
        <v>21.707210005242963</v>
      </c>
      <c r="S96" s="540">
        <f t="shared" si="15"/>
        <v>-64.900000000000006</v>
      </c>
      <c r="T96" s="435"/>
      <c r="U96" s="435"/>
      <c r="V96" s="449"/>
      <c r="W96" s="434"/>
      <c r="X96" s="435"/>
      <c r="Y96" s="540"/>
      <c r="Z96" s="434">
        <v>-43.074937080000097</v>
      </c>
      <c r="AA96" s="435">
        <v>-93.638460009999989</v>
      </c>
      <c r="AB96" s="449">
        <f>IF(Z96=0, "    ---- ", IF(ABS(ROUND(100/Z96*AA96-100,1))&lt;999,ROUND(100/Z96*AA96-100,1),IF(ROUND(100/Z96*AA96-100,1)&gt;999,999,-999)))</f>
        <v>117.4</v>
      </c>
      <c r="AC96" s="435"/>
      <c r="AD96" s="435"/>
      <c r="AE96" s="435"/>
      <c r="AF96" s="544">
        <f t="shared" si="34"/>
        <v>-16.016243397486775</v>
      </c>
      <c r="AG96" s="544">
        <f t="shared" si="34"/>
        <v>-48.822250004757031</v>
      </c>
      <c r="AH96" s="449">
        <f t="shared" si="36"/>
        <v>204.8</v>
      </c>
      <c r="AI96" s="544">
        <f t="shared" si="37"/>
        <v>-16.016243397486775</v>
      </c>
      <c r="AJ96" s="544">
        <f t="shared" si="37"/>
        <v>-48.822250004757031</v>
      </c>
      <c r="AK96" s="449">
        <f t="shared" si="38"/>
        <v>204.8</v>
      </c>
    </row>
    <row r="97" spans="1:37" s="395" customFormat="1" ht="18.75" customHeight="1" x14ac:dyDescent="0.35">
      <c r="A97" s="535" t="s">
        <v>322</v>
      </c>
      <c r="B97" s="691"/>
      <c r="C97" s="435"/>
      <c r="D97" s="540"/>
      <c r="E97" s="434"/>
      <c r="F97" s="435"/>
      <c r="G97" s="449"/>
      <c r="H97" s="434"/>
      <c r="I97" s="435"/>
      <c r="J97" s="449"/>
      <c r="K97" s="434"/>
      <c r="L97" s="435"/>
      <c r="M97" s="435"/>
      <c r="N97" s="435"/>
      <c r="O97" s="435"/>
      <c r="P97" s="449"/>
      <c r="Q97" s="434"/>
      <c r="R97" s="435"/>
      <c r="S97" s="540"/>
      <c r="T97" s="435"/>
      <c r="U97" s="435"/>
      <c r="V97" s="449"/>
      <c r="W97" s="434"/>
      <c r="X97" s="435"/>
      <c r="Y97" s="540"/>
      <c r="Z97" s="434"/>
      <c r="AA97" s="435"/>
      <c r="AB97" s="449"/>
      <c r="AC97" s="435"/>
      <c r="AD97" s="435"/>
      <c r="AE97" s="435"/>
      <c r="AF97" s="544"/>
      <c r="AG97" s="544"/>
      <c r="AH97" s="449"/>
      <c r="AI97" s="544"/>
      <c r="AJ97" s="544"/>
      <c r="AK97" s="449"/>
    </row>
    <row r="98" spans="1:37" s="395" customFormat="1" ht="18" x14ac:dyDescent="0.35">
      <c r="A98" s="750" t="s">
        <v>499</v>
      </c>
      <c r="B98" s="691">
        <v>781</v>
      </c>
      <c r="C98" s="435">
        <v>554.8197880171316</v>
      </c>
      <c r="D98" s="540">
        <f>IF(B98=0, "    ---- ", IF(ABS(ROUND(100/B98*C98-100,1))&lt;999,ROUND(100/B98*C98-100,1),IF(ROUND(100/B98*C98-100,1)&gt;999,999,-999)))</f>
        <v>-29</v>
      </c>
      <c r="E98" s="434"/>
      <c r="F98" s="435"/>
      <c r="G98" s="449"/>
      <c r="H98" s="434"/>
      <c r="I98" s="435"/>
      <c r="J98" s="449"/>
      <c r="K98" s="434"/>
      <c r="L98" s="435"/>
      <c r="M98" s="435"/>
      <c r="N98" s="435"/>
      <c r="O98" s="435"/>
      <c r="P98" s="449"/>
      <c r="Q98" s="434"/>
      <c r="R98" s="435"/>
      <c r="S98" s="540"/>
      <c r="T98" s="435"/>
      <c r="U98" s="435"/>
      <c r="V98" s="449"/>
      <c r="W98" s="434"/>
      <c r="X98" s="435"/>
      <c r="Y98" s="540"/>
      <c r="Z98" s="434">
        <v>-7.0421360000182204E-2</v>
      </c>
      <c r="AA98" s="435">
        <v>-0.14010727000027146</v>
      </c>
      <c r="AB98" s="449">
        <f>IF(Z98=0, "    ---- ", IF(ABS(ROUND(100/Z98*AA98-100,1))&lt;999,ROUND(100/Z98*AA98-100,1),IF(ROUND(100/Z98*AA98-100,1)&gt;999,999,-999)))</f>
        <v>99</v>
      </c>
      <c r="AC98" s="435"/>
      <c r="AD98" s="435"/>
      <c r="AE98" s="435"/>
      <c r="AF98" s="544">
        <f t="shared" ref="AF98:AG98" si="39">B98+E98+H98+K98+N98+Q98+T98+W98+Z98</f>
        <v>780.92957863999982</v>
      </c>
      <c r="AG98" s="544">
        <f t="shared" si="39"/>
        <v>554.67968074713133</v>
      </c>
      <c r="AH98" s="449">
        <f t="shared" si="36"/>
        <v>-29</v>
      </c>
      <c r="AI98" s="544">
        <f t="shared" ref="AI98:AJ98" si="40">+B98+E98+H98+K98+N98+Q98+T98+W98+Z98+AC98</f>
        <v>780.92957863999982</v>
      </c>
      <c r="AJ98" s="544">
        <f t="shared" si="40"/>
        <v>554.67968074713133</v>
      </c>
      <c r="AK98" s="449">
        <f t="shared" si="38"/>
        <v>-29</v>
      </c>
    </row>
    <row r="99" spans="1:37" s="395" customFormat="1" ht="18.75" customHeight="1" x14ac:dyDescent="0.35">
      <c r="A99" s="421" t="s">
        <v>498</v>
      </c>
      <c r="B99" s="691"/>
      <c r="C99" s="435"/>
      <c r="D99" s="540"/>
      <c r="E99" s="434"/>
      <c r="F99" s="435"/>
      <c r="G99" s="449"/>
      <c r="H99" s="434"/>
      <c r="I99" s="435"/>
      <c r="J99" s="449"/>
      <c r="K99" s="434"/>
      <c r="L99" s="435"/>
      <c r="M99" s="435"/>
      <c r="N99" s="435"/>
      <c r="O99" s="435"/>
      <c r="P99" s="449"/>
      <c r="Q99" s="434"/>
      <c r="R99" s="435"/>
      <c r="S99" s="540"/>
      <c r="T99" s="435"/>
      <c r="U99" s="435"/>
      <c r="V99" s="449"/>
      <c r="W99" s="434"/>
      <c r="X99" s="435"/>
      <c r="Y99" s="540"/>
      <c r="Z99" s="434"/>
      <c r="AA99" s="435"/>
      <c r="AB99" s="449"/>
      <c r="AC99" s="435"/>
      <c r="AD99" s="435"/>
      <c r="AE99" s="435"/>
      <c r="AF99" s="544"/>
      <c r="AG99" s="544"/>
      <c r="AH99" s="449"/>
      <c r="AI99" s="544"/>
      <c r="AJ99" s="544"/>
      <c r="AK99" s="449"/>
    </row>
    <row r="100" spans="1:37" s="395" customFormat="1" ht="18.75" customHeight="1" x14ac:dyDescent="0.35">
      <c r="A100" s="421" t="s">
        <v>307</v>
      </c>
      <c r="B100" s="691">
        <v>-1</v>
      </c>
      <c r="C100" s="435">
        <v>-1.6494021840029873</v>
      </c>
      <c r="D100" s="540">
        <f>IF(B100=0, "    ---- ", IF(ABS(ROUND(100/B100*C100-100,1))&lt;999,ROUND(100/B100*C100-100,1),IF(ROUND(100/B100*C100-100,1)&gt;999,999,-999)))</f>
        <v>64.900000000000006</v>
      </c>
      <c r="E100" s="434"/>
      <c r="F100" s="435"/>
      <c r="G100" s="449"/>
      <c r="H100" s="434"/>
      <c r="I100" s="435"/>
      <c r="J100" s="449"/>
      <c r="K100" s="434">
        <v>-13</v>
      </c>
      <c r="L100" s="435">
        <v>-69</v>
      </c>
      <c r="M100" s="435">
        <f>IF(K100=0, "    ---- ", IF(ABS(ROUND(100/K100*L100-100,1))&lt;999,ROUND(100/K100*L100-100,1),IF(ROUND(100/K100*L100-100,1)&gt;999,999,-999)))</f>
        <v>430.8</v>
      </c>
      <c r="N100" s="435"/>
      <c r="O100" s="435"/>
      <c r="P100" s="449"/>
      <c r="Q100" s="434">
        <v>43.75720120766686</v>
      </c>
      <c r="R100" s="435">
        <v>44.057031795072675</v>
      </c>
      <c r="S100" s="540">
        <f t="shared" si="15"/>
        <v>0.7</v>
      </c>
      <c r="T100" s="435"/>
      <c r="U100" s="435"/>
      <c r="V100" s="449"/>
      <c r="W100" s="434">
        <v>11</v>
      </c>
      <c r="X100" s="435">
        <v>21</v>
      </c>
      <c r="Y100" s="540">
        <f>IF(W100=0, "    ---- ", IF(ABS(ROUND(100/W100*X100-100,1))&lt;999,ROUND(100/W100*X100-100,1),IF(ROUND(100/W100*X100-100,1)&gt;999,999,-999)))</f>
        <v>90.9</v>
      </c>
      <c r="Z100" s="434">
        <v>71.506956619999997</v>
      </c>
      <c r="AA100" s="435">
        <v>86.418767149999994</v>
      </c>
      <c r="AB100" s="449">
        <f>IF(Z100=0, "    ---- ", IF(ABS(ROUND(100/Z100*AA100-100,1))&lt;999,ROUND(100/Z100*AA100-100,1),IF(ROUND(100/Z100*AA100-100,1)&gt;999,999,-999)))</f>
        <v>20.9</v>
      </c>
      <c r="AC100" s="435"/>
      <c r="AD100" s="435"/>
      <c r="AE100" s="435"/>
      <c r="AF100" s="544">
        <f t="shared" ref="AF100:AG108" si="41">B100+E100+H100+K100+N100+Q100+T100+W100+Z100</f>
        <v>112.26415782766685</v>
      </c>
      <c r="AG100" s="544">
        <f t="shared" si="41"/>
        <v>80.826396761069688</v>
      </c>
      <c r="AH100" s="449">
        <f t="shared" si="36"/>
        <v>-28</v>
      </c>
      <c r="AI100" s="544">
        <f t="shared" ref="AI100:AJ108" si="42">+B100+E100+H100+K100+N100+Q100+T100+W100+Z100+AC100</f>
        <v>112.26415782766685</v>
      </c>
      <c r="AJ100" s="544">
        <f t="shared" si="42"/>
        <v>80.826396761069688</v>
      </c>
      <c r="AK100" s="449">
        <f t="shared" si="38"/>
        <v>-28</v>
      </c>
    </row>
    <row r="101" spans="1:37" s="395" customFormat="1" ht="18.75" customHeight="1" x14ac:dyDescent="0.35">
      <c r="A101" s="421" t="s">
        <v>308</v>
      </c>
      <c r="B101" s="691"/>
      <c r="C101" s="435"/>
      <c r="D101" s="540"/>
      <c r="E101" s="434"/>
      <c r="F101" s="435"/>
      <c r="G101" s="449"/>
      <c r="H101" s="434"/>
      <c r="I101" s="435"/>
      <c r="J101" s="449"/>
      <c r="K101" s="434"/>
      <c r="L101" s="435"/>
      <c r="M101" s="435"/>
      <c r="N101" s="435"/>
      <c r="O101" s="435"/>
      <c r="P101" s="449"/>
      <c r="Q101" s="434"/>
      <c r="R101" s="435"/>
      <c r="S101" s="540"/>
      <c r="T101" s="435"/>
      <c r="U101" s="435"/>
      <c r="V101" s="449"/>
      <c r="W101" s="434"/>
      <c r="X101" s="435"/>
      <c r="Y101" s="540"/>
      <c r="Z101" s="434"/>
      <c r="AA101" s="435"/>
      <c r="AB101" s="449"/>
      <c r="AC101" s="435"/>
      <c r="AD101" s="435"/>
      <c r="AE101" s="435"/>
      <c r="AF101" s="544">
        <f t="shared" si="41"/>
        <v>0</v>
      </c>
      <c r="AG101" s="544">
        <f t="shared" si="41"/>
        <v>0</v>
      </c>
      <c r="AH101" s="449" t="str">
        <f t="shared" si="36"/>
        <v xml:space="preserve">    ---- </v>
      </c>
      <c r="AI101" s="544">
        <f t="shared" si="42"/>
        <v>0</v>
      </c>
      <c r="AJ101" s="544">
        <f t="shared" si="42"/>
        <v>0</v>
      </c>
      <c r="AK101" s="449" t="str">
        <f t="shared" si="38"/>
        <v xml:space="preserve">    ---- </v>
      </c>
    </row>
    <row r="102" spans="1:37" s="395" customFormat="1" ht="18.75" customHeight="1" x14ac:dyDescent="0.35">
      <c r="A102" s="421" t="s">
        <v>309</v>
      </c>
      <c r="B102" s="691"/>
      <c r="C102" s="435"/>
      <c r="D102" s="540"/>
      <c r="E102" s="434"/>
      <c r="F102" s="435"/>
      <c r="G102" s="449"/>
      <c r="H102" s="434"/>
      <c r="I102" s="435"/>
      <c r="J102" s="449"/>
      <c r="K102" s="434"/>
      <c r="L102" s="435"/>
      <c r="M102" s="435"/>
      <c r="N102" s="435"/>
      <c r="O102" s="435"/>
      <c r="P102" s="449"/>
      <c r="Q102" s="434"/>
      <c r="R102" s="435"/>
      <c r="S102" s="540"/>
      <c r="T102" s="435"/>
      <c r="U102" s="435"/>
      <c r="V102" s="449"/>
      <c r="W102" s="434"/>
      <c r="X102" s="435"/>
      <c r="Y102" s="540"/>
      <c r="Z102" s="434"/>
      <c r="AA102" s="435"/>
      <c r="AB102" s="449"/>
      <c r="AC102" s="435"/>
      <c r="AD102" s="435"/>
      <c r="AE102" s="435"/>
      <c r="AF102" s="544">
        <f t="shared" si="41"/>
        <v>0</v>
      </c>
      <c r="AG102" s="544">
        <f t="shared" si="41"/>
        <v>0</v>
      </c>
      <c r="AH102" s="449" t="str">
        <f t="shared" si="36"/>
        <v xml:space="preserve">    ---- </v>
      </c>
      <c r="AI102" s="544">
        <f t="shared" si="42"/>
        <v>0</v>
      </c>
      <c r="AJ102" s="544">
        <f t="shared" si="42"/>
        <v>0</v>
      </c>
      <c r="AK102" s="449" t="str">
        <f t="shared" si="38"/>
        <v xml:space="preserve">    ---- </v>
      </c>
    </row>
    <row r="103" spans="1:37" s="395" customFormat="1" ht="18.75" customHeight="1" x14ac:dyDescent="0.35">
      <c r="A103" s="421" t="s">
        <v>310</v>
      </c>
      <c r="B103" s="691">
        <v>-1</v>
      </c>
      <c r="C103" s="435">
        <v>-3.004650390000009</v>
      </c>
      <c r="D103" s="540">
        <f>IF(B103=0, "    ---- ", IF(ABS(ROUND(100/B103*C103-100,1))&lt;999,ROUND(100/B103*C103-100,1),IF(ROUND(100/B103*C103-100,1)&gt;999,999,-999)))</f>
        <v>200.5</v>
      </c>
      <c r="E103" s="434"/>
      <c r="F103" s="435"/>
      <c r="G103" s="449"/>
      <c r="H103" s="434"/>
      <c r="I103" s="435"/>
      <c r="J103" s="449"/>
      <c r="K103" s="434">
        <v>2</v>
      </c>
      <c r="L103" s="435">
        <v>3</v>
      </c>
      <c r="M103" s="435">
        <f>IF(K103=0, "    ---- ", IF(ABS(ROUND(100/K103*L103-100,1))&lt;999,ROUND(100/K103*L103-100,1),IF(ROUND(100/K103*L103-100,1)&gt;999,999,-999)))</f>
        <v>50</v>
      </c>
      <c r="N103" s="435"/>
      <c r="O103" s="435"/>
      <c r="P103" s="449"/>
      <c r="Q103" s="434"/>
      <c r="R103" s="435"/>
      <c r="S103" s="540"/>
      <c r="T103" s="435"/>
      <c r="U103" s="435"/>
      <c r="V103" s="449"/>
      <c r="W103" s="434">
        <v>-3</v>
      </c>
      <c r="X103" s="435">
        <v>-1</v>
      </c>
      <c r="Y103" s="540">
        <f>IF(W103=0, "    ---- ", IF(ABS(ROUND(100/W103*X103-100,1))&lt;999,ROUND(100/W103*X103-100,1),IF(ROUND(100/W103*X103-100,1)&gt;999,999,-999)))</f>
        <v>-66.7</v>
      </c>
      <c r="Z103" s="434">
        <v>0.75416928999999799</v>
      </c>
      <c r="AA103" s="435">
        <v>1.9437822999999987</v>
      </c>
      <c r="AB103" s="449">
        <f>IF(Z103=0, "    ---- ", IF(ABS(ROUND(100/Z103*AA103-100,1))&lt;999,ROUND(100/Z103*AA103-100,1),IF(ROUND(100/Z103*AA103-100,1)&gt;999,999,-999)))</f>
        <v>157.69999999999999</v>
      </c>
      <c r="AC103" s="435"/>
      <c r="AD103" s="435"/>
      <c r="AE103" s="435"/>
      <c r="AF103" s="544">
        <f t="shared" si="41"/>
        <v>-1.2458307100000021</v>
      </c>
      <c r="AG103" s="544">
        <f t="shared" si="41"/>
        <v>0.93913190999998974</v>
      </c>
      <c r="AH103" s="449">
        <f t="shared" si="36"/>
        <v>-175.4</v>
      </c>
      <c r="AI103" s="544">
        <f t="shared" si="42"/>
        <v>-1.2458307100000021</v>
      </c>
      <c r="AJ103" s="544">
        <f t="shared" si="42"/>
        <v>0.93913190999998974</v>
      </c>
      <c r="AK103" s="449">
        <f t="shared" si="38"/>
        <v>-175.4</v>
      </c>
    </row>
    <row r="104" spans="1:37" s="395" customFormat="1" ht="18.75" customHeight="1" x14ac:dyDescent="0.35">
      <c r="A104" s="421" t="s">
        <v>311</v>
      </c>
      <c r="B104" s="691"/>
      <c r="C104" s="435"/>
      <c r="D104" s="540"/>
      <c r="E104" s="434"/>
      <c r="F104" s="435"/>
      <c r="G104" s="449"/>
      <c r="H104" s="434"/>
      <c r="I104" s="435"/>
      <c r="J104" s="449"/>
      <c r="K104" s="434"/>
      <c r="L104" s="435"/>
      <c r="M104" s="435"/>
      <c r="N104" s="435"/>
      <c r="O104" s="435"/>
      <c r="P104" s="449"/>
      <c r="Q104" s="434"/>
      <c r="R104" s="435"/>
      <c r="S104" s="540"/>
      <c r="T104" s="435"/>
      <c r="U104" s="435"/>
      <c r="V104" s="449"/>
      <c r="W104" s="434"/>
      <c r="X104" s="435"/>
      <c r="Y104" s="540"/>
      <c r="Z104" s="434"/>
      <c r="AA104" s="435"/>
      <c r="AB104" s="449"/>
      <c r="AC104" s="435"/>
      <c r="AD104" s="435"/>
      <c r="AE104" s="435"/>
      <c r="AF104" s="544">
        <f t="shared" si="41"/>
        <v>0</v>
      </c>
      <c r="AG104" s="544">
        <f t="shared" si="41"/>
        <v>0</v>
      </c>
      <c r="AH104" s="449" t="str">
        <f t="shared" si="36"/>
        <v xml:space="preserve">    ---- </v>
      </c>
      <c r="AI104" s="544">
        <f t="shared" si="42"/>
        <v>0</v>
      </c>
      <c r="AJ104" s="544">
        <f t="shared" si="42"/>
        <v>0</v>
      </c>
      <c r="AK104" s="449" t="str">
        <f t="shared" si="38"/>
        <v xml:space="preserve">    ---- </v>
      </c>
    </row>
    <row r="105" spans="1:37" s="395" customFormat="1" ht="18.75" customHeight="1" x14ac:dyDescent="0.35">
      <c r="A105" s="421" t="s">
        <v>312</v>
      </c>
      <c r="B105" s="691"/>
      <c r="C105" s="435"/>
      <c r="D105" s="540"/>
      <c r="E105" s="434"/>
      <c r="F105" s="435"/>
      <c r="G105" s="449"/>
      <c r="H105" s="434"/>
      <c r="I105" s="435"/>
      <c r="J105" s="449"/>
      <c r="K105" s="434"/>
      <c r="L105" s="435"/>
      <c r="M105" s="435"/>
      <c r="N105" s="435"/>
      <c r="O105" s="435"/>
      <c r="P105" s="449"/>
      <c r="Q105" s="434">
        <v>-0.51012836000000006</v>
      </c>
      <c r="R105" s="435">
        <v>-0.52237336000000012</v>
      </c>
      <c r="S105" s="540">
        <f t="shared" si="15"/>
        <v>2.4</v>
      </c>
      <c r="T105" s="435"/>
      <c r="U105" s="435"/>
      <c r="V105" s="449"/>
      <c r="W105" s="434"/>
      <c r="X105" s="435"/>
      <c r="Y105" s="540"/>
      <c r="Z105" s="434"/>
      <c r="AA105" s="435"/>
      <c r="AB105" s="449"/>
      <c r="AC105" s="435"/>
      <c r="AD105" s="435"/>
      <c r="AE105" s="435"/>
      <c r="AF105" s="544">
        <f t="shared" si="41"/>
        <v>-0.51012836000000006</v>
      </c>
      <c r="AG105" s="544">
        <f t="shared" si="41"/>
        <v>-0.52237336000000012</v>
      </c>
      <c r="AH105" s="449">
        <f t="shared" si="36"/>
        <v>2.4</v>
      </c>
      <c r="AI105" s="544">
        <f t="shared" si="42"/>
        <v>-0.51012836000000006</v>
      </c>
      <c r="AJ105" s="544">
        <f t="shared" si="42"/>
        <v>-0.52237336000000012</v>
      </c>
      <c r="AK105" s="449">
        <f t="shared" si="38"/>
        <v>2.4</v>
      </c>
    </row>
    <row r="106" spans="1:37" s="528" customFormat="1" ht="18.75" customHeight="1" x14ac:dyDescent="0.3">
      <c r="A106" s="535" t="s">
        <v>313</v>
      </c>
      <c r="B106" s="690">
        <f>SUM(B98:B103)+B105</f>
        <v>779</v>
      </c>
      <c r="C106" s="433">
        <f>SUM(C98:C103)+C105</f>
        <v>550.1657354431286</v>
      </c>
      <c r="D106" s="539">
        <f>IF(B106=0, "    ---- ", IF(ABS(ROUND(100/B106*C106-100,1))&lt;999,ROUND(100/B106*C106-100,1),IF(ROUND(100/B106*C106-100,1)&gt;999,999,-999)))</f>
        <v>-29.4</v>
      </c>
      <c r="E106" s="432"/>
      <c r="F106" s="433"/>
      <c r="G106" s="450"/>
      <c r="H106" s="432"/>
      <c r="I106" s="433"/>
      <c r="J106" s="450"/>
      <c r="K106" s="432">
        <f>SUM(K98:K103)+K105</f>
        <v>-11</v>
      </c>
      <c r="L106" s="433">
        <f>SUM(L98:L103)+L105</f>
        <v>-66</v>
      </c>
      <c r="M106" s="433">
        <f>IF(K106=0, "    ---- ", IF(ABS(ROUND(100/K106*L106-100,1))&lt;999,ROUND(100/K106*L106-100,1),IF(ROUND(100/K106*L106-100,1)&gt;999,999,-999)))</f>
        <v>500</v>
      </c>
      <c r="N106" s="433"/>
      <c r="O106" s="433"/>
      <c r="P106" s="450"/>
      <c r="Q106" s="432">
        <f>SUM(Q98:Q103)+Q105</f>
        <v>43.247072847666857</v>
      </c>
      <c r="R106" s="433">
        <f>SUM(R98:R103)+R105</f>
        <v>43.534658435072672</v>
      </c>
      <c r="S106" s="539">
        <f t="shared" si="15"/>
        <v>0.7</v>
      </c>
      <c r="T106" s="433"/>
      <c r="U106" s="433"/>
      <c r="V106" s="450"/>
      <c r="W106" s="432">
        <f>SUM(W98:W103)+W105</f>
        <v>8</v>
      </c>
      <c r="X106" s="433">
        <f>SUM(X98:X103)+X105</f>
        <v>20</v>
      </c>
      <c r="Y106" s="539">
        <f>IF(W106=0, "    ---- ", IF(ABS(ROUND(100/W106*X106-100,1))&lt;999,ROUND(100/W106*X106-100,1),IF(ROUND(100/W106*X106-100,1)&gt;999,999,-999)))</f>
        <v>150</v>
      </c>
      <c r="Z106" s="432">
        <f>SUM(Z98:Z103)+Z105</f>
        <v>72.190704549999808</v>
      </c>
      <c r="AA106" s="433">
        <f>SUM(AA98:AA103)+AA105</f>
        <v>88.222442179999717</v>
      </c>
      <c r="AB106" s="450">
        <f>IF(Z106=0, "    ---- ", IF(ABS(ROUND(100/Z106*AA106-100,1))&lt;999,ROUND(100/Z106*AA106-100,1),IF(ROUND(100/Z106*AA106-100,1)&gt;999,999,-999)))</f>
        <v>22.2</v>
      </c>
      <c r="AC106" s="433"/>
      <c r="AD106" s="433"/>
      <c r="AE106" s="433"/>
      <c r="AF106" s="545">
        <f t="shared" si="41"/>
        <v>891.43777739766676</v>
      </c>
      <c r="AG106" s="545">
        <f t="shared" si="41"/>
        <v>635.92283605820091</v>
      </c>
      <c r="AH106" s="450">
        <f t="shared" si="36"/>
        <v>-28.7</v>
      </c>
      <c r="AI106" s="545">
        <f t="shared" si="42"/>
        <v>891.43777739766676</v>
      </c>
      <c r="AJ106" s="545">
        <f t="shared" si="42"/>
        <v>635.92283605820091</v>
      </c>
      <c r="AK106" s="450">
        <f t="shared" si="38"/>
        <v>-28.7</v>
      </c>
    </row>
    <row r="107" spans="1:37" s="395" customFormat="1" ht="18.75" customHeight="1" x14ac:dyDescent="0.35">
      <c r="A107" s="421" t="s">
        <v>314</v>
      </c>
      <c r="B107" s="434">
        <v>-781</v>
      </c>
      <c r="C107" s="435">
        <v>554.81978801713205</v>
      </c>
      <c r="D107" s="540">
        <f>IF(B107=0, "    ---- ", IF(ABS(ROUND(100/B107*C107-100,1))&lt;999,ROUND(100/B107*C107-100,1),IF(ROUND(100/B107*C107-100,1)&gt;999,999,-999)))</f>
        <v>-171</v>
      </c>
      <c r="E107" s="434"/>
      <c r="F107" s="435"/>
      <c r="G107" s="449"/>
      <c r="H107" s="434"/>
      <c r="I107" s="435"/>
      <c r="J107" s="449"/>
      <c r="K107" s="434"/>
      <c r="L107" s="435"/>
      <c r="M107" s="435"/>
      <c r="N107" s="435"/>
      <c r="O107" s="435"/>
      <c r="P107" s="449"/>
      <c r="Q107" s="434"/>
      <c r="R107" s="435"/>
      <c r="S107" s="540"/>
      <c r="T107" s="435"/>
      <c r="U107" s="435"/>
      <c r="V107" s="449"/>
      <c r="W107" s="434"/>
      <c r="X107" s="435"/>
      <c r="Y107" s="540"/>
      <c r="Z107" s="434"/>
      <c r="AA107" s="435"/>
      <c r="AB107" s="449"/>
      <c r="AC107" s="435"/>
      <c r="AD107" s="435"/>
      <c r="AE107" s="435"/>
      <c r="AF107" s="544">
        <f t="shared" si="41"/>
        <v>-781</v>
      </c>
      <c r="AG107" s="544">
        <f t="shared" si="41"/>
        <v>554.81978801713205</v>
      </c>
      <c r="AH107" s="449">
        <f t="shared" si="36"/>
        <v>-171</v>
      </c>
      <c r="AI107" s="544">
        <f t="shared" si="42"/>
        <v>-781</v>
      </c>
      <c r="AJ107" s="544">
        <f t="shared" si="42"/>
        <v>554.81978801713205</v>
      </c>
      <c r="AK107" s="449">
        <f t="shared" si="38"/>
        <v>-171</v>
      </c>
    </row>
    <row r="108" spans="1:37" s="395" customFormat="1" ht="18.75" customHeight="1" x14ac:dyDescent="0.35">
      <c r="A108" s="423" t="s">
        <v>315</v>
      </c>
      <c r="B108" s="695">
        <v>-2</v>
      </c>
      <c r="C108" s="436">
        <v>-4.6540525740030034</v>
      </c>
      <c r="D108" s="546">
        <f>IF(B108=0, "    ---- ", IF(ABS(ROUND(100/B108*C108-100,1))&lt;999,ROUND(100/B108*C108-100,1),IF(ROUND(100/B108*C108-100,1)&gt;999,999,-999)))</f>
        <v>132.69999999999999</v>
      </c>
      <c r="E108" s="679"/>
      <c r="F108" s="436"/>
      <c r="G108" s="451"/>
      <c r="H108" s="679"/>
      <c r="I108" s="436"/>
      <c r="J108" s="451"/>
      <c r="K108" s="679">
        <v>-11</v>
      </c>
      <c r="L108" s="436">
        <v>-66</v>
      </c>
      <c r="M108" s="436">
        <f>IF(K108=0, "    ---- ", IF(ABS(ROUND(100/K108*L108-100,1))&lt;999,ROUND(100/K108*L108-100,1),IF(ROUND(100/K108*L108-100,1)&gt;999,999,-999)))</f>
        <v>500</v>
      </c>
      <c r="N108" s="436"/>
      <c r="O108" s="436"/>
      <c r="P108" s="451"/>
      <c r="Q108" s="679">
        <v>43.247072847666857</v>
      </c>
      <c r="R108" s="436">
        <v>43.534658435072672</v>
      </c>
      <c r="S108" s="546">
        <f t="shared" si="15"/>
        <v>0.7</v>
      </c>
      <c r="T108" s="436"/>
      <c r="U108" s="436"/>
      <c r="V108" s="451"/>
      <c r="W108" s="679">
        <v>8</v>
      </c>
      <c r="X108" s="436">
        <v>20</v>
      </c>
      <c r="Y108" s="546">
        <f>IF(W108=0, "    ---- ", IF(ABS(ROUND(100/W108*X108-100,1))&lt;999,ROUND(100/W108*X108-100,1),IF(ROUND(100/W108*X108-100,1)&gt;999,999,-999)))</f>
        <v>150</v>
      </c>
      <c r="Z108" s="679">
        <v>72.190704549999793</v>
      </c>
      <c r="AA108" s="436">
        <v>88.183577539999717</v>
      </c>
      <c r="AB108" s="451">
        <f>IF(Z108=0, "    ---- ", IF(ABS(ROUND(100/Z108*AA108-100,1))&lt;999,ROUND(100/Z108*AA108-100,1),IF(ROUND(100/Z108*AA108-100,1)&gt;999,999,-999)))</f>
        <v>22.2</v>
      </c>
      <c r="AC108" s="436"/>
      <c r="AD108" s="436"/>
      <c r="AE108" s="436"/>
      <c r="AF108" s="649">
        <f t="shared" si="41"/>
        <v>110.43777739766665</v>
      </c>
      <c r="AG108" s="649">
        <f t="shared" si="41"/>
        <v>81.064183401069386</v>
      </c>
      <c r="AH108" s="451">
        <f t="shared" si="36"/>
        <v>-26.6</v>
      </c>
      <c r="AI108" s="649">
        <f t="shared" si="42"/>
        <v>110.43777739766665</v>
      </c>
      <c r="AJ108" s="546">
        <f t="shared" si="42"/>
        <v>81.064183401069386</v>
      </c>
      <c r="AK108" s="451">
        <f t="shared" si="38"/>
        <v>-26.6</v>
      </c>
    </row>
    <row r="109" spans="1:37" s="395" customFormat="1" ht="18.75" customHeight="1" x14ac:dyDescent="0.35">
      <c r="A109" s="395" t="s">
        <v>298</v>
      </c>
      <c r="B109" s="551"/>
      <c r="C109" s="551"/>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551"/>
      <c r="AD109" s="551"/>
      <c r="AE109" s="551"/>
      <c r="AF109" s="551"/>
      <c r="AG109" s="551"/>
      <c r="AH109" s="551"/>
      <c r="AI109" s="551"/>
      <c r="AJ109" s="551"/>
      <c r="AK109" s="551"/>
    </row>
    <row r="110" spans="1:37" ht="18" x14ac:dyDescent="0.35">
      <c r="A110" s="395"/>
    </row>
    <row r="111" spans="1:37" ht="18" x14ac:dyDescent="0.35">
      <c r="A111" s="395"/>
    </row>
    <row r="112" spans="1:37" ht="18" x14ac:dyDescent="0.35">
      <c r="A112" s="395"/>
    </row>
    <row r="113" spans="1:1" ht="18" x14ac:dyDescent="0.35">
      <c r="A113" s="395"/>
    </row>
    <row r="114" spans="1:1" ht="18" x14ac:dyDescent="0.35">
      <c r="A114" s="395"/>
    </row>
    <row r="115" spans="1:1" ht="18" x14ac:dyDescent="0.35">
      <c r="A115" s="395"/>
    </row>
    <row r="116" spans="1:1" ht="18" x14ac:dyDescent="0.35">
      <c r="A116" s="395"/>
    </row>
    <row r="117" spans="1:1" ht="18" x14ac:dyDescent="0.35">
      <c r="A117" s="395"/>
    </row>
    <row r="118" spans="1:1" ht="18" x14ac:dyDescent="0.35">
      <c r="A118" s="395"/>
    </row>
    <row r="119" spans="1:1" ht="18" x14ac:dyDescent="0.35">
      <c r="A119" s="395"/>
    </row>
    <row r="120" spans="1:1" ht="18" x14ac:dyDescent="0.35">
      <c r="A120" s="395"/>
    </row>
    <row r="121" spans="1:1" ht="18" x14ac:dyDescent="0.35">
      <c r="A121" s="395"/>
    </row>
    <row r="122" spans="1:1" ht="18" x14ac:dyDescent="0.35">
      <c r="A122" s="395"/>
    </row>
    <row r="123" spans="1:1" ht="18" x14ac:dyDescent="0.35">
      <c r="A123" s="395"/>
    </row>
    <row r="124" spans="1:1" ht="18" x14ac:dyDescent="0.35">
      <c r="A124" s="395"/>
    </row>
    <row r="125" spans="1:1" ht="18" x14ac:dyDescent="0.35">
      <c r="A125" s="395"/>
    </row>
    <row r="126" spans="1:1" ht="18" x14ac:dyDescent="0.35">
      <c r="A126" s="395"/>
    </row>
    <row r="127" spans="1:1" ht="18" x14ac:dyDescent="0.35">
      <c r="A127" s="395"/>
    </row>
    <row r="128" spans="1:1" ht="18" x14ac:dyDescent="0.35">
      <c r="A128" s="395"/>
    </row>
    <row r="129" spans="1:1" ht="18" x14ac:dyDescent="0.35">
      <c r="A129" s="395"/>
    </row>
    <row r="130" spans="1:1" ht="18" x14ac:dyDescent="0.35">
      <c r="A130" s="395"/>
    </row>
    <row r="131" spans="1:1" ht="18" x14ac:dyDescent="0.35">
      <c r="A131" s="395"/>
    </row>
    <row r="132" spans="1:1" ht="18" x14ac:dyDescent="0.35">
      <c r="A132" s="395"/>
    </row>
    <row r="133" spans="1:1" ht="18" x14ac:dyDescent="0.35">
      <c r="A133" s="395"/>
    </row>
    <row r="134" spans="1:1" ht="18" x14ac:dyDescent="0.35">
      <c r="A134" s="395"/>
    </row>
    <row r="135" spans="1:1" ht="18" x14ac:dyDescent="0.35">
      <c r="A135" s="395"/>
    </row>
    <row r="136" spans="1:1" ht="18" x14ac:dyDescent="0.35">
      <c r="A136" s="395"/>
    </row>
    <row r="137" spans="1:1" ht="18" x14ac:dyDescent="0.35">
      <c r="A137" s="395"/>
    </row>
    <row r="138" spans="1:1" ht="18" x14ac:dyDescent="0.35">
      <c r="A138" s="395"/>
    </row>
    <row r="139" spans="1:1" ht="18" x14ac:dyDescent="0.35">
      <c r="A139" s="395"/>
    </row>
    <row r="140" spans="1:1" ht="18" x14ac:dyDescent="0.35">
      <c r="A140" s="395"/>
    </row>
    <row r="141" spans="1:1" ht="18" x14ac:dyDescent="0.35">
      <c r="A141" s="395"/>
    </row>
    <row r="142" spans="1:1" ht="18" x14ac:dyDescent="0.35">
      <c r="A142" s="395"/>
    </row>
    <row r="143" spans="1:1" ht="18" x14ac:dyDescent="0.35">
      <c r="A143" s="395"/>
    </row>
    <row r="144" spans="1:1" ht="18" x14ac:dyDescent="0.35">
      <c r="A144" s="395"/>
    </row>
    <row r="145" spans="1:1" ht="18" x14ac:dyDescent="0.35">
      <c r="A145" s="395"/>
    </row>
    <row r="146" spans="1:1" ht="18" x14ac:dyDescent="0.35">
      <c r="A146" s="395"/>
    </row>
    <row r="147" spans="1:1" ht="18" x14ac:dyDescent="0.35">
      <c r="A147" s="395"/>
    </row>
    <row r="148" spans="1:1" ht="18" x14ac:dyDescent="0.35">
      <c r="A148" s="395"/>
    </row>
    <row r="149" spans="1:1" ht="18" x14ac:dyDescent="0.35">
      <c r="A149" s="395"/>
    </row>
    <row r="150" spans="1:1" ht="18" x14ac:dyDescent="0.35">
      <c r="A150" s="395"/>
    </row>
    <row r="151" spans="1:1" ht="18" x14ac:dyDescent="0.35">
      <c r="A151" s="395"/>
    </row>
    <row r="152" spans="1:1" ht="18" x14ac:dyDescent="0.35">
      <c r="A152" s="395"/>
    </row>
    <row r="153" spans="1:1" ht="18" x14ac:dyDescent="0.35">
      <c r="A153" s="395"/>
    </row>
    <row r="154" spans="1:1" ht="18" x14ac:dyDescent="0.35">
      <c r="A154" s="395"/>
    </row>
    <row r="155" spans="1:1" ht="18" x14ac:dyDescent="0.35">
      <c r="A155" s="395"/>
    </row>
    <row r="156" spans="1:1" ht="18" x14ac:dyDescent="0.35">
      <c r="A156" s="395"/>
    </row>
    <row r="157" spans="1:1" ht="18" x14ac:dyDescent="0.35">
      <c r="A157" s="395"/>
    </row>
    <row r="158" spans="1:1" ht="18" x14ac:dyDescent="0.35">
      <c r="A158" s="395"/>
    </row>
    <row r="159" spans="1:1" ht="18" x14ac:dyDescent="0.35">
      <c r="A159" s="395"/>
    </row>
    <row r="160" spans="1:1" ht="18" x14ac:dyDescent="0.35">
      <c r="A160" s="395"/>
    </row>
    <row r="161" spans="1:1" ht="18" x14ac:dyDescent="0.35">
      <c r="A161" s="395"/>
    </row>
    <row r="162" spans="1:1" ht="18" x14ac:dyDescent="0.35">
      <c r="A162" s="395"/>
    </row>
    <row r="163" spans="1:1" ht="18" x14ac:dyDescent="0.35">
      <c r="A163" s="395"/>
    </row>
    <row r="164" spans="1:1" ht="18" x14ac:dyDescent="0.35">
      <c r="A164" s="395"/>
    </row>
    <row r="165" spans="1:1" ht="18" x14ac:dyDescent="0.35">
      <c r="A165" s="395"/>
    </row>
    <row r="166" spans="1:1" ht="18" x14ac:dyDescent="0.35">
      <c r="A166" s="395"/>
    </row>
    <row r="167" spans="1:1" ht="18" x14ac:dyDescent="0.35">
      <c r="A167" s="395"/>
    </row>
    <row r="168" spans="1:1" ht="18" x14ac:dyDescent="0.35">
      <c r="A168" s="395"/>
    </row>
    <row r="169" spans="1:1" ht="18" x14ac:dyDescent="0.35">
      <c r="A169" s="395"/>
    </row>
    <row r="170" spans="1:1" ht="18" x14ac:dyDescent="0.35">
      <c r="A170" s="395"/>
    </row>
    <row r="171" spans="1:1" ht="18" x14ac:dyDescent="0.35">
      <c r="A171" s="395"/>
    </row>
    <row r="172" spans="1:1" ht="18" x14ac:dyDescent="0.35">
      <c r="A172" s="395"/>
    </row>
    <row r="173" spans="1:1" ht="18" x14ac:dyDescent="0.35">
      <c r="A173" s="395"/>
    </row>
    <row r="174" spans="1:1" ht="18" x14ac:dyDescent="0.35">
      <c r="A174" s="395"/>
    </row>
    <row r="175" spans="1:1" ht="18" x14ac:dyDescent="0.35">
      <c r="A175" s="395"/>
    </row>
    <row r="176" spans="1:1" ht="18" x14ac:dyDescent="0.35">
      <c r="A176" s="395"/>
    </row>
    <row r="177" spans="1:1" ht="18" x14ac:dyDescent="0.35">
      <c r="A177" s="395"/>
    </row>
    <row r="178" spans="1:1" ht="18" x14ac:dyDescent="0.35">
      <c r="A178" s="395"/>
    </row>
    <row r="179" spans="1:1" ht="18" x14ac:dyDescent="0.35">
      <c r="A179" s="395"/>
    </row>
    <row r="180" spans="1:1" ht="18" x14ac:dyDescent="0.35">
      <c r="A180" s="395"/>
    </row>
    <row r="181" spans="1:1" ht="18" x14ac:dyDescent="0.35">
      <c r="A181" s="395"/>
    </row>
    <row r="182" spans="1:1" ht="18" x14ac:dyDescent="0.35">
      <c r="A182" s="395"/>
    </row>
    <row r="183" spans="1:1" ht="18" x14ac:dyDescent="0.35">
      <c r="A183" s="395"/>
    </row>
    <row r="184" spans="1:1" ht="18" x14ac:dyDescent="0.35">
      <c r="A184" s="395"/>
    </row>
    <row r="185" spans="1:1" ht="18" x14ac:dyDescent="0.35">
      <c r="A185" s="395"/>
    </row>
    <row r="186" spans="1:1" ht="18" x14ac:dyDescent="0.35">
      <c r="A186" s="395"/>
    </row>
    <row r="187" spans="1:1" ht="18" x14ac:dyDescent="0.35">
      <c r="A187" s="395"/>
    </row>
    <row r="188" spans="1:1" ht="18" x14ac:dyDescent="0.35">
      <c r="A188" s="395"/>
    </row>
    <row r="189" spans="1:1" ht="18" x14ac:dyDescent="0.35">
      <c r="A189" s="395"/>
    </row>
  </sheetData>
  <mergeCells count="22">
    <mergeCell ref="AI7:AK7"/>
    <mergeCell ref="Z6:AB6"/>
    <mergeCell ref="AC6:AE6"/>
    <mergeCell ref="AF6:AH6"/>
    <mergeCell ref="AI6:AK6"/>
    <mergeCell ref="Z7:AB7"/>
    <mergeCell ref="AC7:AE7"/>
    <mergeCell ref="AF7:AH7"/>
    <mergeCell ref="T6:V6"/>
    <mergeCell ref="W6:Y6"/>
    <mergeCell ref="Q7:S7"/>
    <mergeCell ref="B6:D6"/>
    <mergeCell ref="E6:G6"/>
    <mergeCell ref="H6:J6"/>
    <mergeCell ref="K6:M6"/>
    <mergeCell ref="B7:D7"/>
    <mergeCell ref="E7:G7"/>
    <mergeCell ref="H7:J7"/>
    <mergeCell ref="K7:M7"/>
    <mergeCell ref="N7:P7"/>
    <mergeCell ref="T7:V7"/>
    <mergeCell ref="W7:Y7"/>
  </mergeCells>
  <conditionalFormatting sqref="B20:C20">
    <cfRule type="expression" dxfId="647" priority="134">
      <formula>#REF!="20≠12+13+14+15+16+17+19"</formula>
    </cfRule>
    <cfRule type="expression" dxfId="646" priority="133">
      <formula>#REF!="20≠21+22"</formula>
    </cfRule>
  </conditionalFormatting>
  <conditionalFormatting sqref="B32:C32">
    <cfRule type="expression" dxfId="645" priority="135">
      <formula>#REF!="32≠33+34"</formula>
    </cfRule>
    <cfRule type="expression" dxfId="644" priority="142">
      <formula>#REF!="32≠24+25+26+27+28+29+31"</formula>
    </cfRule>
  </conditionalFormatting>
  <conditionalFormatting sqref="B44:C44">
    <cfRule type="expression" dxfId="643" priority="136">
      <formula>#REF!="44≠45+46"</formula>
    </cfRule>
    <cfRule type="expression" dxfId="642" priority="143">
      <formula>#REF!="44≠36+37+38+39+40+41+43"</formula>
    </cfRule>
  </conditionalFormatting>
  <conditionalFormatting sqref="B49:C49 B63:C63">
    <cfRule type="expression" dxfId="641" priority="150">
      <formula>kvartal &lt; 4</formula>
    </cfRule>
  </conditionalFormatting>
  <conditionalFormatting sqref="B56:C56">
    <cfRule type="expression" dxfId="640" priority="137">
      <formula>#REF!="56≠57+58"</formula>
    </cfRule>
    <cfRule type="expression" dxfId="639" priority="144">
      <formula>#REF!="56≠48+49+50+51+52+53+55"</formula>
    </cfRule>
  </conditionalFormatting>
  <conditionalFormatting sqref="B70:C70">
    <cfRule type="expression" dxfId="638" priority="138">
      <formula>#REF!="70≠62+63+64+65+66+67+69"</formula>
    </cfRule>
    <cfRule type="expression" dxfId="637" priority="145">
      <formula>#REF!="70≠71+72"</formula>
    </cfRule>
  </conditionalFormatting>
  <conditionalFormatting sqref="B75:C75 B87:C87">
    <cfRule type="expression" dxfId="636" priority="149">
      <formula>kvartal &lt; 4</formula>
    </cfRule>
  </conditionalFormatting>
  <conditionalFormatting sqref="B82:C82">
    <cfRule type="expression" dxfId="635" priority="139">
      <formula>#REF!="82≠83+84"</formula>
    </cfRule>
    <cfRule type="expression" dxfId="634" priority="146">
      <formula>#REF!="82≠74+75+76+77+78+79+81"</formula>
    </cfRule>
  </conditionalFormatting>
  <conditionalFormatting sqref="B94:C94">
    <cfRule type="expression" dxfId="633" priority="147">
      <formula>#REF!="94≠86+87+88+89+90+91+93"</formula>
    </cfRule>
    <cfRule type="expression" dxfId="632" priority="140">
      <formula>#REF!="94≠95+96"</formula>
    </cfRule>
  </conditionalFormatting>
  <conditionalFormatting sqref="B106:C106">
    <cfRule type="expression" dxfId="631" priority="148">
      <formula>#REF!="106≠98+99+100+101+102+103+105"</formula>
    </cfRule>
    <cfRule type="expression" dxfId="630" priority="141">
      <formula>#REF!="106≠107+108"</formula>
    </cfRule>
  </conditionalFormatting>
  <conditionalFormatting sqref="E13:F13 E25:F25 E37:F37 E49:F49 E63:F63 E75:F75 E87:F87">
    <cfRule type="expression" dxfId="629" priority="179">
      <formula>kvartal &lt; 4</formula>
    </cfRule>
  </conditionalFormatting>
  <conditionalFormatting sqref="E20:F20">
    <cfRule type="expression" dxfId="628" priority="163">
      <formula>#REF!="20≠21+22"</formula>
    </cfRule>
    <cfRule type="expression" dxfId="627" priority="164">
      <formula>#REF!="20≠12+13+14+15+16+17+19"</formula>
    </cfRule>
  </conditionalFormatting>
  <conditionalFormatting sqref="E32:F32">
    <cfRule type="expression" dxfId="626" priority="165">
      <formula>#REF!="32≠33+34"</formula>
    </cfRule>
    <cfRule type="expression" dxfId="625" priority="172">
      <formula>#REF!="32≠24+25+26+27+28+29+31"</formula>
    </cfRule>
  </conditionalFormatting>
  <conditionalFormatting sqref="E44:F44">
    <cfRule type="expression" dxfId="624" priority="173">
      <formula>#REF!="44≠36+37+38+39+40+41+43"</formula>
    </cfRule>
    <cfRule type="expression" dxfId="623" priority="166">
      <formula>#REF!="44≠45+46"</formula>
    </cfRule>
  </conditionalFormatting>
  <conditionalFormatting sqref="E56:F56">
    <cfRule type="expression" dxfId="622" priority="174">
      <formula>#REF!="56≠48+49+50+51+52+53+55"</formula>
    </cfRule>
    <cfRule type="expression" dxfId="621" priority="167">
      <formula>#REF!="56≠57+58"</formula>
    </cfRule>
  </conditionalFormatting>
  <conditionalFormatting sqref="E70:F70">
    <cfRule type="expression" dxfId="620" priority="175">
      <formula>#REF!="70≠71+72"</formula>
    </cfRule>
    <cfRule type="expression" dxfId="619" priority="168">
      <formula>#REF!="70≠62+63+64+65+66+67+69"</formula>
    </cfRule>
  </conditionalFormatting>
  <conditionalFormatting sqref="E82:F82">
    <cfRule type="expression" dxfId="618" priority="176">
      <formula>#REF!="82≠74+75+76+77+78+79+81"</formula>
    </cfRule>
    <cfRule type="expression" dxfId="617" priority="169">
      <formula>#REF!="82≠83+84"</formula>
    </cfRule>
  </conditionalFormatting>
  <conditionalFormatting sqref="E94:F94">
    <cfRule type="expression" dxfId="616" priority="177">
      <formula>#REF!="94≠86+87+88+89+90+91+93"</formula>
    </cfRule>
    <cfRule type="expression" dxfId="615" priority="170">
      <formula>#REF!="94≠95+96"</formula>
    </cfRule>
  </conditionalFormatting>
  <conditionalFormatting sqref="E106:F106">
    <cfRule type="expression" dxfId="614" priority="171">
      <formula>#REF!="106≠107+108"</formula>
    </cfRule>
    <cfRule type="expression" dxfId="613" priority="178">
      <formula>#REF!="106≠98+99+100+101+102+103+105"</formula>
    </cfRule>
  </conditionalFormatting>
  <conditionalFormatting sqref="H13:I13 H25:I25 H37:I37 H49:I49 H63:I63 H75:I75 H87:I87">
    <cfRule type="expression" dxfId="612" priority="116">
      <formula>kvartal &lt; 4</formula>
    </cfRule>
  </conditionalFormatting>
  <conditionalFormatting sqref="H20:I20">
    <cfRule type="expression" dxfId="611" priority="100">
      <formula>#REF!="20≠21+22"</formula>
    </cfRule>
    <cfRule type="expression" dxfId="610" priority="101">
      <formula>#REF!="20≠12+13+14+15+16+17+19"</formula>
    </cfRule>
  </conditionalFormatting>
  <conditionalFormatting sqref="H32:I32">
    <cfRule type="expression" dxfId="609" priority="109">
      <formula>#REF!="32≠24+25+26+27+28+29+31"</formula>
    </cfRule>
    <cfRule type="expression" dxfId="608" priority="102">
      <formula>#REF!="32≠33+34"</formula>
    </cfRule>
  </conditionalFormatting>
  <conditionalFormatting sqref="H44:I44">
    <cfRule type="expression" dxfId="607" priority="110">
      <formula>#REF!="44≠36+37+38+39+40+41+43"</formula>
    </cfRule>
    <cfRule type="expression" dxfId="606" priority="103">
      <formula>#REF!="44≠45+46"</formula>
    </cfRule>
  </conditionalFormatting>
  <conditionalFormatting sqref="H56:I56">
    <cfRule type="expression" dxfId="605" priority="104">
      <formula>#REF!="56≠57+58"</formula>
    </cfRule>
    <cfRule type="expression" dxfId="604" priority="111">
      <formula>#REF!="56≠48+49+50+51+52+53+55"</formula>
    </cfRule>
  </conditionalFormatting>
  <conditionalFormatting sqref="H70:I70">
    <cfRule type="expression" dxfId="603" priority="105">
      <formula>#REF!="70≠62+63+64+65+66+67+69"</formula>
    </cfRule>
    <cfRule type="expression" dxfId="602" priority="112">
      <formula>#REF!="70≠71+72"</formula>
    </cfRule>
  </conditionalFormatting>
  <conditionalFormatting sqref="H82:I82">
    <cfRule type="expression" dxfId="601" priority="113">
      <formula>#REF!="82≠74+75+76+77+78+79+81"</formula>
    </cfRule>
    <cfRule type="expression" dxfId="600" priority="106">
      <formula>#REF!="82≠83+84"</formula>
    </cfRule>
  </conditionalFormatting>
  <conditionalFormatting sqref="H94:I94">
    <cfRule type="expression" dxfId="599" priority="107">
      <formula>#REF!="94≠95+96"</formula>
    </cfRule>
    <cfRule type="expression" dxfId="598" priority="114">
      <formula>#REF!="94≠86+87+88+89+90+91+93"</formula>
    </cfRule>
  </conditionalFormatting>
  <conditionalFormatting sqref="H106:I106">
    <cfRule type="expression" dxfId="597" priority="108">
      <formula>#REF!="106≠107+108"</formula>
    </cfRule>
    <cfRule type="expression" dxfId="596" priority="115">
      <formula>#REF!="106≠98+99+100+101+102+103+105"</formula>
    </cfRule>
  </conditionalFormatting>
  <conditionalFormatting sqref="K13:L13 K25:L25 K37:L37 K49:L49 K63:L63 K75:L75 K87:L87">
    <cfRule type="expression" dxfId="595" priority="17">
      <formula>kvartal &lt; 4</formula>
    </cfRule>
  </conditionalFormatting>
  <conditionalFormatting sqref="K20:L20">
    <cfRule type="expression" dxfId="594" priority="1">
      <formula>#REF!="20≠21+22"</formula>
    </cfRule>
    <cfRule type="expression" dxfId="593" priority="2">
      <formula>#REF!="20≠12+13+14+15+16+17+19"</formula>
    </cfRule>
  </conditionalFormatting>
  <conditionalFormatting sqref="K32:L32">
    <cfRule type="expression" dxfId="592" priority="3">
      <formula>#REF!="32≠33+34"</formula>
    </cfRule>
    <cfRule type="expression" dxfId="591" priority="10">
      <formula>#REF!="32≠24+25+26+27+28+29+31"</formula>
    </cfRule>
  </conditionalFormatting>
  <conditionalFormatting sqref="K44:L44">
    <cfRule type="expression" dxfId="590" priority="4">
      <formula>#REF!="44≠45+46"</formula>
    </cfRule>
    <cfRule type="expression" dxfId="589" priority="11">
      <formula>#REF!="44≠36+37+38+39+40+41+43"</formula>
    </cfRule>
  </conditionalFormatting>
  <conditionalFormatting sqref="K56:L56">
    <cfRule type="expression" dxfId="588" priority="5">
      <formula>#REF!="56≠57+58"</formula>
    </cfRule>
    <cfRule type="expression" dxfId="587" priority="12">
      <formula>#REF!="56≠48+49+50+51+52+53+55"</formula>
    </cfRule>
  </conditionalFormatting>
  <conditionalFormatting sqref="K70:L70">
    <cfRule type="expression" dxfId="586" priority="13">
      <formula>#REF!="70≠71+72"</formula>
    </cfRule>
    <cfRule type="expression" dxfId="585" priority="6">
      <formula>#REF!="70≠62+63+64+65+66+67+69"</formula>
    </cfRule>
  </conditionalFormatting>
  <conditionalFormatting sqref="K82:L82">
    <cfRule type="expression" dxfId="584" priority="14">
      <formula>#REF!="82≠74+75+76+77+78+79+81"</formula>
    </cfRule>
    <cfRule type="expression" dxfId="583" priority="7">
      <formula>#REF!="82≠83+84"</formula>
    </cfRule>
  </conditionalFormatting>
  <conditionalFormatting sqref="K94:L94">
    <cfRule type="expression" dxfId="582" priority="8">
      <formula>#REF!="94≠95+96"</formula>
    </cfRule>
    <cfRule type="expression" dxfId="581" priority="15">
      <formula>#REF!="94≠86+87+88+89+90+91+93"</formula>
    </cfRule>
  </conditionalFormatting>
  <conditionalFormatting sqref="K106:L106">
    <cfRule type="expression" dxfId="580" priority="16">
      <formula>#REF!="106≠98+99+100+101+102+103+105"</formula>
    </cfRule>
    <cfRule type="expression" dxfId="579" priority="9">
      <formula>#REF!="106≠107+108"</formula>
    </cfRule>
  </conditionalFormatting>
  <conditionalFormatting sqref="N20:O20">
    <cfRule type="expression" dxfId="578" priority="433">
      <formula>#REF!="20≠12+13+14+15+16+17+19"</formula>
    </cfRule>
    <cfRule type="expression" dxfId="577" priority="432">
      <formula>#REF!="20≠21+22"</formula>
    </cfRule>
  </conditionalFormatting>
  <conditionalFormatting sqref="N32:O32">
    <cfRule type="expression" dxfId="576" priority="441">
      <formula>#REF!="32≠24+25+26+27+28+29+31"</formula>
    </cfRule>
    <cfRule type="expression" dxfId="575" priority="434">
      <formula>#REF!="32≠33+34"</formula>
    </cfRule>
  </conditionalFormatting>
  <conditionalFormatting sqref="N44:O44">
    <cfRule type="expression" dxfId="574" priority="442">
      <formula>#REF!="44≠36+37+38+39+40+41+43"</formula>
    </cfRule>
    <cfRule type="expression" dxfId="573" priority="435">
      <formula>#REF!="44≠45+46"</formula>
    </cfRule>
  </conditionalFormatting>
  <conditionalFormatting sqref="N56:O56">
    <cfRule type="expression" dxfId="572" priority="443">
      <formula>#REF!="56≠48+49+50+51+52+53+55"</formula>
    </cfRule>
    <cfRule type="expression" dxfId="571" priority="436">
      <formula>#REF!="56≠57+58"</formula>
    </cfRule>
  </conditionalFormatting>
  <conditionalFormatting sqref="N70:O70">
    <cfRule type="expression" dxfId="570" priority="444">
      <formula>#REF!="70≠71+72"</formula>
    </cfRule>
    <cfRule type="expression" dxfId="569" priority="437">
      <formula>#REF!="70≠62+63+64+65+66+67+69"</formula>
    </cfRule>
  </conditionalFormatting>
  <conditionalFormatting sqref="N82:O82">
    <cfRule type="expression" dxfId="568" priority="445">
      <formula>#REF!="82≠74+75+76+77+78+79+81"</formula>
    </cfRule>
    <cfRule type="expression" dxfId="567" priority="438">
      <formula>#REF!="82≠83+84"</formula>
    </cfRule>
  </conditionalFormatting>
  <conditionalFormatting sqref="N94:O94">
    <cfRule type="expression" dxfId="566" priority="439">
      <formula>#REF!="94≠95+96"</formula>
    </cfRule>
    <cfRule type="expression" dxfId="565" priority="446">
      <formula>#REF!="94≠86+87+88+89+90+91+93"</formula>
    </cfRule>
  </conditionalFormatting>
  <conditionalFormatting sqref="N106:O106">
    <cfRule type="expression" dxfId="564" priority="440">
      <formula>#REF!="106≠107+108"</formula>
    </cfRule>
    <cfRule type="expression" dxfId="563" priority="447">
      <formula>#REF!="106≠98+99+100+101+102+103+105"</formula>
    </cfRule>
  </conditionalFormatting>
  <conditionalFormatting sqref="O13 O25 O37 O49 O63 O75 O87">
    <cfRule type="expression" dxfId="562" priority="314">
      <formula>kvartal &lt; 4</formula>
    </cfRule>
  </conditionalFormatting>
  <conditionalFormatting sqref="Q13:R13 Q25:R25 Q37:R37 Q49:R49 Q63:R63 Q75:R75 Q87:R87">
    <cfRule type="expression" dxfId="561" priority="212">
      <formula>kvartal &lt; 4</formula>
    </cfRule>
  </conditionalFormatting>
  <conditionalFormatting sqref="Q20:R20">
    <cfRule type="expression" dxfId="560" priority="196">
      <formula>#REF!="20≠21+22"</formula>
    </cfRule>
    <cfRule type="expression" dxfId="559" priority="197">
      <formula>#REF!="20≠12+13+14+15+16+17+19"</formula>
    </cfRule>
  </conditionalFormatting>
  <conditionalFormatting sqref="Q32:R32">
    <cfRule type="expression" dxfId="558" priority="198">
      <formula>#REF!="32≠33+34"</formula>
    </cfRule>
    <cfRule type="expression" dxfId="557" priority="205">
      <formula>#REF!="32≠24+25+26+27+28+29+31"</formula>
    </cfRule>
  </conditionalFormatting>
  <conditionalFormatting sqref="Q44:R44">
    <cfRule type="expression" dxfId="556" priority="199">
      <formula>#REF!="44≠45+46"</formula>
    </cfRule>
    <cfRule type="expression" dxfId="555" priority="206">
      <formula>#REF!="44≠36+37+38+39+40+41+43"</formula>
    </cfRule>
  </conditionalFormatting>
  <conditionalFormatting sqref="Q56:R56">
    <cfRule type="expression" dxfId="554" priority="200">
      <formula>#REF!="56≠57+58"</formula>
    </cfRule>
    <cfRule type="expression" dxfId="553" priority="207">
      <formula>#REF!="56≠48+49+50+51+52+53+55"</formula>
    </cfRule>
  </conditionalFormatting>
  <conditionalFormatting sqref="Q70:R70">
    <cfRule type="expression" dxfId="552" priority="201">
      <formula>#REF!="70≠62+63+64+65+66+67+69"</formula>
    </cfRule>
    <cfRule type="expression" dxfId="551" priority="208">
      <formula>#REF!="70≠71+72"</formula>
    </cfRule>
  </conditionalFormatting>
  <conditionalFormatting sqref="Q82:R82">
    <cfRule type="expression" dxfId="550" priority="202">
      <formula>#REF!="82≠83+84"</formula>
    </cfRule>
    <cfRule type="expression" dxfId="549" priority="209">
      <formula>#REF!="82≠74+75+76+77+78+79+81"</formula>
    </cfRule>
  </conditionalFormatting>
  <conditionalFormatting sqref="Q94:R94">
    <cfRule type="expression" dxfId="548" priority="203">
      <formula>#REF!="94≠95+96"</formula>
    </cfRule>
    <cfRule type="expression" dxfId="547" priority="210">
      <formula>#REF!="94≠86+87+88+89+90+91+93"</formula>
    </cfRule>
  </conditionalFormatting>
  <conditionalFormatting sqref="Q106:R106">
    <cfRule type="expression" dxfId="546" priority="204">
      <formula>#REF!="106≠107+108"</formula>
    </cfRule>
    <cfRule type="expression" dxfId="545" priority="211">
      <formula>#REF!="106≠98+99+100+101+102+103+105"</formula>
    </cfRule>
  </conditionalFormatting>
  <conditionalFormatting sqref="T20:U20">
    <cfRule type="expression" dxfId="544" priority="400">
      <formula>#REF!="20≠21+22"</formula>
    </cfRule>
    <cfRule type="expression" dxfId="543" priority="401">
      <formula>#REF!="20≠12+13+14+15+16+17+19"</formula>
    </cfRule>
  </conditionalFormatting>
  <conditionalFormatting sqref="T32:U32">
    <cfRule type="expression" dxfId="542" priority="409">
      <formula>#REF!="32≠24+25+26+27+28+29+31"</formula>
    </cfRule>
    <cfRule type="expression" dxfId="541" priority="402">
      <formula>#REF!="32≠33+34"</formula>
    </cfRule>
  </conditionalFormatting>
  <conditionalFormatting sqref="T44:U44">
    <cfRule type="expression" dxfId="540" priority="410">
      <formula>#REF!="44≠36+37+38+39+40+41+43"</formula>
    </cfRule>
    <cfRule type="expression" dxfId="539" priority="403">
      <formula>#REF!="44≠45+46"</formula>
    </cfRule>
  </conditionalFormatting>
  <conditionalFormatting sqref="T56:U56">
    <cfRule type="expression" dxfId="538" priority="404">
      <formula>#REF!="56≠57+58"</formula>
    </cfRule>
    <cfRule type="expression" dxfId="537" priority="411">
      <formula>#REF!="56≠48+49+50+51+52+53+55"</formula>
    </cfRule>
  </conditionalFormatting>
  <conditionalFormatting sqref="T70:U70">
    <cfRule type="expression" dxfId="536" priority="412">
      <formula>#REF!="70≠71+72"</formula>
    </cfRule>
    <cfRule type="expression" dxfId="535" priority="405">
      <formula>#REF!="70≠62+63+64+65+66+67+69"</formula>
    </cfRule>
  </conditionalFormatting>
  <conditionalFormatting sqref="T82:U82">
    <cfRule type="expression" dxfId="534" priority="406">
      <formula>#REF!="82≠83+84"</formula>
    </cfRule>
    <cfRule type="expression" dxfId="533" priority="413">
      <formula>#REF!="82≠74+75+76+77+78+79+81"</formula>
    </cfRule>
  </conditionalFormatting>
  <conditionalFormatting sqref="T94:U94">
    <cfRule type="expression" dxfId="532" priority="407">
      <formula>#REF!="94≠95+96"</formula>
    </cfRule>
    <cfRule type="expression" dxfId="531" priority="414">
      <formula>#REF!="94≠86+87+88+89+90+91+93"</formula>
    </cfRule>
  </conditionalFormatting>
  <conditionalFormatting sqref="T106:U106">
    <cfRule type="expression" dxfId="530" priority="408">
      <formula>#REF!="106≠107+108"</formula>
    </cfRule>
    <cfRule type="expression" dxfId="529" priority="415">
      <formula>#REF!="106≠98+99+100+101+102+103+105"</formula>
    </cfRule>
  </conditionalFormatting>
  <conditionalFormatting sqref="U13 U25 U37 U49 U63 U75 U87">
    <cfRule type="expression" dxfId="528" priority="280">
      <formula>kvartal &lt; 4</formula>
    </cfRule>
  </conditionalFormatting>
  <conditionalFormatting sqref="W13:X13 W25:X25 W37:X37 W49:X49 W63:X63 W75:X75 W87:X87">
    <cfRule type="expression" dxfId="527" priority="50">
      <formula>kvartal &lt; 4</formula>
    </cfRule>
  </conditionalFormatting>
  <conditionalFormatting sqref="W20:X20">
    <cfRule type="expression" dxfId="526" priority="35">
      <formula>#REF!="20≠12+13+14+15+16+17+19"</formula>
    </cfRule>
    <cfRule type="expression" dxfId="525" priority="34">
      <formula>#REF!="20≠21+22"</formula>
    </cfRule>
  </conditionalFormatting>
  <conditionalFormatting sqref="W32:X32">
    <cfRule type="expression" dxfId="524" priority="36">
      <formula>#REF!="32≠33+34"</formula>
    </cfRule>
    <cfRule type="expression" dxfId="523" priority="43">
      <formula>#REF!="32≠24+25+26+27+28+29+31"</formula>
    </cfRule>
  </conditionalFormatting>
  <conditionalFormatting sqref="W44:X44">
    <cfRule type="expression" dxfId="522" priority="37">
      <formula>#REF!="44≠45+46"</formula>
    </cfRule>
    <cfRule type="expression" dxfId="521" priority="44">
      <formula>#REF!="44≠36+37+38+39+40+41+43"</formula>
    </cfRule>
  </conditionalFormatting>
  <conditionalFormatting sqref="W56:X56">
    <cfRule type="expression" dxfId="520" priority="45">
      <formula>#REF!="56≠48+49+50+51+52+53+55"</formula>
    </cfRule>
    <cfRule type="expression" dxfId="519" priority="38">
      <formula>#REF!="56≠57+58"</formula>
    </cfRule>
  </conditionalFormatting>
  <conditionalFormatting sqref="W70:X70">
    <cfRule type="expression" dxfId="518" priority="39">
      <formula>#REF!="70≠62+63+64+65+66+67+69"</formula>
    </cfRule>
    <cfRule type="expression" dxfId="517" priority="46">
      <formula>#REF!="70≠71+72"</formula>
    </cfRule>
  </conditionalFormatting>
  <conditionalFormatting sqref="W82:X82">
    <cfRule type="expression" dxfId="516" priority="40">
      <formula>#REF!="82≠83+84"</formula>
    </cfRule>
    <cfRule type="expression" dxfId="515" priority="47">
      <formula>#REF!="82≠74+75+76+77+78+79+81"</formula>
    </cfRule>
  </conditionalFormatting>
  <conditionalFormatting sqref="W94:X94">
    <cfRule type="expression" dxfId="514" priority="48">
      <formula>#REF!="94≠86+87+88+89+90+91+93"</formula>
    </cfRule>
    <cfRule type="expression" dxfId="513" priority="41">
      <formula>#REF!="94≠95+96"</formula>
    </cfRule>
  </conditionalFormatting>
  <conditionalFormatting sqref="W106:X106">
    <cfRule type="expression" dxfId="512" priority="42">
      <formula>#REF!="106≠107+108"</formula>
    </cfRule>
    <cfRule type="expression" dxfId="511" priority="49">
      <formula>#REF!="106≠98+99+100+101+102+103+105"</formula>
    </cfRule>
  </conditionalFormatting>
  <conditionalFormatting sqref="Z13:AA13 Z25:AA25 Z37:AA37 Z49:AA49 Z63:AA63 Z75:AA75 Z87:AA87">
    <cfRule type="expression" dxfId="510" priority="83">
      <formula>kvartal &lt; 4</formula>
    </cfRule>
  </conditionalFormatting>
  <conditionalFormatting sqref="Z20:AA20">
    <cfRule type="expression" dxfId="509" priority="68">
      <formula>#REF!="20≠12+13+14+15+16+17+19"</formula>
    </cfRule>
    <cfRule type="expression" dxfId="508" priority="67">
      <formula>#REF!="20≠21+22"</formula>
    </cfRule>
  </conditionalFormatting>
  <conditionalFormatting sqref="Z32:AA32">
    <cfRule type="expression" dxfId="507" priority="76">
      <formula>#REF!="32≠24+25+26+27+28+29+31"</formula>
    </cfRule>
    <cfRule type="expression" dxfId="506" priority="69">
      <formula>#REF!="32≠33+34"</formula>
    </cfRule>
  </conditionalFormatting>
  <conditionalFormatting sqref="Z44:AA44">
    <cfRule type="expression" dxfId="505" priority="77">
      <formula>#REF!="44≠36+37+38+39+40+41+43"</formula>
    </cfRule>
    <cfRule type="expression" dxfId="504" priority="70">
      <formula>#REF!="44≠45+46"</formula>
    </cfRule>
  </conditionalFormatting>
  <conditionalFormatting sqref="Z56:AA56">
    <cfRule type="expression" dxfId="503" priority="78">
      <formula>#REF!="56≠48+49+50+51+52+53+55"</formula>
    </cfRule>
    <cfRule type="expression" dxfId="502" priority="71">
      <formula>#REF!="56≠57+58"</formula>
    </cfRule>
  </conditionalFormatting>
  <conditionalFormatting sqref="Z70:AA70">
    <cfRule type="expression" dxfId="501" priority="72">
      <formula>#REF!="70≠62+63+64+65+66+67+69"</formula>
    </cfRule>
    <cfRule type="expression" dxfId="500" priority="79">
      <formula>#REF!="70≠71+72"</formula>
    </cfRule>
  </conditionalFormatting>
  <conditionalFormatting sqref="Z82:AA82">
    <cfRule type="expression" dxfId="499" priority="73">
      <formula>#REF!="82≠83+84"</formula>
    </cfRule>
    <cfRule type="expression" dxfId="498" priority="80">
      <formula>#REF!="82≠74+75+76+77+78+79+81"</formula>
    </cfRule>
  </conditionalFormatting>
  <conditionalFormatting sqref="Z94:AA94">
    <cfRule type="expression" dxfId="497" priority="74">
      <formula>#REF!="94≠95+96"</formula>
    </cfRule>
    <cfRule type="expression" dxfId="496" priority="81">
      <formula>#REF!="94≠86+87+88+89+90+91+93"</formula>
    </cfRule>
  </conditionalFormatting>
  <conditionalFormatting sqref="Z106:AA106">
    <cfRule type="expression" dxfId="495" priority="75">
      <formula>#REF!="106≠107+108"</formula>
    </cfRule>
    <cfRule type="expression" dxfId="494" priority="82">
      <formula>#REF!="106≠98+99+100+101+102+103+105"</formula>
    </cfRule>
  </conditionalFormatting>
  <conditionalFormatting sqref="AD13 AD25 AD37 AD49 AD63 AD75 AD87">
    <cfRule type="expression" dxfId="493" priority="229">
      <formula>kvartal &lt; 4</formula>
    </cfRule>
  </conditionalFormatting>
  <conditionalFormatting sqref="AD20">
    <cfRule type="expression" dxfId="492" priority="532">
      <formula>#REF!="20≠21+22"</formula>
    </cfRule>
    <cfRule type="expression" dxfId="491" priority="533">
      <formula>#REF!="20≠12+13+14+15+16+17+19"</formula>
    </cfRule>
  </conditionalFormatting>
  <conditionalFormatting sqref="AD32">
    <cfRule type="expression" dxfId="490" priority="535">
      <formula>#REF!="32≠33+34"</formula>
    </cfRule>
    <cfRule type="expression" dxfId="489" priority="534">
      <formula>#REF!="32≠24+25+26+27+28+29+31"</formula>
    </cfRule>
  </conditionalFormatting>
  <conditionalFormatting sqref="AD44">
    <cfRule type="expression" dxfId="488" priority="520">
      <formula>#REF!="44≠36+37+38+39+40+41+43"</formula>
    </cfRule>
    <cfRule type="expression" dxfId="487" priority="521">
      <formula>#REF!="44≠45+46"</formula>
    </cfRule>
  </conditionalFormatting>
  <conditionalFormatting sqref="AD56">
    <cfRule type="expression" dxfId="486" priority="522">
      <formula>#REF!="56≠48+49+50+51+52+53+55"</formula>
    </cfRule>
    <cfRule type="expression" dxfId="485" priority="523">
      <formula>#REF!="56≠57+58"</formula>
    </cfRule>
  </conditionalFormatting>
  <conditionalFormatting sqref="AD70">
    <cfRule type="expression" dxfId="484" priority="524">
      <formula>#REF!="70≠62+63+64+65+66+67+69"</formula>
    </cfRule>
    <cfRule type="expression" dxfId="483" priority="525">
      <formula>#REF!="70≠71+72"</formula>
    </cfRule>
  </conditionalFormatting>
  <conditionalFormatting sqref="AD82">
    <cfRule type="expression" dxfId="482" priority="526">
      <formula>#REF!="82≠74+75+76+77+78+79+81"</formula>
    </cfRule>
    <cfRule type="expression" dxfId="481" priority="527">
      <formula>#REF!="82≠83+84"</formula>
    </cfRule>
  </conditionalFormatting>
  <conditionalFormatting sqref="AD94">
    <cfRule type="expression" dxfId="480" priority="529">
      <formula>#REF!="94≠95+96"</formula>
    </cfRule>
    <cfRule type="expression" dxfId="479" priority="528">
      <formula>#REF!="94≠86+87+88+89+90+91+93"</formula>
    </cfRule>
  </conditionalFormatting>
  <conditionalFormatting sqref="AD106">
    <cfRule type="expression" dxfId="478" priority="530">
      <formula>#REF!="106≠98+99+100+101+102+103+105"</formula>
    </cfRule>
    <cfRule type="expression" dxfId="477" priority="531">
      <formula>#REF!="106≠107+108"</formula>
    </cfRule>
  </conditionalFormatting>
  <pageMargins left="0.78740157480314965" right="0.78740157480314965" top="1.5748031496062993" bottom="0.98425196850393704" header="0.51181102362204722" footer="0.51181102362204722"/>
  <pageSetup paperSize="9" scale="45" fitToWidth="4" orientation="portrait" r:id="rId1"/>
  <headerFooter alignWithMargins="0"/>
  <rowBreaks count="1" manualBreakCount="1">
    <brk id="59" max="39" man="1"/>
  </rowBreaks>
  <colBreaks count="2" manualBreakCount="2">
    <brk id="10" min="1" max="108" man="1"/>
    <brk id="25" min="1" max="108"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7CBE6-EB64-4B45-8787-855E9ACB86F9}">
  <sheetPr codeName="Ark37"/>
  <dimension ref="A1:AO214"/>
  <sheetViews>
    <sheetView showGridLines="0" zoomScale="70" zoomScaleNormal="70" workbookViewId="0">
      <pane xSplit="1" ySplit="9" topLeftCell="B10" activePane="bottomRight" state="frozen"/>
      <selection activeCell="X52" sqref="X52"/>
      <selection pane="topRight" activeCell="X52" sqref="X52"/>
      <selection pane="bottomLeft" activeCell="X52" sqref="X52"/>
      <selection pane="bottomRight" activeCell="A5" sqref="A5"/>
    </sheetView>
  </sheetViews>
  <sheetFormatPr baseColWidth="10" defaultColWidth="12.5546875" defaultRowHeight="15.6" x14ac:dyDescent="0.3"/>
  <cols>
    <col min="1" max="1" width="90.6640625" style="553" customWidth="1"/>
    <col min="2" max="37" width="11.6640625" style="553" customWidth="1"/>
    <col min="38" max="16384" width="12.5546875" style="553"/>
  </cols>
  <sheetData>
    <row r="1" spans="1:41" ht="20.25" customHeight="1" x14ac:dyDescent="0.35">
      <c r="A1" s="401" t="s">
        <v>301</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c r="AN1" s="552"/>
      <c r="AO1" s="552"/>
    </row>
    <row r="2" spans="1:41" ht="20.100000000000001" customHeight="1" x14ac:dyDescent="0.35">
      <c r="A2" s="554" t="s">
        <v>31</v>
      </c>
      <c r="B2" s="552"/>
      <c r="C2" s="552"/>
      <c r="D2" s="552"/>
      <c r="E2" s="515"/>
      <c r="F2" s="516"/>
      <c r="G2" s="516"/>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row>
    <row r="3" spans="1:41" ht="20.100000000000001" customHeight="1" x14ac:dyDescent="0.35">
      <c r="A3" s="555" t="s">
        <v>323</v>
      </c>
      <c r="B3" s="514"/>
      <c r="C3" s="514"/>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row>
    <row r="4" spans="1:41" ht="20.100000000000001" customHeight="1" x14ac:dyDescent="0.35">
      <c r="A4" s="556" t="s">
        <v>324</v>
      </c>
      <c r="B4" s="650"/>
      <c r="C4" s="519"/>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row>
    <row r="5" spans="1:41" ht="18.75" customHeight="1" x14ac:dyDescent="0.35">
      <c r="A5" s="557" t="s">
        <v>235</v>
      </c>
      <c r="B5" s="558"/>
      <c r="C5" s="559"/>
      <c r="D5" s="560"/>
      <c r="E5" s="558"/>
      <c r="F5" s="559"/>
      <c r="G5" s="560"/>
      <c r="H5" s="558"/>
      <c r="I5" s="559"/>
      <c r="J5" s="560"/>
      <c r="K5" s="559"/>
      <c r="L5" s="559"/>
      <c r="M5" s="559"/>
      <c r="N5" s="558"/>
      <c r="O5" s="559"/>
      <c r="P5" s="560"/>
      <c r="Q5" s="558"/>
      <c r="R5" s="559"/>
      <c r="S5" s="560"/>
      <c r="T5" s="558"/>
      <c r="U5" s="559"/>
      <c r="V5" s="560"/>
      <c r="W5" s="558"/>
      <c r="X5" s="559"/>
      <c r="Y5" s="560"/>
      <c r="Z5" s="558"/>
      <c r="AA5" s="559"/>
      <c r="AB5" s="560"/>
      <c r="AC5" s="559"/>
      <c r="AD5" s="559"/>
      <c r="AE5" s="559"/>
      <c r="AF5" s="558"/>
      <c r="AG5" s="559"/>
      <c r="AH5" s="560"/>
      <c r="AI5" s="558"/>
      <c r="AJ5" s="559"/>
      <c r="AK5" s="560"/>
      <c r="AL5" s="552"/>
      <c r="AM5" s="552"/>
      <c r="AN5" s="552"/>
      <c r="AO5" s="552"/>
    </row>
    <row r="6" spans="1:41" ht="18.75" customHeight="1" x14ac:dyDescent="0.35">
      <c r="A6" s="561" t="s">
        <v>120</v>
      </c>
      <c r="B6" s="787" t="s">
        <v>236</v>
      </c>
      <c r="C6" s="788"/>
      <c r="D6" s="789"/>
      <c r="E6" s="787"/>
      <c r="F6" s="788"/>
      <c r="G6" s="789"/>
      <c r="H6" s="787" t="s">
        <v>237</v>
      </c>
      <c r="I6" s="788"/>
      <c r="J6" s="789"/>
      <c r="K6" s="787" t="s">
        <v>238</v>
      </c>
      <c r="L6" s="788"/>
      <c r="M6" s="789"/>
      <c r="N6" s="641" t="s">
        <v>304</v>
      </c>
      <c r="O6" s="642"/>
      <c r="P6" s="643"/>
      <c r="Q6" s="641"/>
      <c r="R6" s="642"/>
      <c r="S6" s="643"/>
      <c r="T6" s="787" t="s">
        <v>239</v>
      </c>
      <c r="U6" s="788"/>
      <c r="V6" s="789"/>
      <c r="W6" s="787" t="s">
        <v>247</v>
      </c>
      <c r="X6" s="788"/>
      <c r="Y6" s="789"/>
      <c r="Z6" s="787" t="s">
        <v>240</v>
      </c>
      <c r="AA6" s="788"/>
      <c r="AB6" s="789"/>
      <c r="AC6" s="787" t="s">
        <v>241</v>
      </c>
      <c r="AD6" s="788"/>
      <c r="AE6" s="789"/>
      <c r="AF6" s="787" t="s">
        <v>121</v>
      </c>
      <c r="AG6" s="788"/>
      <c r="AH6" s="789"/>
      <c r="AI6" s="787" t="s">
        <v>121</v>
      </c>
      <c r="AJ6" s="788"/>
      <c r="AK6" s="789"/>
      <c r="AL6" s="552"/>
      <c r="AM6" s="552"/>
      <c r="AN6" s="552"/>
      <c r="AO6" s="552"/>
    </row>
    <row r="7" spans="1:41" ht="18.75" customHeight="1" x14ac:dyDescent="0.35">
      <c r="A7" s="562"/>
      <c r="B7" s="790" t="s">
        <v>243</v>
      </c>
      <c r="C7" s="791"/>
      <c r="D7" s="792"/>
      <c r="E7" s="790" t="s">
        <v>244</v>
      </c>
      <c r="F7" s="791"/>
      <c r="G7" s="792"/>
      <c r="H7" s="790" t="s">
        <v>243</v>
      </c>
      <c r="I7" s="791"/>
      <c r="J7" s="792"/>
      <c r="K7" s="790" t="s">
        <v>245</v>
      </c>
      <c r="L7" s="791"/>
      <c r="M7" s="792"/>
      <c r="N7" s="790" t="s">
        <v>55</v>
      </c>
      <c r="O7" s="791"/>
      <c r="P7" s="792"/>
      <c r="Q7" s="790" t="s">
        <v>60</v>
      </c>
      <c r="R7" s="791"/>
      <c r="S7" s="792"/>
      <c r="T7" s="790" t="s">
        <v>246</v>
      </c>
      <c r="U7" s="791"/>
      <c r="V7" s="792"/>
      <c r="W7" s="790" t="s">
        <v>305</v>
      </c>
      <c r="X7" s="791"/>
      <c r="Y7" s="792"/>
      <c r="Z7" s="790" t="s">
        <v>243</v>
      </c>
      <c r="AA7" s="791"/>
      <c r="AB7" s="792"/>
      <c r="AC7" s="790" t="s">
        <v>243</v>
      </c>
      <c r="AD7" s="791"/>
      <c r="AE7" s="792"/>
      <c r="AF7" s="790" t="s">
        <v>248</v>
      </c>
      <c r="AG7" s="791"/>
      <c r="AH7" s="792"/>
      <c r="AI7" s="793" t="s">
        <v>249</v>
      </c>
      <c r="AJ7" s="794"/>
      <c r="AK7" s="795"/>
      <c r="AL7" s="552"/>
      <c r="AM7" s="552"/>
      <c r="AN7" s="552"/>
      <c r="AO7" s="552"/>
    </row>
    <row r="8" spans="1:41" ht="18.75" customHeight="1" x14ac:dyDescent="0.35">
      <c r="A8" s="562"/>
      <c r="B8" s="412"/>
      <c r="C8" s="412"/>
      <c r="D8" s="413" t="s">
        <v>85</v>
      </c>
      <c r="E8" s="412"/>
      <c r="F8" s="412"/>
      <c r="G8" s="413" t="s">
        <v>85</v>
      </c>
      <c r="H8" s="412"/>
      <c r="I8" s="412"/>
      <c r="J8" s="413" t="s">
        <v>85</v>
      </c>
      <c r="K8" s="412"/>
      <c r="L8" s="412"/>
      <c r="M8" s="413" t="s">
        <v>85</v>
      </c>
      <c r="N8" s="412"/>
      <c r="O8" s="412"/>
      <c r="P8" s="413" t="s">
        <v>85</v>
      </c>
      <c r="Q8" s="412"/>
      <c r="R8" s="412"/>
      <c r="S8" s="413" t="s">
        <v>85</v>
      </c>
      <c r="T8" s="412"/>
      <c r="U8" s="412"/>
      <c r="V8" s="413" t="s">
        <v>85</v>
      </c>
      <c r="W8" s="412"/>
      <c r="X8" s="412"/>
      <c r="Y8" s="413" t="s">
        <v>85</v>
      </c>
      <c r="Z8" s="412"/>
      <c r="AA8" s="412"/>
      <c r="AB8" s="413" t="s">
        <v>85</v>
      </c>
      <c r="AC8" s="412"/>
      <c r="AD8" s="412"/>
      <c r="AE8" s="413" t="s">
        <v>85</v>
      </c>
      <c r="AF8" s="412"/>
      <c r="AG8" s="412"/>
      <c r="AH8" s="413" t="s">
        <v>85</v>
      </c>
      <c r="AI8" s="412"/>
      <c r="AJ8" s="412"/>
      <c r="AK8" s="413" t="s">
        <v>85</v>
      </c>
      <c r="AL8" s="552"/>
      <c r="AM8" s="552"/>
      <c r="AN8" s="552"/>
      <c r="AO8" s="552"/>
    </row>
    <row r="9" spans="1:41" ht="18.75" customHeight="1" x14ac:dyDescent="0.35">
      <c r="A9" s="563" t="s">
        <v>250</v>
      </c>
      <c r="B9" s="415">
        <v>2024</v>
      </c>
      <c r="C9" s="415">
        <v>2025</v>
      </c>
      <c r="D9" s="416" t="s">
        <v>88</v>
      </c>
      <c r="E9" s="415">
        <f>$B$9</f>
        <v>2024</v>
      </c>
      <c r="F9" s="415">
        <f>$C$9</f>
        <v>2025</v>
      </c>
      <c r="G9" s="416" t="s">
        <v>88</v>
      </c>
      <c r="H9" s="415">
        <f>$B$9</f>
        <v>2024</v>
      </c>
      <c r="I9" s="415">
        <f>$C$9</f>
        <v>2025</v>
      </c>
      <c r="J9" s="416" t="s">
        <v>88</v>
      </c>
      <c r="K9" s="415">
        <f>$B$9</f>
        <v>2024</v>
      </c>
      <c r="L9" s="415">
        <f>$C$9</f>
        <v>2025</v>
      </c>
      <c r="M9" s="416" t="s">
        <v>88</v>
      </c>
      <c r="N9" s="415">
        <f>$B$9</f>
        <v>2024</v>
      </c>
      <c r="O9" s="415">
        <f>$C$9</f>
        <v>2025</v>
      </c>
      <c r="P9" s="416" t="s">
        <v>88</v>
      </c>
      <c r="Q9" s="415">
        <f>$B$9</f>
        <v>2024</v>
      </c>
      <c r="R9" s="415">
        <f>$C$9</f>
        <v>2025</v>
      </c>
      <c r="S9" s="416" t="s">
        <v>88</v>
      </c>
      <c r="T9" s="415">
        <f>$B$9</f>
        <v>2024</v>
      </c>
      <c r="U9" s="415">
        <f>$C$9</f>
        <v>2025</v>
      </c>
      <c r="V9" s="416" t="s">
        <v>88</v>
      </c>
      <c r="W9" s="415">
        <f>$B$9</f>
        <v>2024</v>
      </c>
      <c r="X9" s="415">
        <f>$C$9</f>
        <v>2025</v>
      </c>
      <c r="Y9" s="416" t="s">
        <v>88</v>
      </c>
      <c r="Z9" s="415">
        <f>$B$9</f>
        <v>2024</v>
      </c>
      <c r="AA9" s="415">
        <f>$C$9</f>
        <v>2025</v>
      </c>
      <c r="AB9" s="416" t="s">
        <v>88</v>
      </c>
      <c r="AC9" s="415">
        <f>$B$9</f>
        <v>2024</v>
      </c>
      <c r="AD9" s="415">
        <f>$C$9</f>
        <v>2025</v>
      </c>
      <c r="AE9" s="416" t="s">
        <v>88</v>
      </c>
      <c r="AF9" s="415">
        <f>$B$9</f>
        <v>2024</v>
      </c>
      <c r="AG9" s="415">
        <f>$C$9</f>
        <v>2025</v>
      </c>
      <c r="AH9" s="416" t="s">
        <v>88</v>
      </c>
      <c r="AI9" s="415">
        <f>$B$9</f>
        <v>2024</v>
      </c>
      <c r="AJ9" s="415">
        <f>$C$9</f>
        <v>2025</v>
      </c>
      <c r="AK9" s="416" t="s">
        <v>88</v>
      </c>
      <c r="AL9" s="552"/>
      <c r="AM9" s="552"/>
      <c r="AN9" s="552"/>
      <c r="AO9" s="552"/>
    </row>
    <row r="10" spans="1:41" ht="18.75" customHeight="1" x14ac:dyDescent="0.35">
      <c r="A10" s="564"/>
      <c r="B10" s="697"/>
      <c r="C10" s="698"/>
      <c r="D10" s="565"/>
      <c r="E10" s="438"/>
      <c r="F10" s="439"/>
      <c r="G10" s="566"/>
      <c r="H10" s="438"/>
      <c r="I10" s="439"/>
      <c r="J10" s="566"/>
      <c r="K10" s="438"/>
      <c r="L10" s="439"/>
      <c r="M10" s="567"/>
      <c r="N10" s="439"/>
      <c r="O10" s="439"/>
      <c r="P10" s="565"/>
      <c r="Q10" s="438"/>
      <c r="R10" s="439"/>
      <c r="S10" s="565"/>
      <c r="T10" s="438"/>
      <c r="U10" s="439"/>
      <c r="V10" s="565"/>
      <c r="W10" s="438"/>
      <c r="X10" s="439"/>
      <c r="Y10" s="565"/>
      <c r="Z10" s="438"/>
      <c r="AA10" s="439"/>
      <c r="AB10" s="565"/>
      <c r="AC10" s="567"/>
      <c r="AD10" s="567"/>
      <c r="AE10" s="567"/>
      <c r="AF10" s="567"/>
      <c r="AG10" s="567"/>
      <c r="AH10" s="565"/>
      <c r="AI10" s="439"/>
      <c r="AJ10" s="439"/>
      <c r="AK10" s="565"/>
      <c r="AL10" s="552"/>
      <c r="AM10" s="552"/>
      <c r="AN10" s="552"/>
      <c r="AO10" s="552"/>
    </row>
    <row r="11" spans="1:41" ht="18.75" customHeight="1" x14ac:dyDescent="0.35">
      <c r="A11" s="535" t="s">
        <v>325</v>
      </c>
      <c r="B11" s="690"/>
      <c r="C11" s="693"/>
      <c r="D11" s="453"/>
      <c r="E11" s="432"/>
      <c r="F11" s="433"/>
      <c r="G11" s="453"/>
      <c r="H11" s="432"/>
      <c r="I11" s="433"/>
      <c r="J11" s="453"/>
      <c r="K11" s="432"/>
      <c r="L11" s="433"/>
      <c r="M11" s="443"/>
      <c r="N11" s="433"/>
      <c r="O11" s="433"/>
      <c r="P11" s="453"/>
      <c r="Q11" s="432"/>
      <c r="R11" s="433"/>
      <c r="S11" s="453"/>
      <c r="T11" s="432"/>
      <c r="U11" s="433"/>
      <c r="V11" s="453"/>
      <c r="W11" s="432"/>
      <c r="X11" s="433"/>
      <c r="Y11" s="453"/>
      <c r="Z11" s="432"/>
      <c r="AA11" s="433"/>
      <c r="AB11" s="453"/>
      <c r="AC11" s="443"/>
      <c r="AD11" s="443"/>
      <c r="AE11" s="443"/>
      <c r="AF11" s="443"/>
      <c r="AG11" s="443"/>
      <c r="AH11" s="453"/>
      <c r="AI11" s="433"/>
      <c r="AJ11" s="433"/>
      <c r="AK11" s="453"/>
      <c r="AL11" s="552"/>
      <c r="AM11" s="552"/>
      <c r="AN11" s="552"/>
      <c r="AO11" s="552"/>
    </row>
    <row r="12" spans="1:41" ht="18.75" customHeight="1" x14ac:dyDescent="0.35">
      <c r="A12" s="750" t="s">
        <v>497</v>
      </c>
      <c r="B12" s="691">
        <v>487</v>
      </c>
      <c r="C12" s="692">
        <v>577.25300000000004</v>
      </c>
      <c r="D12" s="452">
        <f t="shared" ref="D12:D17" si="0">IF(B12=0, "    ---- ", IF(ABS(ROUND(100/B12*C12-100,1))&lt;999,ROUND(100/B12*C12-100,1),IF(ROUND(100/B12*C12-100,1)&gt;999,999,-999)))</f>
        <v>18.5</v>
      </c>
      <c r="E12" s="434"/>
      <c r="F12" s="435"/>
      <c r="G12" s="452"/>
      <c r="H12" s="434"/>
      <c r="I12" s="435"/>
      <c r="J12" s="452"/>
      <c r="K12" s="434"/>
      <c r="L12" s="435"/>
      <c r="M12" s="441"/>
      <c r="N12" s="435"/>
      <c r="O12" s="435"/>
      <c r="P12" s="452"/>
      <c r="Q12" s="434">
        <v>188.33687775024063</v>
      </c>
      <c r="R12" s="435">
        <v>332.52660053056019</v>
      </c>
      <c r="S12" s="452">
        <f t="shared" ref="S12:S22" si="1">IF(Q12=0, "    ---- ", IF(ABS(ROUND(100/Q12*R12-100,1))&lt;999,ROUND(100/Q12*R12-100,1),IF(ROUND(100/Q12*R12-100,1)&gt;999,999,-999)))</f>
        <v>76.599999999999994</v>
      </c>
      <c r="T12" s="434"/>
      <c r="U12" s="435"/>
      <c r="V12" s="452"/>
      <c r="W12" s="434">
        <v>79</v>
      </c>
      <c r="X12" s="435">
        <v>97</v>
      </c>
      <c r="Y12" s="452">
        <f>IF(W12=0, "    ---- ", IF(ABS(ROUND(100/W12*X12-100,1))&lt;999,ROUND(100/W12*X12-100,1),IF(ROUND(100/W12*X12-100,1)&gt;999,999,-999)))</f>
        <v>22.8</v>
      </c>
      <c r="Z12" s="434">
        <v>502.73094960999998</v>
      </c>
      <c r="AA12" s="435">
        <v>720.13580439999998</v>
      </c>
      <c r="AB12" s="452">
        <f t="shared" ref="AB12:AB22" si="2">IF(Z12=0, "    ---- ", IF(ABS(ROUND(100/Z12*AA12-100,1))&lt;999,ROUND(100/Z12*AA12-100,1),IF(ROUND(100/Z12*AA12-100,1)&gt;999,999,-999)))</f>
        <v>43.2</v>
      </c>
      <c r="AC12" s="441"/>
      <c r="AD12" s="441"/>
      <c r="AE12" s="441"/>
      <c r="AF12" s="441">
        <f>B12+E12+H12+K12+N12+Q12+T12+W12+Z12</f>
        <v>1257.0678273602407</v>
      </c>
      <c r="AG12" s="441">
        <f>C12+F12+I12+L12+O12+R12+U12+X12+AA12</f>
        <v>1726.9154049305603</v>
      </c>
      <c r="AH12" s="452">
        <f t="shared" ref="AH12:AH43" si="3">IF(AF12=0, "    ---- ", IF(ABS(ROUND(100/AF12*AG12-100,1))&lt;999,ROUND(100/AF12*AG12-100,1),IF(ROUND(100/AF12*AG12-100,1)&gt;999,999,-999)))</f>
        <v>37.4</v>
      </c>
      <c r="AI12" s="435">
        <f>B12+E12+H12+K12+N12+Q12+T12+W12+Z12+AC12</f>
        <v>1257.0678273602407</v>
      </c>
      <c r="AJ12" s="435">
        <f>C12+F12+I12+L12+O12+R12+U12+X12+AA12+AD12</f>
        <v>1726.9154049305603</v>
      </c>
      <c r="AK12" s="452">
        <f t="shared" ref="AK12:AK43" si="4">IF(AI12=0, "    ---- ", IF(ABS(ROUND(100/AI12*AJ12-100,1))&lt;999,ROUND(100/AI12*AJ12-100,1),IF(ROUND(100/AI12*AJ12-100,1)&gt;999,999,-999)))</f>
        <v>37.4</v>
      </c>
      <c r="AL12" s="552"/>
      <c r="AM12" s="552"/>
      <c r="AN12" s="552"/>
      <c r="AO12" s="552"/>
    </row>
    <row r="13" spans="1:41" ht="18.75" customHeight="1" x14ac:dyDescent="0.35">
      <c r="A13" s="421" t="s">
        <v>498</v>
      </c>
      <c r="B13" s="694">
        <v>-142</v>
      </c>
      <c r="C13" s="699">
        <v>-50.1</v>
      </c>
      <c r="D13" s="452">
        <f t="shared" si="0"/>
        <v>-64.7</v>
      </c>
      <c r="E13" s="434"/>
      <c r="F13" s="435"/>
      <c r="G13" s="452"/>
      <c r="H13" s="434"/>
      <c r="I13" s="435"/>
      <c r="J13" s="452"/>
      <c r="K13" s="434"/>
      <c r="L13" s="435"/>
      <c r="M13" s="441"/>
      <c r="N13" s="435"/>
      <c r="O13" s="435"/>
      <c r="P13" s="452"/>
      <c r="Q13" s="434">
        <v>-72.467974999999996</v>
      </c>
      <c r="R13" s="435">
        <v>-99.757898999999995</v>
      </c>
      <c r="S13" s="452">
        <f t="shared" si="1"/>
        <v>37.700000000000003</v>
      </c>
      <c r="T13" s="434"/>
      <c r="U13" s="435"/>
      <c r="V13" s="452"/>
      <c r="W13" s="434">
        <v>-42</v>
      </c>
      <c r="X13" s="435">
        <v>-28</v>
      </c>
      <c r="Y13" s="452">
        <f>IF(W13=0, "    ---- ", IF(ABS(ROUND(100/W13*X13-100,1))&lt;999,ROUND(100/W13*X13-100,1),IF(ROUND(100/W13*X13-100,1)&gt;999,999,-999)))</f>
        <v>-33.299999999999997</v>
      </c>
      <c r="Z13" s="434">
        <v>-427.65456399999999</v>
      </c>
      <c r="AA13" s="435">
        <v>-371.176782</v>
      </c>
      <c r="AB13" s="452">
        <f t="shared" si="2"/>
        <v>-13.2</v>
      </c>
      <c r="AC13" s="441"/>
      <c r="AD13" s="441"/>
      <c r="AE13" s="441"/>
      <c r="AF13" s="441">
        <f>B13+E13+H13+K13+N13+Q13+T13+W13+Z13</f>
        <v>-684.12253899999996</v>
      </c>
      <c r="AG13" s="441">
        <f>C13+F13+I13+L13+O13+R13+U13+X13+AA13</f>
        <v>-549.03468099999998</v>
      </c>
      <c r="AH13" s="452">
        <f t="shared" ref="AH13" si="5">IF(AF13=0, "    ---- ", IF(ABS(ROUND(100/AF13*AG13-100,1))&lt;999,ROUND(100/AF13*AG13-100,1),IF(ROUND(100/AF13*AG13-100,1)&gt;999,999,-999)))</f>
        <v>-19.7</v>
      </c>
      <c r="AI13" s="435">
        <f>B13+E13+H13+K13+N13+Q13+T13+W13+Z13+AC13</f>
        <v>-684.12253899999996</v>
      </c>
      <c r="AJ13" s="435">
        <f>C13+F13+I13+L13+O13+R13+U13+X13+AA13+AD13</f>
        <v>-549.03468099999998</v>
      </c>
      <c r="AK13" s="452">
        <f t="shared" ref="AK13" si="6">IF(AI13=0, "    ---- ", IF(ABS(ROUND(100/AI13*AJ13-100,1))&lt;999,ROUND(100/AI13*AJ13-100,1),IF(ROUND(100/AI13*AJ13-100,1)&gt;999,999,-999)))</f>
        <v>-19.7</v>
      </c>
      <c r="AL13" s="552"/>
      <c r="AM13" s="552"/>
      <c r="AN13" s="552"/>
      <c r="AO13" s="552"/>
    </row>
    <row r="14" spans="1:41" ht="18.75" customHeight="1" x14ac:dyDescent="0.35">
      <c r="A14" s="421" t="s">
        <v>307</v>
      </c>
      <c r="B14" s="691">
        <v>-6</v>
      </c>
      <c r="C14" s="692">
        <v>-4.8259999999999996</v>
      </c>
      <c r="D14" s="452">
        <f t="shared" si="0"/>
        <v>-19.600000000000001</v>
      </c>
      <c r="E14" s="434"/>
      <c r="F14" s="435"/>
      <c r="G14" s="452"/>
      <c r="H14" s="434"/>
      <c r="I14" s="435"/>
      <c r="J14" s="452"/>
      <c r="K14" s="434"/>
      <c r="L14" s="435"/>
      <c r="M14" s="441"/>
      <c r="N14" s="435"/>
      <c r="O14" s="435"/>
      <c r="P14" s="452"/>
      <c r="Q14" s="434">
        <v>7.4737153700664196</v>
      </c>
      <c r="R14" s="435">
        <v>1.4393548183300198</v>
      </c>
      <c r="S14" s="452">
        <f t="shared" si="1"/>
        <v>-80.7</v>
      </c>
      <c r="T14" s="434"/>
      <c r="U14" s="435"/>
      <c r="V14" s="452"/>
      <c r="W14" s="434">
        <v>-15</v>
      </c>
      <c r="X14" s="435">
        <v>-13</v>
      </c>
      <c r="Y14" s="452">
        <f>IF(W14=0, "    ---- ", IF(ABS(ROUND(100/W14*X14-100,1))&lt;999,ROUND(100/W14*X14-100,1),IF(ROUND(100/W14*X14-100,1)&gt;999,999,-999)))</f>
        <v>-13.3</v>
      </c>
      <c r="Z14" s="434">
        <v>-37.734900240000002</v>
      </c>
      <c r="AA14" s="435">
        <v>-22.38805116</v>
      </c>
      <c r="AB14" s="452">
        <f t="shared" si="2"/>
        <v>-40.700000000000003</v>
      </c>
      <c r="AC14" s="441"/>
      <c r="AD14" s="441"/>
      <c r="AE14" s="441"/>
      <c r="AF14" s="441">
        <f t="shared" ref="AF14:AG22" si="7">B14+E14+H14+K14+N14+Q14+T14+W14+Z14</f>
        <v>-51.261184869933587</v>
      </c>
      <c r="AG14" s="441">
        <f t="shared" si="7"/>
        <v>-38.77469634166998</v>
      </c>
      <c r="AH14" s="452">
        <f t="shared" si="3"/>
        <v>-24.4</v>
      </c>
      <c r="AI14" s="435">
        <f t="shared" ref="AI14:AJ22" si="8">B14+E14+H14+K14+N14+Q14+T14+W14+Z14+AC14</f>
        <v>-51.261184869933587</v>
      </c>
      <c r="AJ14" s="435">
        <f t="shared" si="8"/>
        <v>-38.77469634166998</v>
      </c>
      <c r="AK14" s="452">
        <f t="shared" si="4"/>
        <v>-24.4</v>
      </c>
      <c r="AL14" s="552"/>
      <c r="AM14" s="552"/>
      <c r="AN14" s="552"/>
      <c r="AO14" s="552"/>
    </row>
    <row r="15" spans="1:41" ht="18.75" customHeight="1" x14ac:dyDescent="0.35">
      <c r="A15" s="421" t="s">
        <v>308</v>
      </c>
      <c r="B15" s="691">
        <v>18</v>
      </c>
      <c r="C15" s="692">
        <v>17.526</v>
      </c>
      <c r="D15" s="452">
        <f t="shared" si="0"/>
        <v>-2.6</v>
      </c>
      <c r="E15" s="434"/>
      <c r="F15" s="435"/>
      <c r="G15" s="452"/>
      <c r="H15" s="434"/>
      <c r="I15" s="435"/>
      <c r="J15" s="452"/>
      <c r="K15" s="434"/>
      <c r="L15" s="435"/>
      <c r="M15" s="441"/>
      <c r="N15" s="435"/>
      <c r="O15" s="435"/>
      <c r="P15" s="452"/>
      <c r="Q15" s="434">
        <v>0.37310280000000007</v>
      </c>
      <c r="R15" s="435">
        <v>0.3235672</v>
      </c>
      <c r="S15" s="452">
        <f t="shared" si="1"/>
        <v>-13.3</v>
      </c>
      <c r="T15" s="434"/>
      <c r="U15" s="435"/>
      <c r="V15" s="452"/>
      <c r="W15" s="434"/>
      <c r="X15" s="435"/>
      <c r="Y15" s="452"/>
      <c r="Z15" s="434">
        <v>26.419104000000001</v>
      </c>
      <c r="AA15" s="435">
        <v>24.894836569999999</v>
      </c>
      <c r="AB15" s="452">
        <f t="shared" si="2"/>
        <v>-5.8</v>
      </c>
      <c r="AC15" s="441"/>
      <c r="AD15" s="441"/>
      <c r="AE15" s="441"/>
      <c r="AF15" s="441">
        <f t="shared" si="7"/>
        <v>44.792206800000002</v>
      </c>
      <c r="AG15" s="441">
        <f t="shared" si="7"/>
        <v>42.744403769999998</v>
      </c>
      <c r="AH15" s="452">
        <f t="shared" si="3"/>
        <v>-4.5999999999999996</v>
      </c>
      <c r="AI15" s="435">
        <f t="shared" si="8"/>
        <v>44.792206800000002</v>
      </c>
      <c r="AJ15" s="435">
        <f t="shared" si="8"/>
        <v>42.744403769999998</v>
      </c>
      <c r="AK15" s="452">
        <f t="shared" si="4"/>
        <v>-4.5999999999999996</v>
      </c>
      <c r="AL15" s="552"/>
      <c r="AM15" s="552"/>
      <c r="AN15" s="552"/>
      <c r="AO15" s="552"/>
    </row>
    <row r="16" spans="1:41" ht="18.75" customHeight="1" x14ac:dyDescent="0.35">
      <c r="A16" s="421" t="s">
        <v>309</v>
      </c>
      <c r="B16" s="691">
        <v>105</v>
      </c>
      <c r="C16" s="692">
        <v>104.282</v>
      </c>
      <c r="D16" s="452">
        <f t="shared" si="0"/>
        <v>-0.7</v>
      </c>
      <c r="E16" s="434"/>
      <c r="F16" s="435"/>
      <c r="G16" s="452"/>
      <c r="H16" s="434"/>
      <c r="I16" s="435"/>
      <c r="J16" s="452"/>
      <c r="K16" s="434"/>
      <c r="L16" s="435"/>
      <c r="M16" s="441"/>
      <c r="N16" s="435"/>
      <c r="O16" s="435"/>
      <c r="P16" s="452"/>
      <c r="Q16" s="434">
        <v>53.841537000000002</v>
      </c>
      <c r="R16" s="435">
        <v>53.822136</v>
      </c>
      <c r="S16" s="452">
        <f t="shared" si="1"/>
        <v>0</v>
      </c>
      <c r="T16" s="434"/>
      <c r="U16" s="435"/>
      <c r="V16" s="452"/>
      <c r="W16" s="434">
        <v>21</v>
      </c>
      <c r="X16" s="435">
        <v>20</v>
      </c>
      <c r="Y16" s="452">
        <f>IF(W16=0, "    ---- ", IF(ABS(ROUND(100/W16*X16-100,1))&lt;999,ROUND(100/W16*X16-100,1),IF(ROUND(100/W16*X16-100,1)&gt;999,999,-999)))</f>
        <v>-4.8</v>
      </c>
      <c r="Z16" s="434">
        <v>171.20958400000001</v>
      </c>
      <c r="AA16" s="435">
        <v>168.24337600000001</v>
      </c>
      <c r="AB16" s="452">
        <f t="shared" si="2"/>
        <v>-1.7</v>
      </c>
      <c r="AC16" s="441"/>
      <c r="AD16" s="441"/>
      <c r="AE16" s="441"/>
      <c r="AF16" s="441">
        <f t="shared" si="7"/>
        <v>351.05112100000002</v>
      </c>
      <c r="AG16" s="441">
        <f t="shared" si="7"/>
        <v>346.34751199999999</v>
      </c>
      <c r="AH16" s="452">
        <f t="shared" si="3"/>
        <v>-1.3</v>
      </c>
      <c r="AI16" s="435">
        <f t="shared" si="8"/>
        <v>351.05112100000002</v>
      </c>
      <c r="AJ16" s="435">
        <f t="shared" si="8"/>
        <v>346.34751199999999</v>
      </c>
      <c r="AK16" s="452">
        <f t="shared" si="4"/>
        <v>-1.3</v>
      </c>
      <c r="AL16" s="552"/>
      <c r="AM16" s="552"/>
      <c r="AN16" s="552"/>
      <c r="AO16" s="552"/>
    </row>
    <row r="17" spans="1:41" ht="18.75" customHeight="1" x14ac:dyDescent="0.35">
      <c r="A17" s="421" t="s">
        <v>310</v>
      </c>
      <c r="B17" s="691">
        <v>-40</v>
      </c>
      <c r="C17" s="692">
        <v>92.465999999999994</v>
      </c>
      <c r="D17" s="452">
        <f t="shared" si="0"/>
        <v>-331.2</v>
      </c>
      <c r="E17" s="434"/>
      <c r="F17" s="435"/>
      <c r="G17" s="452"/>
      <c r="H17" s="434"/>
      <c r="I17" s="435"/>
      <c r="J17" s="452"/>
      <c r="K17" s="434"/>
      <c r="L17" s="435"/>
      <c r="M17" s="441"/>
      <c r="N17" s="435"/>
      <c r="O17" s="435"/>
      <c r="P17" s="452"/>
      <c r="Q17" s="434">
        <v>-12.173101023872359</v>
      </c>
      <c r="R17" s="435">
        <v>-17.989589938656561</v>
      </c>
      <c r="S17" s="452">
        <f t="shared" si="1"/>
        <v>47.8</v>
      </c>
      <c r="T17" s="434"/>
      <c r="U17" s="435"/>
      <c r="V17" s="452"/>
      <c r="W17" s="434">
        <v>3</v>
      </c>
      <c r="X17" s="435">
        <v>5</v>
      </c>
      <c r="Y17" s="452">
        <f>IF(W17=0, "    ---- ", IF(ABS(ROUND(100/W17*X17-100,1))&lt;999,ROUND(100/W17*X17-100,1),IF(ROUND(100/W17*X17-100,1)&gt;999,999,-999)))</f>
        <v>66.7</v>
      </c>
      <c r="Z17" s="434">
        <v>71.265214839999999</v>
      </c>
      <c r="AA17" s="435">
        <v>35.616242600000007</v>
      </c>
      <c r="AB17" s="452">
        <f t="shared" si="2"/>
        <v>-50</v>
      </c>
      <c r="AC17" s="441"/>
      <c r="AD17" s="441"/>
      <c r="AE17" s="441"/>
      <c r="AF17" s="441">
        <f t="shared" si="7"/>
        <v>22.092113816127636</v>
      </c>
      <c r="AG17" s="441">
        <f t="shared" si="7"/>
        <v>115.09265266134344</v>
      </c>
      <c r="AH17" s="452">
        <f t="shared" si="3"/>
        <v>421</v>
      </c>
      <c r="AI17" s="435">
        <f t="shared" si="8"/>
        <v>22.092113816127636</v>
      </c>
      <c r="AJ17" s="435">
        <f t="shared" si="8"/>
        <v>115.09265266134344</v>
      </c>
      <c r="AK17" s="452">
        <f t="shared" si="4"/>
        <v>421</v>
      </c>
      <c r="AL17" s="552"/>
      <c r="AM17" s="552"/>
      <c r="AN17" s="552"/>
      <c r="AO17" s="552"/>
    </row>
    <row r="18" spans="1:41" ht="18.75" customHeight="1" x14ac:dyDescent="0.35">
      <c r="A18" s="421" t="s">
        <v>311</v>
      </c>
      <c r="B18" s="691"/>
      <c r="C18" s="692"/>
      <c r="D18" s="452"/>
      <c r="E18" s="434"/>
      <c r="F18" s="435"/>
      <c r="G18" s="452"/>
      <c r="H18" s="434"/>
      <c r="I18" s="435"/>
      <c r="J18" s="452"/>
      <c r="K18" s="434"/>
      <c r="L18" s="435"/>
      <c r="M18" s="441"/>
      <c r="N18" s="435"/>
      <c r="O18" s="435"/>
      <c r="P18" s="452"/>
      <c r="Q18" s="434">
        <v>32.971558965858193</v>
      </c>
      <c r="R18" s="435">
        <v>45.647779606021864</v>
      </c>
      <c r="S18" s="452">
        <f t="shared" si="1"/>
        <v>38.4</v>
      </c>
      <c r="T18" s="434"/>
      <c r="U18" s="435"/>
      <c r="V18" s="452"/>
      <c r="W18" s="434"/>
      <c r="X18" s="435"/>
      <c r="Y18" s="452"/>
      <c r="Z18" s="434">
        <v>38.254316000000003</v>
      </c>
      <c r="AA18" s="435">
        <v>21.374611000000002</v>
      </c>
      <c r="AB18" s="452">
        <f t="shared" si="2"/>
        <v>-44.1</v>
      </c>
      <c r="AC18" s="441"/>
      <c r="AD18" s="441"/>
      <c r="AE18" s="441"/>
      <c r="AF18" s="441">
        <f t="shared" si="7"/>
        <v>71.225874965858196</v>
      </c>
      <c r="AG18" s="441">
        <f t="shared" si="7"/>
        <v>67.022390606021872</v>
      </c>
      <c r="AH18" s="452">
        <f t="shared" si="3"/>
        <v>-5.9</v>
      </c>
      <c r="AI18" s="435">
        <f t="shared" si="8"/>
        <v>71.225874965858196</v>
      </c>
      <c r="AJ18" s="435">
        <f t="shared" si="8"/>
        <v>67.022390606021872</v>
      </c>
      <c r="AK18" s="452">
        <f t="shared" si="4"/>
        <v>-5.9</v>
      </c>
      <c r="AL18" s="552"/>
      <c r="AM18" s="552"/>
      <c r="AN18" s="552"/>
      <c r="AO18" s="552"/>
    </row>
    <row r="19" spans="1:41" ht="18.75" customHeight="1" x14ac:dyDescent="0.35">
      <c r="A19" s="421" t="s">
        <v>312</v>
      </c>
      <c r="B19" s="691"/>
      <c r="C19" s="692"/>
      <c r="D19" s="452"/>
      <c r="E19" s="434"/>
      <c r="F19" s="435"/>
      <c r="G19" s="452"/>
      <c r="H19" s="434"/>
      <c r="I19" s="435"/>
      <c r="J19" s="452"/>
      <c r="K19" s="434"/>
      <c r="L19" s="435"/>
      <c r="M19" s="441"/>
      <c r="N19" s="435"/>
      <c r="O19" s="435"/>
      <c r="P19" s="452"/>
      <c r="Q19" s="434"/>
      <c r="R19" s="435"/>
      <c r="S19" s="452"/>
      <c r="T19" s="434"/>
      <c r="U19" s="435"/>
      <c r="V19" s="452"/>
      <c r="W19" s="434"/>
      <c r="X19" s="435"/>
      <c r="Y19" s="452"/>
      <c r="Z19" s="434">
        <v>0.36526700000000001</v>
      </c>
      <c r="AA19" s="435">
        <v>-5.2741999999999997E-2</v>
      </c>
      <c r="AB19" s="452">
        <f t="shared" si="2"/>
        <v>-114.4</v>
      </c>
      <c r="AC19" s="441"/>
      <c r="AD19" s="441"/>
      <c r="AE19" s="441"/>
      <c r="AF19" s="441">
        <f t="shared" si="7"/>
        <v>0.36526700000000001</v>
      </c>
      <c r="AG19" s="441">
        <f t="shared" si="7"/>
        <v>-5.2741999999999997E-2</v>
      </c>
      <c r="AH19" s="452">
        <f t="shared" si="3"/>
        <v>-114.4</v>
      </c>
      <c r="AI19" s="435">
        <f t="shared" si="8"/>
        <v>0.36526700000000001</v>
      </c>
      <c r="AJ19" s="435">
        <f t="shared" si="8"/>
        <v>-5.2741999999999997E-2</v>
      </c>
      <c r="AK19" s="452">
        <f t="shared" si="4"/>
        <v>-114.4</v>
      </c>
      <c r="AL19" s="552"/>
      <c r="AM19" s="552"/>
      <c r="AN19" s="552"/>
      <c r="AO19" s="552"/>
    </row>
    <row r="20" spans="1:41" s="568" customFormat="1" ht="18.75" customHeight="1" x14ac:dyDescent="0.3">
      <c r="A20" s="535" t="s">
        <v>313</v>
      </c>
      <c r="B20" s="690">
        <f>SUM(B12:B17)+B19</f>
        <v>422</v>
      </c>
      <c r="C20" s="693">
        <f>SUM(C12:C17)+C19</f>
        <v>736.601</v>
      </c>
      <c r="D20" s="453">
        <f>IF(B20=0, "    ---- ", IF(ABS(ROUND(100/B20*C20-100,1))&lt;999,ROUND(100/B20*C20-100,1),IF(ROUND(100/B20*C20-100,1)&gt;999,999,-999)))</f>
        <v>74.599999999999994</v>
      </c>
      <c r="E20" s="432"/>
      <c r="F20" s="433"/>
      <c r="G20" s="453"/>
      <c r="H20" s="432"/>
      <c r="I20" s="433"/>
      <c r="J20" s="453"/>
      <c r="K20" s="432"/>
      <c r="L20" s="433"/>
      <c r="M20" s="443"/>
      <c r="N20" s="433"/>
      <c r="O20" s="433"/>
      <c r="P20" s="453"/>
      <c r="Q20" s="432">
        <f>SUM(Q12:Q17)+Q19</f>
        <v>165.38415689643469</v>
      </c>
      <c r="R20" s="433">
        <f>SUM(R12:R17)+R19</f>
        <v>270.36416961023372</v>
      </c>
      <c r="S20" s="453">
        <f t="shared" si="1"/>
        <v>63.5</v>
      </c>
      <c r="T20" s="432"/>
      <c r="U20" s="433"/>
      <c r="V20" s="453"/>
      <c r="W20" s="432">
        <f>SUM(W12:W17)+W19</f>
        <v>46</v>
      </c>
      <c r="X20" s="433">
        <f>SUM(X12:X17)+X19</f>
        <v>81</v>
      </c>
      <c r="Y20" s="453">
        <f>IF(W20=0, "    ---- ", IF(ABS(ROUND(100/W20*X20-100,1))&lt;999,ROUND(100/W20*X20-100,1),IF(ROUND(100/W20*X20-100,1)&gt;999,999,-999)))</f>
        <v>76.099999999999994</v>
      </c>
      <c r="Z20" s="432">
        <f>SUM(Z12:Z17)+Z19</f>
        <v>306.60065521000001</v>
      </c>
      <c r="AA20" s="433">
        <f>SUM(AA12:AA17)+AA19</f>
        <v>555.27268441000001</v>
      </c>
      <c r="AB20" s="453">
        <f t="shared" si="2"/>
        <v>81.099999999999994</v>
      </c>
      <c r="AC20" s="443"/>
      <c r="AD20" s="443"/>
      <c r="AE20" s="443"/>
      <c r="AF20" s="443">
        <f t="shared" si="7"/>
        <v>939.98481210643467</v>
      </c>
      <c r="AG20" s="443">
        <f t="shared" si="7"/>
        <v>1643.2378540202337</v>
      </c>
      <c r="AH20" s="453">
        <f t="shared" si="3"/>
        <v>74.8</v>
      </c>
      <c r="AI20" s="433">
        <f t="shared" si="8"/>
        <v>939.98481210643467</v>
      </c>
      <c r="AJ20" s="433">
        <f t="shared" si="8"/>
        <v>1643.2378540202337</v>
      </c>
      <c r="AK20" s="453">
        <f t="shared" si="4"/>
        <v>74.8</v>
      </c>
      <c r="AL20" s="555"/>
      <c r="AM20" s="555"/>
      <c r="AN20" s="555"/>
      <c r="AO20" s="555"/>
    </row>
    <row r="21" spans="1:41" ht="18.75" customHeight="1" x14ac:dyDescent="0.35">
      <c r="A21" s="421" t="s">
        <v>314</v>
      </c>
      <c r="B21" s="691">
        <v>350</v>
      </c>
      <c r="C21" s="692">
        <v>532.29700000000003</v>
      </c>
      <c r="D21" s="452">
        <f>IF(B21=0, "    ---- ", IF(ABS(ROUND(100/B21*C21-100,1))&lt;999,ROUND(100/B21*C21-100,1),IF(ROUND(100/B21*C21-100,1)&gt;999,999,-999)))</f>
        <v>52.1</v>
      </c>
      <c r="E21" s="434"/>
      <c r="F21" s="435"/>
      <c r="G21" s="452"/>
      <c r="H21" s="434"/>
      <c r="I21" s="435"/>
      <c r="J21" s="452"/>
      <c r="K21" s="434"/>
      <c r="L21" s="435"/>
      <c r="M21" s="441"/>
      <c r="N21" s="435"/>
      <c r="O21" s="435"/>
      <c r="P21" s="452"/>
      <c r="Q21" s="434">
        <v>114.60090942638661</v>
      </c>
      <c r="R21" s="435">
        <v>241.61752863600569</v>
      </c>
      <c r="S21" s="452">
        <f t="shared" si="1"/>
        <v>110.8</v>
      </c>
      <c r="T21" s="434"/>
      <c r="U21" s="435"/>
      <c r="V21" s="452"/>
      <c r="W21" s="434">
        <v>38</v>
      </c>
      <c r="X21" s="435">
        <v>70</v>
      </c>
      <c r="Y21" s="452">
        <f>IF(W21=0, "    ---- ", IF(ABS(ROUND(100/W21*X21-100,1))&lt;999,ROUND(100/W21*X21-100,1),IF(ROUND(100/W21*X21-100,1)&gt;999,999,-999)))</f>
        <v>84.2</v>
      </c>
      <c r="Z21" s="434">
        <v>111.410338</v>
      </c>
      <c r="AA21" s="435">
        <v>365.277537</v>
      </c>
      <c r="AB21" s="452">
        <f t="shared" si="2"/>
        <v>227.9</v>
      </c>
      <c r="AC21" s="441"/>
      <c r="AD21" s="441"/>
      <c r="AE21" s="441"/>
      <c r="AF21" s="441">
        <f t="shared" si="7"/>
        <v>614.0112474263866</v>
      </c>
      <c r="AG21" s="441">
        <f t="shared" si="7"/>
        <v>1209.1920656360057</v>
      </c>
      <c r="AH21" s="452">
        <f t="shared" si="3"/>
        <v>96.9</v>
      </c>
      <c r="AI21" s="435">
        <f t="shared" si="8"/>
        <v>614.0112474263866</v>
      </c>
      <c r="AJ21" s="435">
        <f t="shared" si="8"/>
        <v>1209.1920656360057</v>
      </c>
      <c r="AK21" s="452">
        <f t="shared" si="4"/>
        <v>96.9</v>
      </c>
      <c r="AL21" s="552"/>
      <c r="AM21" s="552"/>
      <c r="AN21" s="552"/>
      <c r="AO21" s="552"/>
    </row>
    <row r="22" spans="1:41" ht="18.75" customHeight="1" x14ac:dyDescent="0.35">
      <c r="A22" s="421" t="s">
        <v>315</v>
      </c>
      <c r="B22" s="691">
        <v>72</v>
      </c>
      <c r="C22" s="692">
        <v>204.30500000000001</v>
      </c>
      <c r="D22" s="452">
        <f>IF(B22=0, "    ---- ", IF(ABS(ROUND(100/B22*C22-100,1))&lt;999,ROUND(100/B22*C22-100,1),IF(ROUND(100/B22*C22-100,1)&gt;999,999,-999)))</f>
        <v>183.8</v>
      </c>
      <c r="E22" s="434"/>
      <c r="F22" s="435"/>
      <c r="G22" s="452"/>
      <c r="H22" s="434"/>
      <c r="I22" s="435"/>
      <c r="J22" s="452"/>
      <c r="K22" s="434"/>
      <c r="L22" s="435"/>
      <c r="M22" s="441"/>
      <c r="N22" s="435"/>
      <c r="O22" s="435"/>
      <c r="P22" s="452"/>
      <c r="Q22" s="434">
        <v>50.783247470048082</v>
      </c>
      <c r="R22" s="435">
        <v>28.746640974228029</v>
      </c>
      <c r="S22" s="452">
        <f t="shared" si="1"/>
        <v>-43.4</v>
      </c>
      <c r="T22" s="434"/>
      <c r="U22" s="435"/>
      <c r="V22" s="452"/>
      <c r="W22" s="434">
        <v>8</v>
      </c>
      <c r="X22" s="435">
        <v>11</v>
      </c>
      <c r="Y22" s="452">
        <f>IF(W22=0, "    ---- ", IF(ABS(ROUND(100/W22*X22-100,1))&lt;999,ROUND(100/W22*X22-100,1),IF(ROUND(100/W22*X22-100,1)&gt;999,999,-999)))</f>
        <v>37.5</v>
      </c>
      <c r="Z22" s="434">
        <v>195.19031720999999</v>
      </c>
      <c r="AA22" s="435">
        <v>189.99514741000002</v>
      </c>
      <c r="AB22" s="452">
        <f t="shared" si="2"/>
        <v>-2.7</v>
      </c>
      <c r="AC22" s="441"/>
      <c r="AD22" s="441"/>
      <c r="AE22" s="441"/>
      <c r="AF22" s="441">
        <f t="shared" si="7"/>
        <v>325.97356468004807</v>
      </c>
      <c r="AG22" s="441">
        <f t="shared" si="7"/>
        <v>434.04678838422808</v>
      </c>
      <c r="AH22" s="452">
        <f t="shared" si="3"/>
        <v>33.200000000000003</v>
      </c>
      <c r="AI22" s="435">
        <f t="shared" si="8"/>
        <v>325.97356468004807</v>
      </c>
      <c r="AJ22" s="435">
        <f t="shared" si="8"/>
        <v>434.04678838422808</v>
      </c>
      <c r="AK22" s="452">
        <f t="shared" si="4"/>
        <v>33.200000000000003</v>
      </c>
      <c r="AL22" s="552"/>
      <c r="AM22" s="552"/>
      <c r="AN22" s="552"/>
      <c r="AO22" s="552"/>
    </row>
    <row r="23" spans="1:41" ht="18.75" customHeight="1" x14ac:dyDescent="0.35">
      <c r="A23" s="535" t="s">
        <v>326</v>
      </c>
      <c r="B23" s="690"/>
      <c r="C23" s="693"/>
      <c r="D23" s="453"/>
      <c r="E23" s="432"/>
      <c r="F23" s="433"/>
      <c r="G23" s="453"/>
      <c r="H23" s="432"/>
      <c r="I23" s="433"/>
      <c r="J23" s="453"/>
      <c r="K23" s="432"/>
      <c r="L23" s="433"/>
      <c r="M23" s="443"/>
      <c r="N23" s="433"/>
      <c r="O23" s="433"/>
      <c r="P23" s="453"/>
      <c r="Q23" s="432"/>
      <c r="R23" s="433"/>
      <c r="S23" s="453"/>
      <c r="T23" s="432"/>
      <c r="U23" s="433"/>
      <c r="V23" s="453"/>
      <c r="W23" s="432"/>
      <c r="X23" s="433"/>
      <c r="Y23" s="453"/>
      <c r="Z23" s="432"/>
      <c r="AA23" s="433"/>
      <c r="AB23" s="453"/>
      <c r="AC23" s="443"/>
      <c r="AD23" s="443"/>
      <c r="AE23" s="443"/>
      <c r="AF23" s="441"/>
      <c r="AG23" s="441"/>
      <c r="AH23" s="453"/>
      <c r="AI23" s="435"/>
      <c r="AJ23" s="435"/>
      <c r="AK23" s="453"/>
      <c r="AL23" s="552"/>
      <c r="AM23" s="552"/>
      <c r="AN23" s="552"/>
      <c r="AO23" s="552"/>
    </row>
    <row r="24" spans="1:41" ht="18.75" customHeight="1" x14ac:dyDescent="0.35">
      <c r="A24" s="750" t="s">
        <v>497</v>
      </c>
      <c r="B24" s="691"/>
      <c r="C24" s="692"/>
      <c r="D24" s="452"/>
      <c r="E24" s="434"/>
      <c r="F24" s="435"/>
      <c r="G24" s="452"/>
      <c r="H24" s="434"/>
      <c r="I24" s="435"/>
      <c r="J24" s="452"/>
      <c r="K24" s="434"/>
      <c r="L24" s="435"/>
      <c r="M24" s="441"/>
      <c r="N24" s="435"/>
      <c r="O24" s="435"/>
      <c r="P24" s="452"/>
      <c r="Q24" s="434"/>
      <c r="R24" s="435"/>
      <c r="S24" s="452"/>
      <c r="T24" s="434"/>
      <c r="U24" s="435"/>
      <c r="V24" s="452"/>
      <c r="W24" s="434"/>
      <c r="X24" s="435"/>
      <c r="Y24" s="452"/>
      <c r="Z24" s="434"/>
      <c r="AA24" s="435"/>
      <c r="AB24" s="452"/>
      <c r="AC24" s="441"/>
      <c r="AD24" s="441"/>
      <c r="AE24" s="441"/>
      <c r="AF24" s="441">
        <f t="shared" ref="AF24:AG24" si="9">B24+E24+H24+K24+N24+Q24+T24+W24+Z24</f>
        <v>0</v>
      </c>
      <c r="AG24" s="441">
        <f t="shared" si="9"/>
        <v>0</v>
      </c>
      <c r="AH24" s="452" t="str">
        <f t="shared" si="3"/>
        <v xml:space="preserve">    ---- </v>
      </c>
      <c r="AI24" s="435">
        <f t="shared" ref="AI24:AJ24" si="10">B24+E24+H24+K24+N24+Q24+T24+W24+Z24+AC24</f>
        <v>0</v>
      </c>
      <c r="AJ24" s="435">
        <f t="shared" si="10"/>
        <v>0</v>
      </c>
      <c r="AK24" s="452" t="str">
        <f t="shared" si="4"/>
        <v xml:space="preserve">    ---- </v>
      </c>
      <c r="AL24" s="552"/>
      <c r="AM24" s="552"/>
      <c r="AN24" s="552"/>
      <c r="AO24" s="552"/>
    </row>
    <row r="25" spans="1:41" ht="18.75" customHeight="1" x14ac:dyDescent="0.35">
      <c r="A25" s="421" t="s">
        <v>498</v>
      </c>
      <c r="B25" s="694"/>
      <c r="C25" s="699"/>
      <c r="D25" s="452"/>
      <c r="E25" s="434"/>
      <c r="F25" s="435"/>
      <c r="G25" s="452"/>
      <c r="H25" s="434"/>
      <c r="I25" s="435"/>
      <c r="J25" s="452"/>
      <c r="K25" s="434"/>
      <c r="L25" s="435"/>
      <c r="M25" s="441"/>
      <c r="N25" s="435"/>
      <c r="O25" s="435"/>
      <c r="P25" s="452"/>
      <c r="Q25" s="434"/>
      <c r="R25" s="435"/>
      <c r="S25" s="452"/>
      <c r="T25" s="434"/>
      <c r="U25" s="435"/>
      <c r="V25" s="452"/>
      <c r="W25" s="434"/>
      <c r="X25" s="435"/>
      <c r="Y25" s="452"/>
      <c r="Z25" s="434"/>
      <c r="AA25" s="435"/>
      <c r="AB25" s="452"/>
      <c r="AC25" s="441"/>
      <c r="AD25" s="441"/>
      <c r="AE25" s="441"/>
      <c r="AF25" s="441"/>
      <c r="AG25" s="441"/>
      <c r="AH25" s="452"/>
      <c r="AI25" s="435"/>
      <c r="AJ25" s="435"/>
      <c r="AK25" s="452"/>
      <c r="AL25" s="552"/>
      <c r="AM25" s="552"/>
      <c r="AN25" s="552"/>
      <c r="AO25" s="552"/>
    </row>
    <row r="26" spans="1:41" ht="18.75" customHeight="1" x14ac:dyDescent="0.35">
      <c r="A26" s="421" t="s">
        <v>307</v>
      </c>
      <c r="B26" s="691"/>
      <c r="C26" s="692"/>
      <c r="D26" s="452"/>
      <c r="E26" s="434"/>
      <c r="F26" s="435"/>
      <c r="G26" s="452"/>
      <c r="H26" s="434"/>
      <c r="I26" s="435"/>
      <c r="J26" s="452"/>
      <c r="K26" s="434"/>
      <c r="L26" s="435"/>
      <c r="M26" s="441"/>
      <c r="N26" s="435"/>
      <c r="O26" s="435"/>
      <c r="P26" s="452"/>
      <c r="Q26" s="434"/>
      <c r="R26" s="435"/>
      <c r="S26" s="452"/>
      <c r="T26" s="434"/>
      <c r="U26" s="435"/>
      <c r="V26" s="452"/>
      <c r="W26" s="434"/>
      <c r="X26" s="435"/>
      <c r="Y26" s="452"/>
      <c r="Z26" s="434"/>
      <c r="AA26" s="435"/>
      <c r="AB26" s="452"/>
      <c r="AC26" s="441"/>
      <c r="AD26" s="441"/>
      <c r="AE26" s="441"/>
      <c r="AF26" s="441">
        <f t="shared" ref="AF26:AG34" si="11">B26+E26+H26+K26+N26+Q26+T26+W26+Z26</f>
        <v>0</v>
      </c>
      <c r="AG26" s="441">
        <f t="shared" si="11"/>
        <v>0</v>
      </c>
      <c r="AH26" s="452" t="str">
        <f t="shared" si="3"/>
        <v xml:space="preserve">    ---- </v>
      </c>
      <c r="AI26" s="435">
        <f t="shared" ref="AI26:AJ34" si="12">B26+E26+H26+K26+N26+Q26+T26+W26+Z26+AC26</f>
        <v>0</v>
      </c>
      <c r="AJ26" s="435">
        <f t="shared" si="12"/>
        <v>0</v>
      </c>
      <c r="AK26" s="452" t="str">
        <f t="shared" si="4"/>
        <v xml:space="preserve">    ---- </v>
      </c>
      <c r="AL26" s="552"/>
      <c r="AM26" s="552"/>
      <c r="AN26" s="552"/>
      <c r="AO26" s="552"/>
    </row>
    <row r="27" spans="1:41" ht="18.75" customHeight="1" x14ac:dyDescent="0.35">
      <c r="A27" s="421" t="s">
        <v>308</v>
      </c>
      <c r="B27" s="691"/>
      <c r="C27" s="692"/>
      <c r="D27" s="452"/>
      <c r="E27" s="434"/>
      <c r="F27" s="435"/>
      <c r="G27" s="452"/>
      <c r="H27" s="434"/>
      <c r="I27" s="435"/>
      <c r="J27" s="452"/>
      <c r="K27" s="434"/>
      <c r="L27" s="435"/>
      <c r="M27" s="441"/>
      <c r="N27" s="435"/>
      <c r="O27" s="435"/>
      <c r="P27" s="452"/>
      <c r="Q27" s="434"/>
      <c r="R27" s="435"/>
      <c r="S27" s="452"/>
      <c r="T27" s="434"/>
      <c r="U27" s="435"/>
      <c r="V27" s="452"/>
      <c r="W27" s="434"/>
      <c r="X27" s="435"/>
      <c r="Y27" s="452"/>
      <c r="Z27" s="434"/>
      <c r="AA27" s="435"/>
      <c r="AB27" s="452"/>
      <c r="AC27" s="441"/>
      <c r="AD27" s="441"/>
      <c r="AE27" s="441"/>
      <c r="AF27" s="441">
        <f t="shared" si="11"/>
        <v>0</v>
      </c>
      <c r="AG27" s="441">
        <f t="shared" si="11"/>
        <v>0</v>
      </c>
      <c r="AH27" s="452" t="str">
        <f t="shared" si="3"/>
        <v xml:space="preserve">    ---- </v>
      </c>
      <c r="AI27" s="435">
        <f t="shared" si="12"/>
        <v>0</v>
      </c>
      <c r="AJ27" s="435">
        <f t="shared" si="12"/>
        <v>0</v>
      </c>
      <c r="AK27" s="452" t="str">
        <f t="shared" si="4"/>
        <v xml:space="preserve">    ---- </v>
      </c>
      <c r="AL27" s="552"/>
      <c r="AM27" s="552"/>
      <c r="AN27" s="552"/>
      <c r="AO27" s="552"/>
    </row>
    <row r="28" spans="1:41" ht="18.75" customHeight="1" x14ac:dyDescent="0.35">
      <c r="A28" s="421" t="s">
        <v>309</v>
      </c>
      <c r="B28" s="691"/>
      <c r="C28" s="692"/>
      <c r="D28" s="452"/>
      <c r="E28" s="434"/>
      <c r="F28" s="435"/>
      <c r="G28" s="452"/>
      <c r="H28" s="434"/>
      <c r="I28" s="435"/>
      <c r="J28" s="452"/>
      <c r="K28" s="434"/>
      <c r="L28" s="435"/>
      <c r="M28" s="441"/>
      <c r="N28" s="435"/>
      <c r="O28" s="435"/>
      <c r="P28" s="452"/>
      <c r="Q28" s="434"/>
      <c r="R28" s="435"/>
      <c r="S28" s="452"/>
      <c r="T28" s="434"/>
      <c r="U28" s="435"/>
      <c r="V28" s="452"/>
      <c r="W28" s="434"/>
      <c r="X28" s="435"/>
      <c r="Y28" s="452"/>
      <c r="Z28" s="434"/>
      <c r="AA28" s="435"/>
      <c r="AB28" s="452"/>
      <c r="AC28" s="441"/>
      <c r="AD28" s="441"/>
      <c r="AE28" s="441"/>
      <c r="AF28" s="441">
        <f t="shared" si="11"/>
        <v>0</v>
      </c>
      <c r="AG28" s="441">
        <f t="shared" si="11"/>
        <v>0</v>
      </c>
      <c r="AH28" s="452" t="str">
        <f t="shared" si="3"/>
        <v xml:space="preserve">    ---- </v>
      </c>
      <c r="AI28" s="435">
        <f t="shared" si="12"/>
        <v>0</v>
      </c>
      <c r="AJ28" s="435">
        <f t="shared" si="12"/>
        <v>0</v>
      </c>
      <c r="AK28" s="452" t="str">
        <f t="shared" si="4"/>
        <v xml:space="preserve">    ---- </v>
      </c>
      <c r="AL28" s="552"/>
      <c r="AM28" s="552"/>
      <c r="AN28" s="552"/>
      <c r="AO28" s="552"/>
    </row>
    <row r="29" spans="1:41" ht="18.75" customHeight="1" x14ac:dyDescent="0.35">
      <c r="A29" s="421" t="s">
        <v>310</v>
      </c>
      <c r="B29" s="691"/>
      <c r="C29" s="692"/>
      <c r="D29" s="452"/>
      <c r="E29" s="434"/>
      <c r="F29" s="435"/>
      <c r="G29" s="452"/>
      <c r="H29" s="434"/>
      <c r="I29" s="435"/>
      <c r="J29" s="452"/>
      <c r="K29" s="434"/>
      <c r="L29" s="435"/>
      <c r="M29" s="441"/>
      <c r="N29" s="435"/>
      <c r="O29" s="435"/>
      <c r="P29" s="452"/>
      <c r="Q29" s="434"/>
      <c r="R29" s="435"/>
      <c r="S29" s="452"/>
      <c r="T29" s="434"/>
      <c r="U29" s="435"/>
      <c r="V29" s="452"/>
      <c r="W29" s="434"/>
      <c r="X29" s="435"/>
      <c r="Y29" s="452"/>
      <c r="Z29" s="434"/>
      <c r="AA29" s="435"/>
      <c r="AB29" s="452"/>
      <c r="AC29" s="441"/>
      <c r="AD29" s="441"/>
      <c r="AE29" s="441"/>
      <c r="AF29" s="441">
        <f t="shared" si="11"/>
        <v>0</v>
      </c>
      <c r="AG29" s="441">
        <f t="shared" si="11"/>
        <v>0</v>
      </c>
      <c r="AH29" s="452" t="str">
        <f t="shared" si="3"/>
        <v xml:space="preserve">    ---- </v>
      </c>
      <c r="AI29" s="435">
        <f t="shared" si="12"/>
        <v>0</v>
      </c>
      <c r="AJ29" s="435">
        <f t="shared" si="12"/>
        <v>0</v>
      </c>
      <c r="AK29" s="452" t="str">
        <f t="shared" si="4"/>
        <v xml:space="preserve">    ---- </v>
      </c>
      <c r="AL29" s="552"/>
      <c r="AM29" s="552"/>
      <c r="AN29" s="552"/>
      <c r="AO29" s="552"/>
    </row>
    <row r="30" spans="1:41" ht="18.75" customHeight="1" x14ac:dyDescent="0.35">
      <c r="A30" s="421" t="s">
        <v>311</v>
      </c>
      <c r="B30" s="691"/>
      <c r="C30" s="692"/>
      <c r="D30" s="452"/>
      <c r="E30" s="434"/>
      <c r="F30" s="435"/>
      <c r="G30" s="452"/>
      <c r="H30" s="434"/>
      <c r="I30" s="435"/>
      <c r="J30" s="452"/>
      <c r="K30" s="434"/>
      <c r="L30" s="435"/>
      <c r="M30" s="441"/>
      <c r="N30" s="435"/>
      <c r="O30" s="435"/>
      <c r="P30" s="452"/>
      <c r="Q30" s="434"/>
      <c r="R30" s="435"/>
      <c r="S30" s="452"/>
      <c r="T30" s="434"/>
      <c r="U30" s="435"/>
      <c r="V30" s="452"/>
      <c r="W30" s="434"/>
      <c r="X30" s="435"/>
      <c r="Y30" s="452"/>
      <c r="Z30" s="434"/>
      <c r="AA30" s="435"/>
      <c r="AB30" s="452"/>
      <c r="AC30" s="441"/>
      <c r="AD30" s="441"/>
      <c r="AE30" s="441"/>
      <c r="AF30" s="441">
        <f t="shared" si="11"/>
        <v>0</v>
      </c>
      <c r="AG30" s="441">
        <f t="shared" si="11"/>
        <v>0</v>
      </c>
      <c r="AH30" s="452" t="str">
        <f t="shared" si="3"/>
        <v xml:space="preserve">    ---- </v>
      </c>
      <c r="AI30" s="435">
        <f t="shared" si="12"/>
        <v>0</v>
      </c>
      <c r="AJ30" s="435">
        <f t="shared" si="12"/>
        <v>0</v>
      </c>
      <c r="AK30" s="452" t="str">
        <f t="shared" si="4"/>
        <v xml:space="preserve">    ---- </v>
      </c>
      <c r="AL30" s="552"/>
      <c r="AM30" s="552"/>
      <c r="AN30" s="552"/>
      <c r="AO30" s="552"/>
    </row>
    <row r="31" spans="1:41" ht="18.75" customHeight="1" x14ac:dyDescent="0.35">
      <c r="A31" s="421" t="s">
        <v>312</v>
      </c>
      <c r="B31" s="691"/>
      <c r="C31" s="692"/>
      <c r="D31" s="452"/>
      <c r="E31" s="434"/>
      <c r="F31" s="435"/>
      <c r="G31" s="452"/>
      <c r="H31" s="434"/>
      <c r="I31" s="435"/>
      <c r="J31" s="452"/>
      <c r="K31" s="434"/>
      <c r="L31" s="435"/>
      <c r="M31" s="441"/>
      <c r="N31" s="435"/>
      <c r="O31" s="435"/>
      <c r="P31" s="452"/>
      <c r="Q31" s="434"/>
      <c r="R31" s="435"/>
      <c r="S31" s="452"/>
      <c r="T31" s="434"/>
      <c r="U31" s="435"/>
      <c r="V31" s="452"/>
      <c r="W31" s="434"/>
      <c r="X31" s="435"/>
      <c r="Y31" s="452"/>
      <c r="Z31" s="434"/>
      <c r="AA31" s="435"/>
      <c r="AB31" s="452"/>
      <c r="AC31" s="441"/>
      <c r="AD31" s="441"/>
      <c r="AE31" s="441"/>
      <c r="AF31" s="441">
        <f t="shared" si="11"/>
        <v>0</v>
      </c>
      <c r="AG31" s="441">
        <f t="shared" si="11"/>
        <v>0</v>
      </c>
      <c r="AH31" s="452" t="str">
        <f t="shared" si="3"/>
        <v xml:space="preserve">    ---- </v>
      </c>
      <c r="AI31" s="435">
        <f t="shared" si="12"/>
        <v>0</v>
      </c>
      <c r="AJ31" s="435">
        <f t="shared" si="12"/>
        <v>0</v>
      </c>
      <c r="AK31" s="452" t="str">
        <f t="shared" si="4"/>
        <v xml:space="preserve">    ---- </v>
      </c>
      <c r="AL31" s="552"/>
      <c r="AM31" s="552"/>
      <c r="AN31" s="552"/>
      <c r="AO31" s="552"/>
    </row>
    <row r="32" spans="1:41" s="568" customFormat="1" ht="18.75" customHeight="1" x14ac:dyDescent="0.3">
      <c r="A32" s="535" t="s">
        <v>313</v>
      </c>
      <c r="B32" s="690"/>
      <c r="C32" s="693"/>
      <c r="D32" s="453"/>
      <c r="E32" s="432"/>
      <c r="F32" s="433"/>
      <c r="G32" s="453"/>
      <c r="H32" s="432"/>
      <c r="I32" s="433"/>
      <c r="J32" s="453"/>
      <c r="K32" s="432"/>
      <c r="L32" s="433"/>
      <c r="M32" s="443"/>
      <c r="N32" s="433"/>
      <c r="O32" s="433"/>
      <c r="P32" s="453"/>
      <c r="Q32" s="432"/>
      <c r="R32" s="433"/>
      <c r="S32" s="453"/>
      <c r="T32" s="432"/>
      <c r="U32" s="433"/>
      <c r="V32" s="453"/>
      <c r="W32" s="432"/>
      <c r="X32" s="433"/>
      <c r="Y32" s="453"/>
      <c r="Z32" s="432"/>
      <c r="AA32" s="433"/>
      <c r="AB32" s="453"/>
      <c r="AC32" s="443"/>
      <c r="AD32" s="443"/>
      <c r="AE32" s="443"/>
      <c r="AF32" s="443">
        <f t="shared" si="11"/>
        <v>0</v>
      </c>
      <c r="AG32" s="443">
        <f t="shared" si="11"/>
        <v>0</v>
      </c>
      <c r="AH32" s="453" t="str">
        <f t="shared" si="3"/>
        <v xml:space="preserve">    ---- </v>
      </c>
      <c r="AI32" s="433">
        <f t="shared" si="12"/>
        <v>0</v>
      </c>
      <c r="AJ32" s="433">
        <f t="shared" si="12"/>
        <v>0</v>
      </c>
      <c r="AK32" s="453" t="str">
        <f t="shared" si="4"/>
        <v xml:space="preserve">    ---- </v>
      </c>
      <c r="AL32" s="555"/>
      <c r="AM32" s="555"/>
      <c r="AN32" s="555"/>
      <c r="AO32" s="555"/>
    </row>
    <row r="33" spans="1:41" ht="18.75" customHeight="1" x14ac:dyDescent="0.35">
      <c r="A33" s="421" t="s">
        <v>314</v>
      </c>
      <c r="B33" s="691"/>
      <c r="C33" s="692"/>
      <c r="D33" s="452"/>
      <c r="E33" s="434"/>
      <c r="F33" s="435"/>
      <c r="G33" s="452"/>
      <c r="H33" s="434"/>
      <c r="I33" s="435"/>
      <c r="J33" s="452"/>
      <c r="K33" s="434"/>
      <c r="L33" s="435"/>
      <c r="M33" s="441"/>
      <c r="N33" s="435"/>
      <c r="O33" s="435"/>
      <c r="P33" s="452"/>
      <c r="Q33" s="434"/>
      <c r="R33" s="435"/>
      <c r="S33" s="452"/>
      <c r="T33" s="434"/>
      <c r="U33" s="435"/>
      <c r="V33" s="452"/>
      <c r="W33" s="434"/>
      <c r="X33" s="435"/>
      <c r="Y33" s="452"/>
      <c r="Z33" s="434"/>
      <c r="AA33" s="435"/>
      <c r="AB33" s="452"/>
      <c r="AC33" s="441"/>
      <c r="AD33" s="441"/>
      <c r="AE33" s="441"/>
      <c r="AF33" s="441">
        <f t="shared" si="11"/>
        <v>0</v>
      </c>
      <c r="AG33" s="441">
        <f t="shared" si="11"/>
        <v>0</v>
      </c>
      <c r="AH33" s="452" t="str">
        <f t="shared" si="3"/>
        <v xml:space="preserve">    ---- </v>
      </c>
      <c r="AI33" s="435">
        <f t="shared" si="12"/>
        <v>0</v>
      </c>
      <c r="AJ33" s="435">
        <f t="shared" si="12"/>
        <v>0</v>
      </c>
      <c r="AK33" s="452" t="str">
        <f t="shared" si="4"/>
        <v xml:space="preserve">    ---- </v>
      </c>
      <c r="AL33" s="552"/>
      <c r="AM33" s="552"/>
      <c r="AN33" s="552"/>
      <c r="AO33" s="552"/>
    </row>
    <row r="34" spans="1:41" ht="18.75" customHeight="1" x14ac:dyDescent="0.35">
      <c r="A34" s="421" t="s">
        <v>315</v>
      </c>
      <c r="B34" s="691"/>
      <c r="C34" s="692"/>
      <c r="D34" s="452"/>
      <c r="E34" s="434"/>
      <c r="F34" s="435"/>
      <c r="G34" s="452"/>
      <c r="H34" s="434"/>
      <c r="I34" s="435"/>
      <c r="J34" s="452"/>
      <c r="K34" s="434"/>
      <c r="L34" s="435"/>
      <c r="M34" s="441"/>
      <c r="N34" s="435"/>
      <c r="O34" s="435"/>
      <c r="P34" s="452"/>
      <c r="Q34" s="434"/>
      <c r="R34" s="435"/>
      <c r="S34" s="452"/>
      <c r="T34" s="434"/>
      <c r="U34" s="435"/>
      <c r="V34" s="452"/>
      <c r="W34" s="434"/>
      <c r="X34" s="435"/>
      <c r="Y34" s="452"/>
      <c r="Z34" s="434"/>
      <c r="AA34" s="435"/>
      <c r="AB34" s="452"/>
      <c r="AC34" s="441"/>
      <c r="AD34" s="441"/>
      <c r="AE34" s="441"/>
      <c r="AF34" s="441">
        <f t="shared" si="11"/>
        <v>0</v>
      </c>
      <c r="AG34" s="441">
        <f t="shared" si="11"/>
        <v>0</v>
      </c>
      <c r="AH34" s="452" t="str">
        <f t="shared" si="3"/>
        <v xml:space="preserve">    ---- </v>
      </c>
      <c r="AI34" s="435">
        <f t="shared" si="12"/>
        <v>0</v>
      </c>
      <c r="AJ34" s="435">
        <f t="shared" si="12"/>
        <v>0</v>
      </c>
      <c r="AK34" s="452" t="str">
        <f t="shared" si="4"/>
        <v xml:space="preserve">    ---- </v>
      </c>
      <c r="AL34" s="552"/>
      <c r="AM34" s="552"/>
      <c r="AN34" s="552"/>
      <c r="AO34" s="552"/>
    </row>
    <row r="35" spans="1:41" ht="18.75" customHeight="1" x14ac:dyDescent="0.35">
      <c r="A35" s="535" t="s">
        <v>327</v>
      </c>
      <c r="B35" s="690"/>
      <c r="C35" s="693"/>
      <c r="D35" s="453"/>
      <c r="E35" s="432"/>
      <c r="F35" s="433"/>
      <c r="G35" s="453"/>
      <c r="H35" s="432"/>
      <c r="I35" s="433"/>
      <c r="J35" s="453"/>
      <c r="K35" s="432"/>
      <c r="L35" s="433"/>
      <c r="M35" s="443"/>
      <c r="N35" s="433"/>
      <c r="O35" s="433"/>
      <c r="P35" s="453"/>
      <c r="Q35" s="432"/>
      <c r="R35" s="433"/>
      <c r="S35" s="453"/>
      <c r="T35" s="432"/>
      <c r="U35" s="433"/>
      <c r="V35" s="453"/>
      <c r="W35" s="432"/>
      <c r="X35" s="433"/>
      <c r="Y35" s="453"/>
      <c r="Z35" s="432"/>
      <c r="AA35" s="433"/>
      <c r="AB35" s="453"/>
      <c r="AC35" s="443"/>
      <c r="AD35" s="443"/>
      <c r="AE35" s="443"/>
      <c r="AF35" s="443"/>
      <c r="AG35" s="443"/>
      <c r="AH35" s="453"/>
      <c r="AI35" s="435"/>
      <c r="AJ35" s="435"/>
      <c r="AK35" s="453"/>
      <c r="AL35" s="552"/>
      <c r="AM35" s="552"/>
      <c r="AN35" s="552"/>
      <c r="AO35" s="552"/>
    </row>
    <row r="36" spans="1:41" ht="18.75" customHeight="1" x14ac:dyDescent="0.35">
      <c r="A36" s="750" t="s">
        <v>497</v>
      </c>
      <c r="B36" s="691"/>
      <c r="C36" s="692"/>
      <c r="D36" s="452"/>
      <c r="E36" s="434"/>
      <c r="F36" s="435"/>
      <c r="G36" s="452"/>
      <c r="H36" s="434"/>
      <c r="I36" s="435"/>
      <c r="J36" s="452"/>
      <c r="K36" s="434"/>
      <c r="L36" s="435"/>
      <c r="M36" s="441"/>
      <c r="N36" s="435"/>
      <c r="O36" s="435"/>
      <c r="P36" s="452"/>
      <c r="Q36" s="434"/>
      <c r="R36" s="435"/>
      <c r="S36" s="452"/>
      <c r="T36" s="434"/>
      <c r="U36" s="435"/>
      <c r="V36" s="452"/>
      <c r="W36" s="434">
        <v>35</v>
      </c>
      <c r="X36" s="435">
        <v>32</v>
      </c>
      <c r="Y36" s="452">
        <f>IF(W36=0, "    ---- ", IF(ABS(ROUND(100/W36*X36-100,1))&lt;999,ROUND(100/W36*X36-100,1),IF(ROUND(100/W36*X36-100,1)&gt;999,999,-999)))</f>
        <v>-8.6</v>
      </c>
      <c r="Z36" s="434">
        <v>20.86785789</v>
      </c>
      <c r="AA36" s="435">
        <v>31.165846309999928</v>
      </c>
      <c r="AB36" s="452">
        <f t="shared" ref="AB36:AB38" si="13">IF(Z36=0, "    ---- ", IF(ABS(ROUND(100/Z36*AA36-100,1))&lt;999,ROUND(100/Z36*AA36-100,1),IF(ROUND(100/Z36*AA36-100,1)&gt;999,999,-999)))</f>
        <v>49.3</v>
      </c>
      <c r="AC36" s="441"/>
      <c r="AD36" s="441"/>
      <c r="AE36" s="441"/>
      <c r="AF36" s="441">
        <f t="shared" ref="AF36:AG36" si="14">B36+E36+H36+K36+N36+Q36+T36+W36+Z36</f>
        <v>55.867857889999996</v>
      </c>
      <c r="AG36" s="441">
        <f t="shared" si="14"/>
        <v>63.165846309999928</v>
      </c>
      <c r="AH36" s="452">
        <f t="shared" si="3"/>
        <v>13.1</v>
      </c>
      <c r="AI36" s="435">
        <f t="shared" ref="AI36:AJ36" si="15">B36+E36+H36+K36+N36+Q36+T36+W36+Z36+AC36</f>
        <v>55.867857889999996</v>
      </c>
      <c r="AJ36" s="435">
        <f t="shared" si="15"/>
        <v>63.165846309999928</v>
      </c>
      <c r="AK36" s="452">
        <f t="shared" si="4"/>
        <v>13.1</v>
      </c>
      <c r="AL36" s="552"/>
      <c r="AM36" s="552"/>
      <c r="AN36" s="552"/>
      <c r="AO36" s="552"/>
    </row>
    <row r="37" spans="1:41" ht="18.75" customHeight="1" x14ac:dyDescent="0.35">
      <c r="A37" s="421" t="s">
        <v>498</v>
      </c>
      <c r="B37" s="694"/>
      <c r="C37" s="699"/>
      <c r="D37" s="452"/>
      <c r="E37" s="434"/>
      <c r="F37" s="435"/>
      <c r="G37" s="452"/>
      <c r="H37" s="434"/>
      <c r="I37" s="435"/>
      <c r="J37" s="452"/>
      <c r="K37" s="434"/>
      <c r="L37" s="435"/>
      <c r="M37" s="441"/>
      <c r="N37" s="435"/>
      <c r="O37" s="435"/>
      <c r="P37" s="452"/>
      <c r="Q37" s="434"/>
      <c r="R37" s="435"/>
      <c r="S37" s="452"/>
      <c r="T37" s="434"/>
      <c r="U37" s="435"/>
      <c r="V37" s="452"/>
      <c r="W37" s="434">
        <v>-21</v>
      </c>
      <c r="X37" s="435">
        <v>1</v>
      </c>
      <c r="Y37" s="452">
        <f>IF(W37=0, "    ---- ", IF(ABS(ROUND(100/W37*X37-100,1))&lt;999,ROUND(100/W37*X37-100,1),IF(ROUND(100/W37*X37-100,1)&gt;999,999,-999)))</f>
        <v>-104.8</v>
      </c>
      <c r="Z37" s="434">
        <v>-15.696113</v>
      </c>
      <c r="AA37" s="435">
        <v>-27.732223000000001</v>
      </c>
      <c r="AB37" s="452">
        <f t="shared" si="13"/>
        <v>76.7</v>
      </c>
      <c r="AC37" s="441"/>
      <c r="AD37" s="441"/>
      <c r="AE37" s="441"/>
      <c r="AF37" s="441">
        <f t="shared" ref="AF37" si="16">B37+E37+H37+K37+N37+Q37+T37+W37+Z37</f>
        <v>-36.696112999999997</v>
      </c>
      <c r="AG37" s="441">
        <f t="shared" ref="AG37" si="17">C37+F37+I37+L37+O37+R37+U37+X37+AA37</f>
        <v>-26.732223000000001</v>
      </c>
      <c r="AH37" s="452">
        <f t="shared" ref="AH37" si="18">IF(AF37=0, "    ---- ", IF(ABS(ROUND(100/AF37*AG37-100,1))&lt;999,ROUND(100/AF37*AG37-100,1),IF(ROUND(100/AF37*AG37-100,1)&gt;999,999,-999)))</f>
        <v>-27.2</v>
      </c>
      <c r="AI37" s="435">
        <f t="shared" ref="AI37" si="19">B37+E37+H37+K37+N37+Q37+T37+W37+Z37+AC37</f>
        <v>-36.696112999999997</v>
      </c>
      <c r="AJ37" s="435">
        <f t="shared" ref="AJ37" si="20">C37+F37+I37+L37+O37+R37+U37+X37+AA37+AD37</f>
        <v>-26.732223000000001</v>
      </c>
      <c r="AK37" s="452">
        <f t="shared" ref="AK37" si="21">IF(AI37=0, "    ---- ", IF(ABS(ROUND(100/AI37*AJ37-100,1))&lt;999,ROUND(100/AI37*AJ37-100,1),IF(ROUND(100/AI37*AJ37-100,1)&gt;999,999,-999)))</f>
        <v>-27.2</v>
      </c>
      <c r="AL37" s="552"/>
      <c r="AM37" s="552"/>
      <c r="AN37" s="552"/>
      <c r="AO37" s="552"/>
    </row>
    <row r="38" spans="1:41" ht="18.75" customHeight="1" x14ac:dyDescent="0.35">
      <c r="A38" s="421" t="s">
        <v>307</v>
      </c>
      <c r="B38" s="691"/>
      <c r="C38" s="692"/>
      <c r="D38" s="452"/>
      <c r="E38" s="434"/>
      <c r="F38" s="435"/>
      <c r="G38" s="452"/>
      <c r="H38" s="434"/>
      <c r="I38" s="435"/>
      <c r="J38" s="452"/>
      <c r="K38" s="434"/>
      <c r="L38" s="435"/>
      <c r="M38" s="441"/>
      <c r="N38" s="435"/>
      <c r="O38" s="435"/>
      <c r="P38" s="452"/>
      <c r="Q38" s="434"/>
      <c r="R38" s="435"/>
      <c r="S38" s="452"/>
      <c r="T38" s="434"/>
      <c r="U38" s="435"/>
      <c r="V38" s="452"/>
      <c r="W38" s="434">
        <v>-2</v>
      </c>
      <c r="X38" s="435">
        <v>-5</v>
      </c>
      <c r="Y38" s="452">
        <f>IF(W38=0, "    ---- ", IF(ABS(ROUND(100/W38*X38-100,1))&lt;999,ROUND(100/W38*X38-100,1),IF(ROUND(100/W38*X38-100,1)&gt;999,999,-999)))</f>
        <v>150</v>
      </c>
      <c r="Z38" s="434">
        <v>3.2039273599999998</v>
      </c>
      <c r="AA38" s="435">
        <v>3.1520736</v>
      </c>
      <c r="AB38" s="452">
        <f t="shared" si="13"/>
        <v>-1.6</v>
      </c>
      <c r="AC38" s="441"/>
      <c r="AD38" s="441"/>
      <c r="AE38" s="441"/>
      <c r="AF38" s="441">
        <f t="shared" ref="AF38:AG46" si="22">B38+E38+H38+K38+N38+Q38+T38+W38+Z38</f>
        <v>1.2039273599999998</v>
      </c>
      <c r="AG38" s="441">
        <f t="shared" si="22"/>
        <v>-1.8479264</v>
      </c>
      <c r="AH38" s="452">
        <f t="shared" si="3"/>
        <v>-253.5</v>
      </c>
      <c r="AI38" s="435">
        <f t="shared" ref="AI38:AJ46" si="23">B38+E38+H38+K38+N38+Q38+T38+W38+Z38+AC38</f>
        <v>1.2039273599999998</v>
      </c>
      <c r="AJ38" s="435">
        <f t="shared" si="23"/>
        <v>-1.8479264</v>
      </c>
      <c r="AK38" s="452">
        <f t="shared" si="4"/>
        <v>-253.5</v>
      </c>
      <c r="AL38" s="552"/>
      <c r="AM38" s="552"/>
      <c r="AN38" s="552"/>
      <c r="AO38" s="552"/>
    </row>
    <row r="39" spans="1:41" ht="18.75" customHeight="1" x14ac:dyDescent="0.35">
      <c r="A39" s="421" t="s">
        <v>308</v>
      </c>
      <c r="B39" s="691"/>
      <c r="C39" s="692"/>
      <c r="D39" s="452"/>
      <c r="E39" s="434"/>
      <c r="F39" s="435"/>
      <c r="G39" s="452"/>
      <c r="H39" s="434"/>
      <c r="I39" s="435"/>
      <c r="J39" s="452"/>
      <c r="K39" s="434"/>
      <c r="L39" s="435"/>
      <c r="M39" s="441"/>
      <c r="N39" s="435"/>
      <c r="O39" s="435"/>
      <c r="P39" s="452"/>
      <c r="Q39" s="434"/>
      <c r="R39" s="435"/>
      <c r="S39" s="452"/>
      <c r="T39" s="434"/>
      <c r="U39" s="435"/>
      <c r="V39" s="452"/>
      <c r="W39" s="434"/>
      <c r="X39" s="435"/>
      <c r="Y39" s="452"/>
      <c r="Z39" s="434"/>
      <c r="AA39" s="435"/>
      <c r="AB39" s="452"/>
      <c r="AC39" s="441"/>
      <c r="AD39" s="441"/>
      <c r="AE39" s="441"/>
      <c r="AF39" s="441">
        <f t="shared" si="22"/>
        <v>0</v>
      </c>
      <c r="AG39" s="441">
        <f t="shared" si="22"/>
        <v>0</v>
      </c>
      <c r="AH39" s="452" t="str">
        <f t="shared" si="3"/>
        <v xml:space="preserve">    ---- </v>
      </c>
      <c r="AI39" s="435">
        <f t="shared" si="23"/>
        <v>0</v>
      </c>
      <c r="AJ39" s="435">
        <f t="shared" si="23"/>
        <v>0</v>
      </c>
      <c r="AK39" s="452" t="str">
        <f t="shared" si="4"/>
        <v xml:space="preserve">    ---- </v>
      </c>
      <c r="AL39" s="552"/>
      <c r="AM39" s="552"/>
      <c r="AN39" s="552"/>
      <c r="AO39" s="552"/>
    </row>
    <row r="40" spans="1:41" ht="18.75" customHeight="1" x14ac:dyDescent="0.35">
      <c r="A40" s="421" t="s">
        <v>309</v>
      </c>
      <c r="B40" s="691"/>
      <c r="C40" s="692"/>
      <c r="D40" s="452"/>
      <c r="E40" s="434"/>
      <c r="F40" s="435"/>
      <c r="G40" s="452"/>
      <c r="H40" s="434"/>
      <c r="I40" s="435"/>
      <c r="J40" s="452"/>
      <c r="K40" s="434"/>
      <c r="L40" s="435"/>
      <c r="M40" s="441"/>
      <c r="N40" s="435"/>
      <c r="O40" s="435"/>
      <c r="P40" s="452"/>
      <c r="Q40" s="434"/>
      <c r="R40" s="435"/>
      <c r="S40" s="452"/>
      <c r="T40" s="434"/>
      <c r="U40" s="435"/>
      <c r="V40" s="452"/>
      <c r="W40" s="434">
        <v>3</v>
      </c>
      <c r="X40" s="435">
        <v>3</v>
      </c>
      <c r="Y40" s="452">
        <f>IF(W40=0, "    ---- ", IF(ABS(ROUND(100/W40*X40-100,1))&lt;999,ROUND(100/W40*X40-100,1),IF(ROUND(100/W40*X40-100,1)&gt;999,999,-999)))</f>
        <v>0</v>
      </c>
      <c r="Z40" s="434"/>
      <c r="AA40" s="435"/>
      <c r="AB40" s="452"/>
      <c r="AC40" s="441"/>
      <c r="AD40" s="441"/>
      <c r="AE40" s="441"/>
      <c r="AF40" s="441">
        <f t="shared" si="22"/>
        <v>3</v>
      </c>
      <c r="AG40" s="441">
        <f t="shared" si="22"/>
        <v>3</v>
      </c>
      <c r="AH40" s="452">
        <f t="shared" si="3"/>
        <v>0</v>
      </c>
      <c r="AI40" s="435">
        <f t="shared" si="23"/>
        <v>3</v>
      </c>
      <c r="AJ40" s="435">
        <f t="shared" si="23"/>
        <v>3</v>
      </c>
      <c r="AK40" s="452">
        <f t="shared" si="4"/>
        <v>0</v>
      </c>
      <c r="AL40" s="552"/>
      <c r="AM40" s="552"/>
      <c r="AN40" s="552"/>
      <c r="AO40" s="552"/>
    </row>
    <row r="41" spans="1:41" ht="18.75" customHeight="1" x14ac:dyDescent="0.35">
      <c r="A41" s="421" t="s">
        <v>310</v>
      </c>
      <c r="B41" s="691"/>
      <c r="C41" s="692"/>
      <c r="D41" s="452"/>
      <c r="E41" s="434"/>
      <c r="F41" s="435"/>
      <c r="G41" s="452"/>
      <c r="H41" s="434"/>
      <c r="I41" s="435"/>
      <c r="J41" s="452"/>
      <c r="K41" s="434"/>
      <c r="L41" s="435"/>
      <c r="M41" s="441"/>
      <c r="N41" s="435"/>
      <c r="O41" s="435"/>
      <c r="P41" s="452"/>
      <c r="Q41" s="434"/>
      <c r="R41" s="435"/>
      <c r="S41" s="452"/>
      <c r="T41" s="434"/>
      <c r="U41" s="435"/>
      <c r="V41" s="452"/>
      <c r="W41" s="434"/>
      <c r="X41" s="435"/>
      <c r="Y41" s="452"/>
      <c r="Z41" s="434">
        <v>-5.1469999999999997E-3</v>
      </c>
      <c r="AA41" s="435">
        <v>0</v>
      </c>
      <c r="AB41" s="452">
        <f t="shared" ref="AB41" si="24">IF(Z41=0, "    ---- ", IF(ABS(ROUND(100/Z41*AA41-100,1))&lt;999,ROUND(100/Z41*AA41-100,1),IF(ROUND(100/Z41*AA41-100,1)&gt;999,999,-999)))</f>
        <v>-100</v>
      </c>
      <c r="AC41" s="441"/>
      <c r="AD41" s="441"/>
      <c r="AE41" s="441"/>
      <c r="AF41" s="441">
        <f t="shared" si="22"/>
        <v>-5.1469999999999997E-3</v>
      </c>
      <c r="AG41" s="441">
        <f t="shared" si="22"/>
        <v>0</v>
      </c>
      <c r="AH41" s="452">
        <f t="shared" si="3"/>
        <v>-100</v>
      </c>
      <c r="AI41" s="435">
        <f t="shared" si="23"/>
        <v>-5.1469999999999997E-3</v>
      </c>
      <c r="AJ41" s="435">
        <f t="shared" si="23"/>
        <v>0</v>
      </c>
      <c r="AK41" s="452">
        <f t="shared" si="4"/>
        <v>-100</v>
      </c>
      <c r="AL41" s="552"/>
      <c r="AM41" s="552"/>
      <c r="AN41" s="552"/>
      <c r="AO41" s="552"/>
    </row>
    <row r="42" spans="1:41" ht="18.75" customHeight="1" x14ac:dyDescent="0.35">
      <c r="A42" s="421" t="s">
        <v>311</v>
      </c>
      <c r="B42" s="691"/>
      <c r="C42" s="692"/>
      <c r="D42" s="452"/>
      <c r="E42" s="434"/>
      <c r="F42" s="435"/>
      <c r="G42" s="452"/>
      <c r="H42" s="434"/>
      <c r="I42" s="435"/>
      <c r="J42" s="452"/>
      <c r="K42" s="434"/>
      <c r="L42" s="435"/>
      <c r="M42" s="441"/>
      <c r="N42" s="435"/>
      <c r="O42" s="435"/>
      <c r="P42" s="452"/>
      <c r="Q42" s="434"/>
      <c r="R42" s="435"/>
      <c r="S42" s="452"/>
      <c r="T42" s="434"/>
      <c r="U42" s="435"/>
      <c r="V42" s="452"/>
      <c r="W42" s="434"/>
      <c r="X42" s="435"/>
      <c r="Y42" s="452"/>
      <c r="Z42" s="434"/>
      <c r="AA42" s="435"/>
      <c r="AB42" s="452"/>
      <c r="AC42" s="441"/>
      <c r="AD42" s="441"/>
      <c r="AE42" s="441"/>
      <c r="AF42" s="441">
        <f t="shared" si="22"/>
        <v>0</v>
      </c>
      <c r="AG42" s="441">
        <f t="shared" si="22"/>
        <v>0</v>
      </c>
      <c r="AH42" s="452" t="str">
        <f t="shared" si="3"/>
        <v xml:space="preserve">    ---- </v>
      </c>
      <c r="AI42" s="435">
        <f t="shared" si="23"/>
        <v>0</v>
      </c>
      <c r="AJ42" s="435">
        <f t="shared" si="23"/>
        <v>0</v>
      </c>
      <c r="AK42" s="452" t="str">
        <f t="shared" si="4"/>
        <v xml:space="preserve">    ---- </v>
      </c>
      <c r="AL42" s="552"/>
      <c r="AM42" s="552"/>
      <c r="AN42" s="552"/>
      <c r="AO42" s="552"/>
    </row>
    <row r="43" spans="1:41" ht="18.75" customHeight="1" x14ac:dyDescent="0.35">
      <c r="A43" s="421" t="s">
        <v>312</v>
      </c>
      <c r="B43" s="700"/>
      <c r="C43" s="701"/>
      <c r="D43" s="452"/>
      <c r="E43" s="440"/>
      <c r="F43" s="441"/>
      <c r="G43" s="452"/>
      <c r="H43" s="440"/>
      <c r="I43" s="441"/>
      <c r="J43" s="452"/>
      <c r="K43" s="440"/>
      <c r="L43" s="441"/>
      <c r="M43" s="441"/>
      <c r="N43" s="441"/>
      <c r="O43" s="441"/>
      <c r="P43" s="452"/>
      <c r="Q43" s="440"/>
      <c r="R43" s="441"/>
      <c r="S43" s="452"/>
      <c r="T43" s="440"/>
      <c r="U43" s="441"/>
      <c r="V43" s="452"/>
      <c r="W43" s="440"/>
      <c r="X43" s="441"/>
      <c r="Y43" s="452"/>
      <c r="Z43" s="440"/>
      <c r="AA43" s="441"/>
      <c r="AB43" s="452"/>
      <c r="AC43" s="441"/>
      <c r="AD43" s="441"/>
      <c r="AE43" s="441"/>
      <c r="AF43" s="441">
        <f t="shared" si="22"/>
        <v>0</v>
      </c>
      <c r="AG43" s="441">
        <f t="shared" si="22"/>
        <v>0</v>
      </c>
      <c r="AH43" s="452" t="str">
        <f t="shared" si="3"/>
        <v xml:space="preserve">    ---- </v>
      </c>
      <c r="AI43" s="435">
        <f t="shared" si="23"/>
        <v>0</v>
      </c>
      <c r="AJ43" s="435">
        <f t="shared" si="23"/>
        <v>0</v>
      </c>
      <c r="AK43" s="452" t="str">
        <f t="shared" si="4"/>
        <v xml:space="preserve">    ---- </v>
      </c>
      <c r="AL43" s="552"/>
      <c r="AM43" s="552"/>
      <c r="AN43" s="552"/>
      <c r="AO43" s="552"/>
    </row>
    <row r="44" spans="1:41" s="568" customFormat="1" ht="18.75" customHeight="1" x14ac:dyDescent="0.35">
      <c r="A44" s="535" t="s">
        <v>313</v>
      </c>
      <c r="B44" s="702"/>
      <c r="C44" s="703"/>
      <c r="D44" s="453"/>
      <c r="E44" s="442"/>
      <c r="F44" s="443"/>
      <c r="G44" s="453"/>
      <c r="H44" s="442"/>
      <c r="I44" s="443"/>
      <c r="J44" s="453"/>
      <c r="K44" s="442"/>
      <c r="L44" s="443"/>
      <c r="M44" s="443"/>
      <c r="N44" s="443"/>
      <c r="O44" s="443"/>
      <c r="P44" s="453"/>
      <c r="Q44" s="442"/>
      <c r="R44" s="443"/>
      <c r="S44" s="452"/>
      <c r="T44" s="442"/>
      <c r="U44" s="443"/>
      <c r="V44" s="453"/>
      <c r="W44" s="442">
        <f>SUM(W36:W41)+W43</f>
        <v>15</v>
      </c>
      <c r="X44" s="443">
        <f>SUM(X36:X41)+X43</f>
        <v>31</v>
      </c>
      <c r="Y44" s="453">
        <f>IF(W44=0, "    ---- ", IF(ABS(ROUND(100/W44*X44-100,1))&lt;999,ROUND(100/W44*X44-100,1),IF(ROUND(100/W44*X44-100,1)&gt;999,999,-999)))</f>
        <v>106.7</v>
      </c>
      <c r="Z44" s="442">
        <f>SUM(Z36:Z41)+Z43</f>
        <v>8.37052525</v>
      </c>
      <c r="AA44" s="443">
        <f>SUM(AA36:AA41)+AA43</f>
        <v>6.5856969099999265</v>
      </c>
      <c r="AB44" s="453">
        <f t="shared" ref="AB44:AB46" si="25">IF(Z44=0, "    ---- ", IF(ABS(ROUND(100/Z44*AA44-100,1))&lt;999,ROUND(100/Z44*AA44-100,1),IF(ROUND(100/Z44*AA44-100,1)&gt;999,999,-999)))</f>
        <v>-21.3</v>
      </c>
      <c r="AC44" s="443"/>
      <c r="AD44" s="443"/>
      <c r="AE44" s="443"/>
      <c r="AF44" s="443">
        <f t="shared" si="22"/>
        <v>23.37052525</v>
      </c>
      <c r="AG44" s="443">
        <f t="shared" si="22"/>
        <v>37.585696909999925</v>
      </c>
      <c r="AH44" s="453">
        <f>IF(AF44=0, "    ---- ", IF(ABS(ROUND(100/AF44*AG44-100,1))&lt;999,ROUND(100/AF44*AG44-100,1),IF(ROUND(100/AF44*AG44-100,1)&gt;999,999,-999)))</f>
        <v>60.8</v>
      </c>
      <c r="AI44" s="433">
        <f t="shared" si="23"/>
        <v>23.37052525</v>
      </c>
      <c r="AJ44" s="433">
        <f t="shared" si="23"/>
        <v>37.585696909999925</v>
      </c>
      <c r="AK44" s="453">
        <f>IF(AI44=0, "    ---- ", IF(ABS(ROUND(100/AI44*AJ44-100,1))&lt;999,ROUND(100/AI44*AJ44-100,1),IF(ROUND(100/AI44*AJ44-100,1)&gt;999,999,-999)))</f>
        <v>60.8</v>
      </c>
      <c r="AL44" s="555"/>
      <c r="AM44" s="555"/>
      <c r="AN44" s="555"/>
      <c r="AO44" s="555"/>
    </row>
    <row r="45" spans="1:41" ht="18.75" customHeight="1" x14ac:dyDescent="0.35">
      <c r="A45" s="421" t="s">
        <v>314</v>
      </c>
      <c r="B45" s="700"/>
      <c r="C45" s="701"/>
      <c r="D45" s="452"/>
      <c r="E45" s="440"/>
      <c r="F45" s="441"/>
      <c r="G45" s="452"/>
      <c r="H45" s="440"/>
      <c r="I45" s="441"/>
      <c r="J45" s="452"/>
      <c r="K45" s="440"/>
      <c r="L45" s="441"/>
      <c r="M45" s="441"/>
      <c r="N45" s="441"/>
      <c r="O45" s="441"/>
      <c r="P45" s="452"/>
      <c r="Q45" s="440"/>
      <c r="R45" s="441"/>
      <c r="S45" s="452"/>
      <c r="T45" s="440"/>
      <c r="U45" s="441"/>
      <c r="V45" s="452"/>
      <c r="W45" s="440">
        <v>14</v>
      </c>
      <c r="X45" s="441">
        <v>31</v>
      </c>
      <c r="Y45" s="452">
        <f>IF(W45=0, "    ---- ", IF(ABS(ROUND(100/W45*X45-100,1))&lt;999,ROUND(100/W45*X45-100,1),IF(ROUND(100/W45*X45-100,1)&gt;999,999,-999)))</f>
        <v>121.4</v>
      </c>
      <c r="Z45" s="440">
        <v>4.3358829999999999</v>
      </c>
      <c r="AA45" s="441">
        <v>1.570762</v>
      </c>
      <c r="AB45" s="452">
        <f t="shared" si="25"/>
        <v>-63.8</v>
      </c>
      <c r="AC45" s="441"/>
      <c r="AD45" s="441"/>
      <c r="AE45" s="441"/>
      <c r="AF45" s="441">
        <f t="shared" si="22"/>
        <v>18.335882999999999</v>
      </c>
      <c r="AG45" s="441">
        <f t="shared" si="22"/>
        <v>32.570762000000002</v>
      </c>
      <c r="AH45" s="452">
        <f t="shared" ref="AH45:AH144" si="26">IF(AF45=0, "    ---- ", IF(ABS(ROUND(100/AF45*AG45-100,1))&lt;999,ROUND(100/AF45*AG45-100,1),IF(ROUND(100/AF45*AG45-100,1)&gt;999,999,-999)))</f>
        <v>77.599999999999994</v>
      </c>
      <c r="AI45" s="435">
        <f t="shared" si="23"/>
        <v>18.335882999999999</v>
      </c>
      <c r="AJ45" s="435">
        <f t="shared" si="23"/>
        <v>32.570762000000002</v>
      </c>
      <c r="AK45" s="452">
        <f t="shared" ref="AK45:AK144" si="27">IF(AI45=0, "    ---- ", IF(ABS(ROUND(100/AI45*AJ45-100,1))&lt;999,ROUND(100/AI45*AJ45-100,1),IF(ROUND(100/AI45*AJ45-100,1)&gt;999,999,-999)))</f>
        <v>77.599999999999994</v>
      </c>
      <c r="AL45" s="552"/>
      <c r="AM45" s="552"/>
      <c r="AN45" s="552"/>
      <c r="AO45" s="552"/>
    </row>
    <row r="46" spans="1:41" ht="18.75" customHeight="1" x14ac:dyDescent="0.35">
      <c r="A46" s="421" t="s">
        <v>315</v>
      </c>
      <c r="B46" s="700"/>
      <c r="C46" s="701"/>
      <c r="D46" s="452"/>
      <c r="E46" s="440"/>
      <c r="F46" s="441"/>
      <c r="G46" s="452"/>
      <c r="H46" s="440"/>
      <c r="I46" s="441"/>
      <c r="J46" s="452"/>
      <c r="K46" s="440"/>
      <c r="L46" s="441"/>
      <c r="M46" s="441"/>
      <c r="N46" s="441"/>
      <c r="O46" s="441"/>
      <c r="P46" s="452"/>
      <c r="Q46" s="440"/>
      <c r="R46" s="441"/>
      <c r="S46" s="452"/>
      <c r="T46" s="440"/>
      <c r="U46" s="441"/>
      <c r="V46" s="452"/>
      <c r="W46" s="440">
        <v>1</v>
      </c>
      <c r="X46" s="441"/>
      <c r="Y46" s="452">
        <f>IF(W46=0, "    ---- ", IF(ABS(ROUND(100/W46*X46-100,1))&lt;999,ROUND(100/W46*X46-100,1),IF(ROUND(100/W46*X46-100,1)&gt;999,999,-999)))</f>
        <v>-100</v>
      </c>
      <c r="Z46" s="440">
        <v>4.0346422500000001</v>
      </c>
      <c r="AA46" s="441">
        <v>5.0149349099999281</v>
      </c>
      <c r="AB46" s="452">
        <f t="shared" si="25"/>
        <v>24.3</v>
      </c>
      <c r="AC46" s="441"/>
      <c r="AD46" s="441"/>
      <c r="AE46" s="441"/>
      <c r="AF46" s="441">
        <f t="shared" si="22"/>
        <v>5.0346422500000001</v>
      </c>
      <c r="AG46" s="441">
        <f t="shared" si="22"/>
        <v>5.0149349099999281</v>
      </c>
      <c r="AH46" s="452">
        <f t="shared" si="26"/>
        <v>-0.4</v>
      </c>
      <c r="AI46" s="435">
        <f t="shared" si="23"/>
        <v>5.0346422500000001</v>
      </c>
      <c r="AJ46" s="435">
        <f t="shared" si="23"/>
        <v>5.0149349099999281</v>
      </c>
      <c r="AK46" s="452">
        <f t="shared" si="27"/>
        <v>-0.4</v>
      </c>
      <c r="AL46" s="552"/>
      <c r="AM46" s="552"/>
      <c r="AN46" s="552"/>
      <c r="AO46" s="552"/>
    </row>
    <row r="47" spans="1:41" ht="18.75" customHeight="1" x14ac:dyDescent="0.35">
      <c r="A47" s="535" t="s">
        <v>328</v>
      </c>
      <c r="B47" s="700"/>
      <c r="C47" s="701"/>
      <c r="D47" s="452"/>
      <c r="E47" s="440"/>
      <c r="F47" s="441"/>
      <c r="G47" s="452"/>
      <c r="H47" s="440"/>
      <c r="I47" s="441"/>
      <c r="J47" s="452"/>
      <c r="K47" s="440"/>
      <c r="L47" s="441"/>
      <c r="M47" s="441"/>
      <c r="N47" s="441"/>
      <c r="O47" s="441"/>
      <c r="P47" s="452"/>
      <c r="Q47" s="440"/>
      <c r="R47" s="441"/>
      <c r="S47" s="452"/>
      <c r="T47" s="440"/>
      <c r="U47" s="441"/>
      <c r="V47" s="452"/>
      <c r="W47" s="440"/>
      <c r="X47" s="441"/>
      <c r="Y47" s="452"/>
      <c r="Z47" s="440"/>
      <c r="AA47" s="441"/>
      <c r="AB47" s="452"/>
      <c r="AC47" s="441"/>
      <c r="AD47" s="441"/>
      <c r="AE47" s="441"/>
      <c r="AF47" s="441"/>
      <c r="AG47" s="441"/>
      <c r="AH47" s="452"/>
      <c r="AI47" s="435"/>
      <c r="AJ47" s="435"/>
      <c r="AK47" s="452"/>
      <c r="AL47" s="552"/>
      <c r="AM47" s="552"/>
      <c r="AN47" s="552"/>
      <c r="AO47" s="552"/>
    </row>
    <row r="48" spans="1:41" ht="18.75" customHeight="1" x14ac:dyDescent="0.35">
      <c r="A48" s="750" t="s">
        <v>497</v>
      </c>
      <c r="B48" s="700">
        <v>22040.36867</v>
      </c>
      <c r="C48" s="701">
        <v>26608</v>
      </c>
      <c r="D48" s="452">
        <f>IF(B48=0, "    ---- ", IF(ABS(ROUND(100/B48*C48-100,1))&lt;999,ROUND(100/B48*C48-100,1),IF(ROUND(100/B48*C48-100,1)&gt;999,999,-999)))</f>
        <v>20.7</v>
      </c>
      <c r="E48" s="440"/>
      <c r="F48" s="441"/>
      <c r="G48" s="452"/>
      <c r="H48" s="440"/>
      <c r="I48" s="441"/>
      <c r="J48" s="452"/>
      <c r="K48" s="440">
        <v>38</v>
      </c>
      <c r="L48" s="441">
        <v>39</v>
      </c>
      <c r="M48" s="441">
        <f>IF(K48=0, "    ---- ", IF(ABS(ROUND(100/K48*L48-100,1))&lt;999,ROUND(100/K48*L48-100,1),IF(ROUND(100/K48*L48-100,1)&gt;999,999,-999)))</f>
        <v>2.6</v>
      </c>
      <c r="N48" s="441"/>
      <c r="O48" s="441"/>
      <c r="P48" s="452"/>
      <c r="Q48" s="440"/>
      <c r="R48" s="441"/>
      <c r="S48" s="452"/>
      <c r="T48" s="440"/>
      <c r="U48" s="441"/>
      <c r="V48" s="452"/>
      <c r="W48" s="440"/>
      <c r="X48" s="441"/>
      <c r="Y48" s="452"/>
      <c r="Z48" s="440">
        <v>-0.92198522998751298</v>
      </c>
      <c r="AA48" s="441">
        <v>-1.444315349999215</v>
      </c>
      <c r="AB48" s="452">
        <f>IF(Z48=0, "    ---- ", IF(ABS(ROUND(100/Z48*AA48-100,1))&lt;999,ROUND(100/Z48*AA48-100,1),IF(ROUND(100/Z48*AA48-100,1)&gt;999,999,-999)))</f>
        <v>56.7</v>
      </c>
      <c r="AC48" s="441"/>
      <c r="AD48" s="441"/>
      <c r="AE48" s="441"/>
      <c r="AF48" s="441">
        <f t="shared" ref="AF48:AG48" si="28">B48+E48+H48+K48+N48+Q48+T48+W48+Z48</f>
        <v>22077.446684770013</v>
      </c>
      <c r="AG48" s="441">
        <f t="shared" si="28"/>
        <v>26645.55568465</v>
      </c>
      <c r="AH48" s="452">
        <f t="shared" si="26"/>
        <v>20.7</v>
      </c>
      <c r="AI48" s="435">
        <f t="shared" ref="AI48:AJ48" si="29">B48+E48+H48+K48+N48+Q48+T48+W48+Z48+AC48</f>
        <v>22077.446684770013</v>
      </c>
      <c r="AJ48" s="435">
        <f t="shared" si="29"/>
        <v>26645.55568465</v>
      </c>
      <c r="AK48" s="452">
        <f t="shared" si="27"/>
        <v>20.7</v>
      </c>
      <c r="AL48" s="552"/>
      <c r="AM48" s="552"/>
      <c r="AN48" s="552"/>
      <c r="AO48" s="552"/>
    </row>
    <row r="49" spans="1:41" ht="18.75" customHeight="1" x14ac:dyDescent="0.35">
      <c r="A49" s="421" t="s">
        <v>498</v>
      </c>
      <c r="B49" s="694"/>
      <c r="C49" s="699"/>
      <c r="D49" s="452"/>
      <c r="E49" s="440"/>
      <c r="F49" s="441"/>
      <c r="G49" s="452"/>
      <c r="H49" s="440"/>
      <c r="I49" s="441"/>
      <c r="J49" s="452"/>
      <c r="K49" s="440"/>
      <c r="L49" s="441"/>
      <c r="M49" s="441"/>
      <c r="N49" s="441"/>
      <c r="O49" s="441"/>
      <c r="P49" s="452"/>
      <c r="Q49" s="440"/>
      <c r="R49" s="441"/>
      <c r="S49" s="452"/>
      <c r="T49" s="440"/>
      <c r="U49" s="441"/>
      <c r="V49" s="452"/>
      <c r="W49" s="440"/>
      <c r="X49" s="441"/>
      <c r="Y49" s="452"/>
      <c r="Z49" s="440"/>
      <c r="AA49" s="441"/>
      <c r="AB49" s="452"/>
      <c r="AC49" s="441"/>
      <c r="AD49" s="441"/>
      <c r="AE49" s="441"/>
      <c r="AF49" s="441"/>
      <c r="AG49" s="441"/>
      <c r="AH49" s="452"/>
      <c r="AI49" s="435"/>
      <c r="AJ49" s="435"/>
      <c r="AK49" s="452"/>
      <c r="AL49" s="552"/>
      <c r="AM49" s="552"/>
      <c r="AN49" s="552"/>
      <c r="AO49" s="552"/>
    </row>
    <row r="50" spans="1:41" ht="18.75" customHeight="1" x14ac:dyDescent="0.35">
      <c r="A50" s="421" t="s">
        <v>307</v>
      </c>
      <c r="B50" s="700">
        <v>336.48462000000001</v>
      </c>
      <c r="C50" s="701">
        <v>442</v>
      </c>
      <c r="D50" s="452">
        <f>IF(B50=0, "    ---- ", IF(ABS(ROUND(100/B50*C50-100,1))&lt;999,ROUND(100/B50*C50-100,1),IF(ROUND(100/B50*C50-100,1)&gt;999,999,-999)))</f>
        <v>31.4</v>
      </c>
      <c r="E50" s="440"/>
      <c r="F50" s="441"/>
      <c r="G50" s="452"/>
      <c r="H50" s="440"/>
      <c r="I50" s="441"/>
      <c r="J50" s="452"/>
      <c r="K50" s="440">
        <v>170</v>
      </c>
      <c r="L50" s="441">
        <v>-196</v>
      </c>
      <c r="M50" s="441">
        <f>IF(K50=0, "    ---- ", IF(ABS(ROUND(100/K50*L50-100,1))&lt;999,ROUND(100/K50*L50-100,1),IF(ROUND(100/K50*L50-100,1)&gt;999,999,-999)))</f>
        <v>-215.3</v>
      </c>
      <c r="N50" s="441"/>
      <c r="O50" s="441"/>
      <c r="P50" s="452"/>
      <c r="Q50" s="440">
        <v>263.37127135662109</v>
      </c>
      <c r="R50" s="441">
        <v>376.76316750697242</v>
      </c>
      <c r="S50" s="452">
        <f>IF(Q50=0, "    ---- ", IF(ABS(ROUND(100/Q50*R50-100,1))&lt;999,ROUND(100/Q50*R50-100,1),IF(ROUND(100/Q50*R50-100,1)&gt;999,999,-999)))</f>
        <v>43.1</v>
      </c>
      <c r="T50" s="440"/>
      <c r="U50" s="441"/>
      <c r="V50" s="452"/>
      <c r="W50" s="440">
        <v>-35</v>
      </c>
      <c r="X50" s="441">
        <v>-84</v>
      </c>
      <c r="Y50" s="452">
        <f>IF(W50=0, "    ---- ", IF(ABS(ROUND(100/W50*X50-100,1))&lt;999,ROUND(100/W50*X50-100,1),IF(ROUND(100/W50*X50-100,1)&gt;999,999,-999)))</f>
        <v>140</v>
      </c>
      <c r="Z50" s="440">
        <v>370.64835472999999</v>
      </c>
      <c r="AA50" s="441">
        <v>343.99130031999994</v>
      </c>
      <c r="AB50" s="452">
        <f>IF(Z50=0, "    ---- ", IF(ABS(ROUND(100/Z50*AA50-100,1))&lt;999,ROUND(100/Z50*AA50-100,1),IF(ROUND(100/Z50*AA50-100,1)&gt;999,999,-999)))</f>
        <v>-7.2</v>
      </c>
      <c r="AC50" s="441"/>
      <c r="AD50" s="441"/>
      <c r="AE50" s="441"/>
      <c r="AF50" s="441">
        <f t="shared" ref="AF50:AG58" si="30">B50+E50+H50+K50+N50+Q50+T50+W50+Z50</f>
        <v>1105.5042460866212</v>
      </c>
      <c r="AG50" s="441">
        <f t="shared" si="30"/>
        <v>882.75446782697236</v>
      </c>
      <c r="AH50" s="452">
        <f t="shared" si="26"/>
        <v>-20.100000000000001</v>
      </c>
      <c r="AI50" s="435">
        <f t="shared" ref="AI50:AJ60" si="31">B50+E50+H50+K50+N50+Q50+T50+W50+Z50+AC50</f>
        <v>1105.5042460866212</v>
      </c>
      <c r="AJ50" s="435">
        <f t="shared" si="31"/>
        <v>882.75446782697236</v>
      </c>
      <c r="AK50" s="452">
        <f t="shared" si="27"/>
        <v>-20.100000000000001</v>
      </c>
      <c r="AL50" s="552"/>
      <c r="AM50" s="552"/>
      <c r="AN50" s="552"/>
      <c r="AO50" s="552"/>
    </row>
    <row r="51" spans="1:41" ht="18.75" customHeight="1" x14ac:dyDescent="0.35">
      <c r="A51" s="421" t="s">
        <v>308</v>
      </c>
      <c r="B51" s="700"/>
      <c r="C51" s="701"/>
      <c r="D51" s="452"/>
      <c r="E51" s="440"/>
      <c r="F51" s="441"/>
      <c r="G51" s="452"/>
      <c r="H51" s="440"/>
      <c r="I51" s="441"/>
      <c r="J51" s="452"/>
      <c r="K51" s="440">
        <v>4</v>
      </c>
      <c r="L51" s="441">
        <v>6</v>
      </c>
      <c r="M51" s="441">
        <f t="shared" ref="M51:M52" si="32">IF(K51=0, "    ---- ", IF(ABS(ROUND(100/K51*L51-100,1))&lt;999,ROUND(100/K51*L51-100,1),IF(ROUND(100/K51*L51-100,1)&gt;999,999,-999)))</f>
        <v>50</v>
      </c>
      <c r="N51" s="441"/>
      <c r="O51" s="441"/>
      <c r="P51" s="452"/>
      <c r="Q51" s="440"/>
      <c r="R51" s="441"/>
      <c r="S51" s="452"/>
      <c r="T51" s="440"/>
      <c r="U51" s="441"/>
      <c r="V51" s="452"/>
      <c r="W51" s="440"/>
      <c r="X51" s="441"/>
      <c r="Y51" s="452"/>
      <c r="Z51" s="440"/>
      <c r="AA51" s="441"/>
      <c r="AB51" s="452"/>
      <c r="AC51" s="441"/>
      <c r="AD51" s="441"/>
      <c r="AE51" s="441"/>
      <c r="AF51" s="441">
        <f t="shared" si="30"/>
        <v>4</v>
      </c>
      <c r="AG51" s="441">
        <f t="shared" si="30"/>
        <v>6</v>
      </c>
      <c r="AH51" s="452">
        <f t="shared" si="26"/>
        <v>50</v>
      </c>
      <c r="AI51" s="435">
        <f t="shared" si="31"/>
        <v>4</v>
      </c>
      <c r="AJ51" s="435">
        <f t="shared" si="31"/>
        <v>6</v>
      </c>
      <c r="AK51" s="452">
        <f t="shared" si="27"/>
        <v>50</v>
      </c>
      <c r="AL51" s="552"/>
      <c r="AM51" s="552"/>
      <c r="AN51" s="552"/>
      <c r="AO51" s="552"/>
    </row>
    <row r="52" spans="1:41" ht="18.75" customHeight="1" x14ac:dyDescent="0.35">
      <c r="A52" s="421" t="s">
        <v>309</v>
      </c>
      <c r="B52" s="700"/>
      <c r="C52" s="701"/>
      <c r="D52" s="452"/>
      <c r="E52" s="440"/>
      <c r="F52" s="441"/>
      <c r="G52" s="452"/>
      <c r="H52" s="440"/>
      <c r="I52" s="441"/>
      <c r="J52" s="452"/>
      <c r="K52" s="440">
        <v>14</v>
      </c>
      <c r="L52" s="441">
        <v>17</v>
      </c>
      <c r="M52" s="441">
        <f t="shared" si="32"/>
        <v>21.4</v>
      </c>
      <c r="N52" s="441"/>
      <c r="O52" s="441"/>
      <c r="P52" s="452"/>
      <c r="Q52" s="440"/>
      <c r="R52" s="441"/>
      <c r="S52" s="452"/>
      <c r="T52" s="440"/>
      <c r="U52" s="441"/>
      <c r="V52" s="452"/>
      <c r="W52" s="440"/>
      <c r="X52" s="441"/>
      <c r="Y52" s="452"/>
      <c r="Z52" s="440"/>
      <c r="AA52" s="441"/>
      <c r="AB52" s="452"/>
      <c r="AC52" s="441"/>
      <c r="AD52" s="441"/>
      <c r="AE52" s="441"/>
      <c r="AF52" s="441">
        <f t="shared" si="30"/>
        <v>14</v>
      </c>
      <c r="AG52" s="441">
        <f t="shared" si="30"/>
        <v>17</v>
      </c>
      <c r="AH52" s="452">
        <f t="shared" si="26"/>
        <v>21.4</v>
      </c>
      <c r="AI52" s="435">
        <f t="shared" si="31"/>
        <v>14</v>
      </c>
      <c r="AJ52" s="435">
        <f t="shared" si="31"/>
        <v>17</v>
      </c>
      <c r="AK52" s="452">
        <f t="shared" si="27"/>
        <v>21.4</v>
      </c>
      <c r="AL52" s="552"/>
      <c r="AM52" s="552"/>
      <c r="AN52" s="552"/>
      <c r="AO52" s="552"/>
    </row>
    <row r="53" spans="1:41" ht="18.75" customHeight="1" x14ac:dyDescent="0.35">
      <c r="A53" s="421" t="s">
        <v>310</v>
      </c>
      <c r="B53" s="700">
        <v>-4.8722200000000004</v>
      </c>
      <c r="C53" s="701">
        <v>-5</v>
      </c>
      <c r="D53" s="452">
        <f>IF(B53=0, "    ---- ", IF(ABS(ROUND(100/B53*C53-100,1))&lt;999,ROUND(100/B53*C53-100,1),IF(ROUND(100/B53*C53-100,1)&gt;999,999,-999)))</f>
        <v>2.6</v>
      </c>
      <c r="E53" s="440"/>
      <c r="F53" s="441"/>
      <c r="G53" s="452"/>
      <c r="H53" s="440"/>
      <c r="I53" s="441"/>
      <c r="J53" s="452"/>
      <c r="K53" s="440">
        <v>22</v>
      </c>
      <c r="L53" s="441">
        <v>120</v>
      </c>
      <c r="M53" s="441">
        <f>IF(K53=0, "    ---- ", IF(ABS(ROUND(100/K53*L53-100,1))&lt;999,ROUND(100/K53*L53-100,1),IF(ROUND(100/K53*L53-100,1)&gt;999,999,-999)))</f>
        <v>445.5</v>
      </c>
      <c r="N53" s="441"/>
      <c r="O53" s="441"/>
      <c r="P53" s="452"/>
      <c r="Q53" s="440">
        <v>-3.2793862699999998</v>
      </c>
      <c r="R53" s="441">
        <v>-3.531339</v>
      </c>
      <c r="S53" s="452">
        <f>IF(Q53=0, "    ---- ", IF(ABS(ROUND(100/Q53*R53-100,1))&lt;999,ROUND(100/Q53*R53-100,1),IF(ROUND(100/Q53*R53-100,1)&gt;999,999,-999)))</f>
        <v>7.7</v>
      </c>
      <c r="T53" s="440"/>
      <c r="U53" s="441"/>
      <c r="V53" s="452"/>
      <c r="W53" s="440"/>
      <c r="X53" s="441">
        <v>-1</v>
      </c>
      <c r="Y53" s="452" t="str">
        <f>IF(W53=0, "    ---- ", IF(ABS(ROUND(100/W53*X53-100,1))&lt;999,ROUND(100/W53*X53-100,1),IF(ROUND(100/W53*X53-100,1)&gt;999,999,-999)))</f>
        <v xml:space="preserve">    ---- </v>
      </c>
      <c r="Z53" s="440">
        <v>0.15715577999999999</v>
      </c>
      <c r="AA53" s="441">
        <v>0.59477843999999991</v>
      </c>
      <c r="AB53" s="452">
        <f>IF(Z53=0, "    ---- ", IF(ABS(ROUND(100/Z53*AA53-100,1))&lt;999,ROUND(100/Z53*AA53-100,1),IF(ROUND(100/Z53*AA53-100,1)&gt;999,999,-999)))</f>
        <v>278.5</v>
      </c>
      <c r="AC53" s="441"/>
      <c r="AD53" s="441"/>
      <c r="AE53" s="441"/>
      <c r="AF53" s="441">
        <f t="shared" si="30"/>
        <v>14.005549510000002</v>
      </c>
      <c r="AG53" s="441">
        <f t="shared" si="30"/>
        <v>111.06343944</v>
      </c>
      <c r="AH53" s="452">
        <f t="shared" si="26"/>
        <v>693</v>
      </c>
      <c r="AI53" s="435">
        <f t="shared" si="31"/>
        <v>14.005549510000002</v>
      </c>
      <c r="AJ53" s="435">
        <f t="shared" si="31"/>
        <v>111.06343944</v>
      </c>
      <c r="AK53" s="452">
        <f t="shared" si="27"/>
        <v>693</v>
      </c>
      <c r="AL53" s="552"/>
      <c r="AM53" s="552"/>
      <c r="AN53" s="552"/>
      <c r="AO53" s="552"/>
    </row>
    <row r="54" spans="1:41" ht="18.75" customHeight="1" x14ac:dyDescent="0.35">
      <c r="A54" s="421" t="s">
        <v>311</v>
      </c>
      <c r="B54" s="700"/>
      <c r="C54" s="701"/>
      <c r="D54" s="452"/>
      <c r="E54" s="440"/>
      <c r="F54" s="441"/>
      <c r="G54" s="452"/>
      <c r="H54" s="440"/>
      <c r="I54" s="441"/>
      <c r="J54" s="452"/>
      <c r="K54" s="440"/>
      <c r="L54" s="441"/>
      <c r="M54" s="441"/>
      <c r="N54" s="441"/>
      <c r="O54" s="441"/>
      <c r="P54" s="452"/>
      <c r="Q54" s="440"/>
      <c r="R54" s="441"/>
      <c r="S54" s="452"/>
      <c r="T54" s="440"/>
      <c r="U54" s="441"/>
      <c r="V54" s="452"/>
      <c r="W54" s="440"/>
      <c r="X54" s="441"/>
      <c r="Y54" s="452"/>
      <c r="Z54" s="440"/>
      <c r="AA54" s="441"/>
      <c r="AB54" s="452"/>
      <c r="AC54" s="441"/>
      <c r="AD54" s="441"/>
      <c r="AE54" s="441"/>
      <c r="AF54" s="441">
        <f t="shared" si="30"/>
        <v>0</v>
      </c>
      <c r="AG54" s="441">
        <f t="shared" si="30"/>
        <v>0</v>
      </c>
      <c r="AH54" s="452" t="str">
        <f t="shared" si="26"/>
        <v xml:space="preserve">    ---- </v>
      </c>
      <c r="AI54" s="435">
        <f t="shared" si="31"/>
        <v>0</v>
      </c>
      <c r="AJ54" s="435">
        <f t="shared" si="31"/>
        <v>0</v>
      </c>
      <c r="AK54" s="452" t="str">
        <f t="shared" si="27"/>
        <v xml:space="preserve">    ---- </v>
      </c>
      <c r="AL54" s="552"/>
      <c r="AM54" s="552"/>
      <c r="AN54" s="552"/>
      <c r="AO54" s="552"/>
    </row>
    <row r="55" spans="1:41" ht="18.75" customHeight="1" x14ac:dyDescent="0.35">
      <c r="A55" s="421" t="s">
        <v>312</v>
      </c>
      <c r="B55" s="700"/>
      <c r="C55" s="701"/>
      <c r="D55" s="452"/>
      <c r="E55" s="440"/>
      <c r="F55" s="441"/>
      <c r="G55" s="452"/>
      <c r="H55" s="440"/>
      <c r="I55" s="441"/>
      <c r="J55" s="452"/>
      <c r="K55" s="440"/>
      <c r="L55" s="441"/>
      <c r="M55" s="441"/>
      <c r="N55" s="441"/>
      <c r="O55" s="441"/>
      <c r="P55" s="452"/>
      <c r="Q55" s="440">
        <v>-13.029679640000001</v>
      </c>
      <c r="R55" s="441">
        <v>-13.34243464</v>
      </c>
      <c r="S55" s="452">
        <f>IF(Q55=0, "    ---- ", IF(ABS(ROUND(100/Q55*R55-100,1))&lt;999,ROUND(100/Q55*R55-100,1),IF(ROUND(100/Q55*R55-100,1)&gt;999,999,-999)))</f>
        <v>2.4</v>
      </c>
      <c r="T55" s="440"/>
      <c r="U55" s="441"/>
      <c r="V55" s="452"/>
      <c r="W55" s="440"/>
      <c r="X55" s="441"/>
      <c r="Y55" s="452"/>
      <c r="Z55" s="440"/>
      <c r="AA55" s="441"/>
      <c r="AB55" s="452"/>
      <c r="AC55" s="441"/>
      <c r="AD55" s="441"/>
      <c r="AE55" s="441"/>
      <c r="AF55" s="441">
        <f t="shared" si="30"/>
        <v>-13.029679640000001</v>
      </c>
      <c r="AG55" s="441">
        <f t="shared" si="30"/>
        <v>-13.34243464</v>
      </c>
      <c r="AH55" s="452">
        <f t="shared" si="26"/>
        <v>2.4</v>
      </c>
      <c r="AI55" s="435">
        <f t="shared" si="31"/>
        <v>-13.029679640000001</v>
      </c>
      <c r="AJ55" s="435">
        <f t="shared" si="31"/>
        <v>-13.34243464</v>
      </c>
      <c r="AK55" s="452">
        <f t="shared" si="27"/>
        <v>2.4</v>
      </c>
      <c r="AL55" s="552"/>
      <c r="AM55" s="552"/>
      <c r="AN55" s="552"/>
      <c r="AO55" s="552"/>
    </row>
    <row r="56" spans="1:41" s="568" customFormat="1" ht="18.75" customHeight="1" x14ac:dyDescent="0.3">
      <c r="A56" s="535" t="s">
        <v>313</v>
      </c>
      <c r="B56" s="702">
        <f>SUM(B48:B53)+B55</f>
        <v>22371.981069999998</v>
      </c>
      <c r="C56" s="703">
        <f>SUM(C48:C53)+C55</f>
        <v>27045</v>
      </c>
      <c r="D56" s="453">
        <f>IF(B56=0, "    ---- ", IF(ABS(ROUND(100/B56*C56-100,1))&lt;999,ROUND(100/B56*C56-100,1),IF(ROUND(100/B56*C56-100,1)&gt;999,999,-999)))</f>
        <v>20.9</v>
      </c>
      <c r="E56" s="442"/>
      <c r="F56" s="443"/>
      <c r="G56" s="453"/>
      <c r="H56" s="442"/>
      <c r="I56" s="443"/>
      <c r="J56" s="453"/>
      <c r="K56" s="442">
        <f>SUM(K48:K53)+K55</f>
        <v>248</v>
      </c>
      <c r="L56" s="443">
        <f>SUM(L48:L53)+L55</f>
        <v>-14</v>
      </c>
      <c r="M56" s="443">
        <f>IF(K56=0, "    ---- ", IF(ABS(ROUND(100/K56*L56-100,1))&lt;999,ROUND(100/K56*L56-100,1),IF(ROUND(100/K56*L56-100,1)&gt;999,999,-999)))</f>
        <v>-105.6</v>
      </c>
      <c r="N56" s="443"/>
      <c r="O56" s="443"/>
      <c r="P56" s="453"/>
      <c r="Q56" s="442">
        <f>SUM(Q48:Q53)+Q55</f>
        <v>247.06220544662111</v>
      </c>
      <c r="R56" s="443">
        <f>SUM(R48:R53)+R55</f>
        <v>359.8893938669724</v>
      </c>
      <c r="S56" s="453">
        <f>IF(Q56=0, "    ---- ", IF(ABS(ROUND(100/Q56*R56-100,1))&lt;999,ROUND(100/Q56*R56-100,1),IF(ROUND(100/Q56*R56-100,1)&gt;999,999,-999)))</f>
        <v>45.7</v>
      </c>
      <c r="T56" s="442"/>
      <c r="U56" s="443"/>
      <c r="V56" s="453"/>
      <c r="W56" s="442">
        <f>SUM(W48:W53)+W55</f>
        <v>-35</v>
      </c>
      <c r="X56" s="443">
        <f>SUM(X48:X53)+X55</f>
        <v>-85</v>
      </c>
      <c r="Y56" s="453">
        <f>IF(W56=0, "    ---- ", IF(ABS(ROUND(100/W56*X56-100,1))&lt;999,ROUND(100/W56*X56-100,1),IF(ROUND(100/W56*X56-100,1)&gt;999,999,-999)))</f>
        <v>142.9</v>
      </c>
      <c r="Z56" s="442">
        <f>SUM(Z48:Z53)+Z55</f>
        <v>369.88352528001246</v>
      </c>
      <c r="AA56" s="443">
        <f>SUM(AA48:AA53)+AA55</f>
        <v>343.14176341000075</v>
      </c>
      <c r="AB56" s="453">
        <f>IF(Z56=0, "    ---- ", IF(ABS(ROUND(100/Z56*AA56-100,1))&lt;999,ROUND(100/Z56*AA56-100,1),IF(ROUND(100/Z56*AA56-100,1)&gt;999,999,-999)))</f>
        <v>-7.2</v>
      </c>
      <c r="AC56" s="443"/>
      <c r="AD56" s="443"/>
      <c r="AE56" s="443"/>
      <c r="AF56" s="443">
        <f t="shared" si="30"/>
        <v>23201.926800726633</v>
      </c>
      <c r="AG56" s="443">
        <f t="shared" si="30"/>
        <v>27649.031157276971</v>
      </c>
      <c r="AH56" s="453">
        <f t="shared" si="26"/>
        <v>19.2</v>
      </c>
      <c r="AI56" s="433">
        <f t="shared" si="31"/>
        <v>23201.926800726633</v>
      </c>
      <c r="AJ56" s="433">
        <f t="shared" si="31"/>
        <v>27649.031157276971</v>
      </c>
      <c r="AK56" s="453">
        <f t="shared" si="27"/>
        <v>19.2</v>
      </c>
      <c r="AL56" s="555"/>
      <c r="AM56" s="555"/>
      <c r="AN56" s="555"/>
      <c r="AO56" s="555"/>
    </row>
    <row r="57" spans="1:41" ht="18.75" customHeight="1" x14ac:dyDescent="0.35">
      <c r="A57" s="421" t="s">
        <v>314</v>
      </c>
      <c r="B57" s="700">
        <v>22040</v>
      </c>
      <c r="C57" s="701">
        <v>26608</v>
      </c>
      <c r="D57" s="441">
        <f>IF(B57=0, "    ---- ", IF(ABS(ROUND(100/B57*C57-100,1))&lt;999,ROUND(100/B57*C57-100,1),IF(ROUND(100/B57*C57-100,1)&gt;999,999,-999)))</f>
        <v>20.7</v>
      </c>
      <c r="E57" s="440"/>
      <c r="F57" s="441"/>
      <c r="G57" s="452"/>
      <c r="H57" s="440"/>
      <c r="I57" s="441"/>
      <c r="J57" s="452"/>
      <c r="K57" s="440">
        <v>40</v>
      </c>
      <c r="L57" s="441">
        <v>92</v>
      </c>
      <c r="M57" s="441">
        <f>IF(K57=0, "    ---- ", IF(ABS(ROUND(100/K57*L57-100,1))&lt;999,ROUND(100/K57*L57-100,1),IF(ROUND(100/K57*L57-100,1)&gt;999,999,-999)))</f>
        <v>130</v>
      </c>
      <c r="N57" s="441"/>
      <c r="O57" s="441"/>
      <c r="P57" s="452"/>
      <c r="Q57" s="440"/>
      <c r="R57" s="441"/>
      <c r="S57" s="452"/>
      <c r="T57" s="440"/>
      <c r="U57" s="441"/>
      <c r="V57" s="452"/>
      <c r="W57" s="440"/>
      <c r="X57" s="441"/>
      <c r="Y57" s="452"/>
      <c r="Z57" s="440"/>
      <c r="AA57" s="441">
        <v>0.75184799999999996</v>
      </c>
      <c r="AB57" s="453" t="str">
        <f>IF(Z57=0, "    ---- ", IF(ABS(ROUND(100/Z57*AA57-100,1))&lt;999,ROUND(100/Z57*AA57-100,1),IF(ROUND(100/Z57*AA57-100,1)&gt;999,999,-999)))</f>
        <v xml:space="preserve">    ---- </v>
      </c>
      <c r="AC57" s="441"/>
      <c r="AD57" s="441"/>
      <c r="AE57" s="441"/>
      <c r="AF57" s="441">
        <f t="shared" si="30"/>
        <v>22080</v>
      </c>
      <c r="AG57" s="441">
        <f t="shared" si="30"/>
        <v>26700.751848</v>
      </c>
      <c r="AH57" s="452">
        <f t="shared" si="26"/>
        <v>20.9</v>
      </c>
      <c r="AI57" s="435">
        <f t="shared" si="31"/>
        <v>22080</v>
      </c>
      <c r="AJ57" s="435">
        <f t="shared" si="31"/>
        <v>26700.751848</v>
      </c>
      <c r="AK57" s="452">
        <f t="shared" si="27"/>
        <v>20.9</v>
      </c>
      <c r="AL57" s="552"/>
      <c r="AM57" s="552"/>
      <c r="AN57" s="552"/>
      <c r="AO57" s="552"/>
    </row>
    <row r="58" spans="1:41" ht="18.75" customHeight="1" x14ac:dyDescent="0.35">
      <c r="A58" s="421" t="s">
        <v>315</v>
      </c>
      <c r="B58" s="700">
        <v>332</v>
      </c>
      <c r="C58" s="701">
        <v>437</v>
      </c>
      <c r="D58" s="452">
        <f>IF(B58=0, "    ---- ", IF(ABS(ROUND(100/B58*C58-100,1))&lt;999,ROUND(100/B58*C58-100,1),IF(ROUND(100/B58*C58-100,1)&gt;999,999,-999)))</f>
        <v>31.6</v>
      </c>
      <c r="E58" s="440"/>
      <c r="F58" s="441"/>
      <c r="G58" s="452"/>
      <c r="H58" s="440"/>
      <c r="I58" s="441"/>
      <c r="J58" s="452"/>
      <c r="K58" s="440">
        <v>208</v>
      </c>
      <c r="L58" s="441">
        <v>-106</v>
      </c>
      <c r="M58" s="441">
        <f>IF(K58=0, "    ---- ", IF(ABS(ROUND(100/K58*L58-100,1))&lt;999,ROUND(100/K58*L58-100,1),IF(ROUND(100/K58*L58-100,1)&gt;999,999,-999)))</f>
        <v>-151</v>
      </c>
      <c r="N58" s="441"/>
      <c r="O58" s="441"/>
      <c r="P58" s="452"/>
      <c r="Q58" s="440">
        <v>247.06220544662111</v>
      </c>
      <c r="R58" s="441">
        <v>359.8893938669724</v>
      </c>
      <c r="S58" s="452">
        <f>IF(Q58=0, "    ---- ", IF(ABS(ROUND(100/Q58*R58-100,1))&lt;999,ROUND(100/Q58*R58-100,1),IF(ROUND(100/Q58*R58-100,1)&gt;999,999,-999)))</f>
        <v>45.7</v>
      </c>
      <c r="T58" s="440"/>
      <c r="U58" s="441"/>
      <c r="V58" s="452"/>
      <c r="W58" s="440">
        <v>-35</v>
      </c>
      <c r="X58" s="441">
        <v>-85</v>
      </c>
      <c r="Y58" s="452">
        <f>IF(W58=0, "    ---- ", IF(ABS(ROUND(100/W58*X58-100,1))&lt;999,ROUND(100/W58*X58-100,1),IF(ROUND(100/W58*X58-100,1)&gt;999,999,-999)))</f>
        <v>142.9</v>
      </c>
      <c r="Z58" s="440">
        <v>369.88352528001201</v>
      </c>
      <c r="AA58" s="441">
        <v>342.38991541000075</v>
      </c>
      <c r="AB58" s="452">
        <f>IF(Z58=0, "    ---- ", IF(ABS(ROUND(100/Z58*AA58-100,1))&lt;999,ROUND(100/Z58*AA58-100,1),IF(ROUND(100/Z58*AA58-100,1)&gt;999,999,-999)))</f>
        <v>-7.4</v>
      </c>
      <c r="AC58" s="441"/>
      <c r="AD58" s="441"/>
      <c r="AE58" s="441"/>
      <c r="AF58" s="441">
        <f t="shared" si="30"/>
        <v>1121.945730726633</v>
      </c>
      <c r="AG58" s="441">
        <f t="shared" si="30"/>
        <v>948.27930927697309</v>
      </c>
      <c r="AH58" s="452">
        <f t="shared" si="26"/>
        <v>-15.5</v>
      </c>
      <c r="AI58" s="435">
        <f t="shared" si="31"/>
        <v>1121.945730726633</v>
      </c>
      <c r="AJ58" s="435">
        <f t="shared" si="31"/>
        <v>948.27930927697309</v>
      </c>
      <c r="AK58" s="452">
        <f t="shared" si="27"/>
        <v>-15.5</v>
      </c>
      <c r="AL58" s="552"/>
      <c r="AM58" s="552"/>
      <c r="AN58" s="552"/>
      <c r="AO58" s="552"/>
    </row>
    <row r="59" spans="1:41" ht="18.75" customHeight="1" x14ac:dyDescent="0.35">
      <c r="A59" s="569" t="s">
        <v>329</v>
      </c>
      <c r="B59" s="700"/>
      <c r="C59" s="701"/>
      <c r="D59" s="452"/>
      <c r="E59" s="440"/>
      <c r="F59" s="441"/>
      <c r="G59" s="452"/>
      <c r="H59" s="440"/>
      <c r="I59" s="441"/>
      <c r="J59" s="452"/>
      <c r="K59" s="440"/>
      <c r="L59" s="441"/>
      <c r="M59" s="441"/>
      <c r="N59" s="441"/>
      <c r="O59" s="441"/>
      <c r="P59" s="452"/>
      <c r="Q59" s="440"/>
      <c r="R59" s="441"/>
      <c r="S59" s="452"/>
      <c r="T59" s="440"/>
      <c r="U59" s="441"/>
      <c r="V59" s="452"/>
      <c r="W59" s="440"/>
      <c r="X59" s="441"/>
      <c r="Y59" s="452"/>
      <c r="Z59" s="440"/>
      <c r="AA59" s="441"/>
      <c r="AB59" s="452"/>
      <c r="AC59" s="441"/>
      <c r="AD59" s="441"/>
      <c r="AE59" s="441"/>
      <c r="AF59" s="441"/>
      <c r="AG59" s="441"/>
      <c r="AH59" s="452"/>
      <c r="AI59" s="435">
        <f t="shared" si="31"/>
        <v>0</v>
      </c>
      <c r="AJ59" s="435">
        <f t="shared" si="31"/>
        <v>0</v>
      </c>
      <c r="AK59" s="452" t="str">
        <f t="shared" si="27"/>
        <v xml:space="preserve">    ---- </v>
      </c>
      <c r="AL59" s="552"/>
      <c r="AM59" s="552"/>
      <c r="AN59" s="552"/>
      <c r="AO59" s="552"/>
    </row>
    <row r="60" spans="1:41" ht="18.75" customHeight="1" x14ac:dyDescent="0.35">
      <c r="A60" s="750" t="s">
        <v>497</v>
      </c>
      <c r="B60" s="700"/>
      <c r="C60" s="701"/>
      <c r="D60" s="452"/>
      <c r="E60" s="440"/>
      <c r="F60" s="441"/>
      <c r="G60" s="452"/>
      <c r="H60" s="440"/>
      <c r="I60" s="441"/>
      <c r="J60" s="452"/>
      <c r="K60" s="440"/>
      <c r="L60" s="441"/>
      <c r="M60" s="441"/>
      <c r="N60" s="441"/>
      <c r="O60" s="441"/>
      <c r="P60" s="452"/>
      <c r="Q60" s="440"/>
      <c r="R60" s="441"/>
      <c r="S60" s="452"/>
      <c r="T60" s="440"/>
      <c r="U60" s="441"/>
      <c r="V60" s="452"/>
      <c r="W60" s="440">
        <v>242</v>
      </c>
      <c r="X60" s="441">
        <v>273</v>
      </c>
      <c r="Y60" s="452">
        <f t="shared" ref="Y60:Y70" si="33">IF(W60=0, "    ---- ", IF(ABS(ROUND(100/W60*X60-100,1))&lt;999,ROUND(100/W60*X60-100,1),IF(ROUND(100/W60*X60-100,1)&gt;999,999,-999)))</f>
        <v>12.8</v>
      </c>
      <c r="Z60" s="440">
        <v>235.65435496000001</v>
      </c>
      <c r="AA60" s="441">
        <v>339.33026677000004</v>
      </c>
      <c r="AB60" s="452">
        <f t="shared" ref="AB60:AB70" si="34">IF(Z60=0, "    ---- ", IF(ABS(ROUND(100/Z60*AA60-100,1))&lt;999,ROUND(100/Z60*AA60-100,1),IF(ROUND(100/Z60*AA60-100,1)&gt;999,999,-999)))</f>
        <v>44</v>
      </c>
      <c r="AC60" s="441"/>
      <c r="AD60" s="441"/>
      <c r="AE60" s="441"/>
      <c r="AF60" s="441">
        <f t="shared" ref="AF60:AG60" si="35">B60+E60+H60+K60+N60+Q60+T60+W60+Z60</f>
        <v>477.65435495999998</v>
      </c>
      <c r="AG60" s="441">
        <f t="shared" si="35"/>
        <v>612.33026676999998</v>
      </c>
      <c r="AH60" s="452"/>
      <c r="AI60" s="435">
        <f t="shared" si="31"/>
        <v>477.65435495999998</v>
      </c>
      <c r="AJ60" s="435">
        <f t="shared" si="31"/>
        <v>612.33026676999998</v>
      </c>
      <c r="AK60" s="452">
        <f t="shared" si="27"/>
        <v>28.2</v>
      </c>
      <c r="AL60" s="552"/>
      <c r="AM60" s="552"/>
      <c r="AN60" s="552"/>
      <c r="AO60" s="552"/>
    </row>
    <row r="61" spans="1:41" ht="18.75" customHeight="1" x14ac:dyDescent="0.35">
      <c r="A61" s="421" t="s">
        <v>498</v>
      </c>
      <c r="B61" s="694"/>
      <c r="C61" s="699"/>
      <c r="D61" s="452"/>
      <c r="E61" s="440"/>
      <c r="F61" s="441"/>
      <c r="G61" s="452"/>
      <c r="H61" s="440"/>
      <c r="I61" s="441"/>
      <c r="J61" s="452"/>
      <c r="K61" s="440"/>
      <c r="L61" s="441"/>
      <c r="M61" s="441"/>
      <c r="N61" s="441"/>
      <c r="O61" s="441"/>
      <c r="P61" s="452"/>
      <c r="Q61" s="440"/>
      <c r="R61" s="441"/>
      <c r="S61" s="452"/>
      <c r="T61" s="440"/>
      <c r="U61" s="441"/>
      <c r="V61" s="452"/>
      <c r="W61" s="440">
        <v>-210</v>
      </c>
      <c r="X61" s="441">
        <v>-174</v>
      </c>
      <c r="Y61" s="452"/>
      <c r="Z61" s="440">
        <v>-115.747466</v>
      </c>
      <c r="AA61" s="441">
        <v>-13.339559</v>
      </c>
      <c r="AB61" s="452">
        <f t="shared" si="34"/>
        <v>-88.5</v>
      </c>
      <c r="AC61" s="441"/>
      <c r="AD61" s="441"/>
      <c r="AE61" s="441"/>
      <c r="AF61" s="441">
        <f t="shared" ref="AF61" si="36">B61+E61+H61+K61+N61+Q61+T61+W61+Z61</f>
        <v>-325.74746600000003</v>
      </c>
      <c r="AG61" s="441">
        <f t="shared" ref="AG61" si="37">C61+F61+I61+L61+O61+R61+U61+X61+AA61</f>
        <v>-187.33955900000001</v>
      </c>
      <c r="AH61" s="452"/>
      <c r="AI61" s="435">
        <f t="shared" ref="AI61" si="38">B61+E61+H61+K61+N61+Q61+T61+W61+Z61+AC61</f>
        <v>-325.74746600000003</v>
      </c>
      <c r="AJ61" s="435">
        <f t="shared" ref="AJ61" si="39">C61+F61+I61+L61+O61+R61+U61+X61+AA61+AD61</f>
        <v>-187.33955900000001</v>
      </c>
      <c r="AK61" s="452">
        <f t="shared" ref="AK61" si="40">IF(AI61=0, "    ---- ", IF(ABS(ROUND(100/AI61*AJ61-100,1))&lt;999,ROUND(100/AI61*AJ61-100,1),IF(ROUND(100/AI61*AJ61-100,1)&gt;999,999,-999)))</f>
        <v>-42.5</v>
      </c>
      <c r="AL61" s="552"/>
      <c r="AM61" s="552"/>
      <c r="AN61" s="552"/>
      <c r="AO61" s="552"/>
    </row>
    <row r="62" spans="1:41" ht="18.75" customHeight="1" x14ac:dyDescent="0.35">
      <c r="A62" s="570" t="s">
        <v>307</v>
      </c>
      <c r="B62" s="700"/>
      <c r="C62" s="701"/>
      <c r="D62" s="452"/>
      <c r="E62" s="440"/>
      <c r="F62" s="441"/>
      <c r="G62" s="452"/>
      <c r="H62" s="440"/>
      <c r="I62" s="441"/>
      <c r="J62" s="452"/>
      <c r="K62" s="440"/>
      <c r="L62" s="441"/>
      <c r="M62" s="441"/>
      <c r="N62" s="441"/>
      <c r="O62" s="441"/>
      <c r="P62" s="452"/>
      <c r="Q62" s="440"/>
      <c r="R62" s="441"/>
      <c r="S62" s="452"/>
      <c r="T62" s="440"/>
      <c r="U62" s="441"/>
      <c r="V62" s="452"/>
      <c r="W62" s="440">
        <v>-48</v>
      </c>
      <c r="X62" s="441">
        <v>-44</v>
      </c>
      <c r="Y62" s="452">
        <f t="shared" si="33"/>
        <v>-8.3000000000000007</v>
      </c>
      <c r="Z62" s="440">
        <v>2.9665435800000099</v>
      </c>
      <c r="AA62" s="441">
        <v>13.815859100000004</v>
      </c>
      <c r="AB62" s="452">
        <f t="shared" si="34"/>
        <v>365.7</v>
      </c>
      <c r="AC62" s="441"/>
      <c r="AD62" s="441"/>
      <c r="AE62" s="441"/>
      <c r="AF62" s="441">
        <f t="shared" ref="AF62:AG70" si="41">B62+E62+H62+K62+N62+Q62+T62+W62+Z62</f>
        <v>-45.033456419999993</v>
      </c>
      <c r="AG62" s="441">
        <f t="shared" si="41"/>
        <v>-30.184140899999996</v>
      </c>
      <c r="AH62" s="452"/>
      <c r="AI62" s="435">
        <f t="shared" ref="AI62:AJ70" si="42">B62+E62+H62+K62+N62+Q62+T62+W62+Z62+AC62</f>
        <v>-45.033456419999993</v>
      </c>
      <c r="AJ62" s="435">
        <f t="shared" si="42"/>
        <v>-30.184140899999996</v>
      </c>
      <c r="AK62" s="452">
        <f t="shared" si="27"/>
        <v>-33</v>
      </c>
      <c r="AL62" s="552"/>
      <c r="AM62" s="552"/>
      <c r="AN62" s="552"/>
      <c r="AO62" s="552"/>
    </row>
    <row r="63" spans="1:41" ht="18.75" customHeight="1" x14ac:dyDescent="0.35">
      <c r="A63" s="570" t="s">
        <v>308</v>
      </c>
      <c r="B63" s="700"/>
      <c r="C63" s="701"/>
      <c r="D63" s="452"/>
      <c r="E63" s="440"/>
      <c r="F63" s="441"/>
      <c r="G63" s="452"/>
      <c r="H63" s="440"/>
      <c r="I63" s="441"/>
      <c r="J63" s="452"/>
      <c r="K63" s="440"/>
      <c r="L63" s="441"/>
      <c r="M63" s="441"/>
      <c r="N63" s="441"/>
      <c r="O63" s="441"/>
      <c r="P63" s="452"/>
      <c r="Q63" s="440"/>
      <c r="R63" s="441"/>
      <c r="S63" s="452"/>
      <c r="T63" s="440"/>
      <c r="U63" s="441"/>
      <c r="V63" s="452"/>
      <c r="W63" s="440"/>
      <c r="X63" s="441"/>
      <c r="Y63" s="452"/>
      <c r="Z63" s="440">
        <v>1.6004000000000001E-2</v>
      </c>
      <c r="AA63" s="441">
        <v>2.4159E-2</v>
      </c>
      <c r="AB63" s="452">
        <f t="shared" si="34"/>
        <v>51</v>
      </c>
      <c r="AC63" s="441"/>
      <c r="AD63" s="441"/>
      <c r="AE63" s="441"/>
      <c r="AF63" s="441">
        <f t="shared" si="41"/>
        <v>1.6004000000000001E-2</v>
      </c>
      <c r="AG63" s="441">
        <f t="shared" si="41"/>
        <v>2.4159E-2</v>
      </c>
      <c r="AH63" s="452"/>
      <c r="AI63" s="435">
        <f t="shared" si="42"/>
        <v>1.6004000000000001E-2</v>
      </c>
      <c r="AJ63" s="435">
        <f t="shared" si="42"/>
        <v>2.4159E-2</v>
      </c>
      <c r="AK63" s="452">
        <f t="shared" si="27"/>
        <v>51</v>
      </c>
      <c r="AL63" s="552"/>
      <c r="AM63" s="552"/>
      <c r="AN63" s="552"/>
      <c r="AO63" s="552"/>
    </row>
    <row r="64" spans="1:41" ht="18.75" customHeight="1" x14ac:dyDescent="0.35">
      <c r="A64" s="570" t="s">
        <v>309</v>
      </c>
      <c r="B64" s="700"/>
      <c r="C64" s="701"/>
      <c r="D64" s="452"/>
      <c r="E64" s="440"/>
      <c r="F64" s="441"/>
      <c r="G64" s="452"/>
      <c r="H64" s="440"/>
      <c r="I64" s="441"/>
      <c r="J64" s="452"/>
      <c r="K64" s="440"/>
      <c r="L64" s="441"/>
      <c r="M64" s="441"/>
      <c r="N64" s="441"/>
      <c r="O64" s="441"/>
      <c r="P64" s="452"/>
      <c r="Q64" s="440"/>
      <c r="R64" s="441"/>
      <c r="S64" s="452"/>
      <c r="T64" s="440"/>
      <c r="U64" s="441"/>
      <c r="V64" s="452"/>
      <c r="W64" s="440">
        <v>29</v>
      </c>
      <c r="X64" s="441">
        <v>29</v>
      </c>
      <c r="Y64" s="452">
        <f t="shared" si="33"/>
        <v>0</v>
      </c>
      <c r="Z64" s="440">
        <v>32.885567999999999</v>
      </c>
      <c r="AA64" s="441">
        <v>39.905391000000002</v>
      </c>
      <c r="AB64" s="452">
        <f t="shared" si="34"/>
        <v>21.3</v>
      </c>
      <c r="AC64" s="441"/>
      <c r="AD64" s="441"/>
      <c r="AE64" s="441"/>
      <c r="AF64" s="441">
        <f t="shared" si="41"/>
        <v>61.885567999999999</v>
      </c>
      <c r="AG64" s="441">
        <f t="shared" si="41"/>
        <v>68.905391000000009</v>
      </c>
      <c r="AH64" s="452"/>
      <c r="AI64" s="435">
        <f t="shared" si="42"/>
        <v>61.885567999999999</v>
      </c>
      <c r="AJ64" s="435">
        <f t="shared" si="42"/>
        <v>68.905391000000009</v>
      </c>
      <c r="AK64" s="452">
        <f t="shared" si="27"/>
        <v>11.3</v>
      </c>
      <c r="AL64" s="552"/>
      <c r="AM64" s="552"/>
      <c r="AN64" s="552"/>
      <c r="AO64" s="552"/>
    </row>
    <row r="65" spans="1:41" ht="18.75" customHeight="1" x14ac:dyDescent="0.35">
      <c r="A65" s="570" t="s">
        <v>310</v>
      </c>
      <c r="B65" s="700"/>
      <c r="C65" s="701"/>
      <c r="D65" s="452"/>
      <c r="E65" s="440"/>
      <c r="F65" s="441"/>
      <c r="G65" s="452"/>
      <c r="H65" s="440"/>
      <c r="I65" s="441"/>
      <c r="J65" s="452"/>
      <c r="K65" s="440"/>
      <c r="L65" s="441"/>
      <c r="M65" s="441"/>
      <c r="N65" s="441"/>
      <c r="O65" s="441"/>
      <c r="P65" s="452"/>
      <c r="Q65" s="440"/>
      <c r="R65" s="441"/>
      <c r="S65" s="452"/>
      <c r="T65" s="440"/>
      <c r="U65" s="441"/>
      <c r="V65" s="452"/>
      <c r="W65" s="440">
        <v>31</v>
      </c>
      <c r="X65" s="441">
        <v>-5</v>
      </c>
      <c r="Y65" s="452">
        <f t="shared" si="33"/>
        <v>-116.1</v>
      </c>
      <c r="Z65" s="440">
        <v>52.648822460000098</v>
      </c>
      <c r="AA65" s="441">
        <v>41.12156477000002</v>
      </c>
      <c r="AB65" s="452">
        <f t="shared" si="34"/>
        <v>-21.9</v>
      </c>
      <c r="AC65" s="441"/>
      <c r="AD65" s="441"/>
      <c r="AE65" s="441"/>
      <c r="AF65" s="441">
        <f t="shared" si="41"/>
        <v>83.648822460000105</v>
      </c>
      <c r="AG65" s="441">
        <f t="shared" si="41"/>
        <v>36.12156477000002</v>
      </c>
      <c r="AH65" s="452"/>
      <c r="AI65" s="435">
        <f t="shared" si="42"/>
        <v>83.648822460000105</v>
      </c>
      <c r="AJ65" s="435">
        <f t="shared" si="42"/>
        <v>36.12156477000002</v>
      </c>
      <c r="AK65" s="452">
        <f t="shared" si="27"/>
        <v>-56.8</v>
      </c>
      <c r="AL65" s="552"/>
      <c r="AM65" s="552"/>
      <c r="AN65" s="552"/>
      <c r="AO65" s="552"/>
    </row>
    <row r="66" spans="1:41" ht="18.75" customHeight="1" x14ac:dyDescent="0.35">
      <c r="A66" s="570" t="s">
        <v>311</v>
      </c>
      <c r="B66" s="700"/>
      <c r="C66" s="701"/>
      <c r="D66" s="452"/>
      <c r="E66" s="440"/>
      <c r="F66" s="441"/>
      <c r="G66" s="452"/>
      <c r="H66" s="440"/>
      <c r="I66" s="441"/>
      <c r="J66" s="452"/>
      <c r="K66" s="440"/>
      <c r="L66" s="441"/>
      <c r="M66" s="441"/>
      <c r="N66" s="441"/>
      <c r="O66" s="441"/>
      <c r="P66" s="452"/>
      <c r="Q66" s="440"/>
      <c r="R66" s="441"/>
      <c r="S66" s="452"/>
      <c r="T66" s="440"/>
      <c r="U66" s="441"/>
      <c r="V66" s="452"/>
      <c r="W66" s="440"/>
      <c r="X66" s="441"/>
      <c r="Y66" s="452"/>
      <c r="Z66" s="440">
        <v>29.307898999999999</v>
      </c>
      <c r="AA66" s="441">
        <v>25.341812999999998</v>
      </c>
      <c r="AB66" s="452">
        <f t="shared" si="34"/>
        <v>-13.5</v>
      </c>
      <c r="AC66" s="441"/>
      <c r="AD66" s="441"/>
      <c r="AE66" s="441"/>
      <c r="AF66" s="441">
        <f t="shared" si="41"/>
        <v>29.307898999999999</v>
      </c>
      <c r="AG66" s="441">
        <f t="shared" si="41"/>
        <v>25.341812999999998</v>
      </c>
      <c r="AH66" s="452"/>
      <c r="AI66" s="435">
        <f t="shared" si="42"/>
        <v>29.307898999999999</v>
      </c>
      <c r="AJ66" s="435">
        <f t="shared" si="42"/>
        <v>25.341812999999998</v>
      </c>
      <c r="AK66" s="452">
        <f t="shared" si="27"/>
        <v>-13.5</v>
      </c>
      <c r="AL66" s="552"/>
      <c r="AM66" s="552"/>
      <c r="AN66" s="552"/>
      <c r="AO66" s="552"/>
    </row>
    <row r="67" spans="1:41" ht="18.75" customHeight="1" x14ac:dyDescent="0.35">
      <c r="A67" s="570" t="s">
        <v>312</v>
      </c>
      <c r="B67" s="700"/>
      <c r="C67" s="701"/>
      <c r="D67" s="452"/>
      <c r="E67" s="440"/>
      <c r="F67" s="441"/>
      <c r="G67" s="452"/>
      <c r="H67" s="440"/>
      <c r="I67" s="441"/>
      <c r="J67" s="452"/>
      <c r="K67" s="440"/>
      <c r="L67" s="441"/>
      <c r="M67" s="441"/>
      <c r="N67" s="441"/>
      <c r="O67" s="441"/>
      <c r="P67" s="452"/>
      <c r="Q67" s="440"/>
      <c r="R67" s="441"/>
      <c r="S67" s="452"/>
      <c r="T67" s="440"/>
      <c r="U67" s="441"/>
      <c r="V67" s="452"/>
      <c r="W67" s="440"/>
      <c r="X67" s="441"/>
      <c r="Y67" s="452"/>
      <c r="Z67" s="440">
        <v>1.6004000000000001E-2</v>
      </c>
      <c r="AA67" s="441">
        <v>0</v>
      </c>
      <c r="AB67" s="452">
        <f t="shared" si="34"/>
        <v>-100</v>
      </c>
      <c r="AC67" s="441"/>
      <c r="AD67" s="441"/>
      <c r="AE67" s="441"/>
      <c r="AF67" s="441">
        <f t="shared" si="41"/>
        <v>1.6004000000000001E-2</v>
      </c>
      <c r="AG67" s="441">
        <f t="shared" si="41"/>
        <v>0</v>
      </c>
      <c r="AH67" s="452"/>
      <c r="AI67" s="435">
        <f t="shared" si="42"/>
        <v>1.6004000000000001E-2</v>
      </c>
      <c r="AJ67" s="435">
        <f t="shared" si="42"/>
        <v>0</v>
      </c>
      <c r="AK67" s="452">
        <f t="shared" si="27"/>
        <v>-100</v>
      </c>
      <c r="AL67" s="552"/>
      <c r="AM67" s="552"/>
      <c r="AN67" s="552"/>
      <c r="AO67" s="552"/>
    </row>
    <row r="68" spans="1:41" s="568" customFormat="1" ht="18.75" customHeight="1" x14ac:dyDescent="0.3">
      <c r="A68" s="569" t="s">
        <v>313</v>
      </c>
      <c r="B68" s="702"/>
      <c r="C68" s="703"/>
      <c r="D68" s="453"/>
      <c r="E68" s="442"/>
      <c r="F68" s="443"/>
      <c r="G68" s="453"/>
      <c r="H68" s="442"/>
      <c r="I68" s="443"/>
      <c r="J68" s="453"/>
      <c r="K68" s="442"/>
      <c r="L68" s="443"/>
      <c r="M68" s="443"/>
      <c r="N68" s="443"/>
      <c r="O68" s="443"/>
      <c r="P68" s="453"/>
      <c r="Q68" s="442"/>
      <c r="R68" s="443"/>
      <c r="S68" s="453"/>
      <c r="T68" s="442"/>
      <c r="U68" s="443"/>
      <c r="V68" s="453"/>
      <c r="W68" s="442">
        <f>SUM(W60:W65)+W67</f>
        <v>44</v>
      </c>
      <c r="X68" s="443">
        <f>SUM(X60:X65)+X67</f>
        <v>79</v>
      </c>
      <c r="Y68" s="453">
        <f t="shared" si="33"/>
        <v>79.5</v>
      </c>
      <c r="Z68" s="442">
        <f>SUM(Z60:Z65)+Z67</f>
        <v>208.43983100000011</v>
      </c>
      <c r="AA68" s="443">
        <f>SUM(AA60:AA65)+AA67</f>
        <v>420.85768164000007</v>
      </c>
      <c r="AB68" s="453">
        <f t="shared" si="34"/>
        <v>101.9</v>
      </c>
      <c r="AC68" s="443"/>
      <c r="AD68" s="443"/>
      <c r="AE68" s="443"/>
      <c r="AF68" s="443">
        <f t="shared" si="41"/>
        <v>252.43983100000011</v>
      </c>
      <c r="AG68" s="443">
        <f t="shared" si="41"/>
        <v>499.85768164000007</v>
      </c>
      <c r="AH68" s="453">
        <f>IF(AF68=0, "    ---- ", IF(ABS(ROUND(100/AF68*AG68-100,1))&lt;999,ROUND(100/AF68*AG68-100,1),IF(ROUND(100/AF68*AG68-100,1)&gt;999,999,-999)))</f>
        <v>98</v>
      </c>
      <c r="AI68" s="433">
        <f t="shared" si="42"/>
        <v>252.43983100000011</v>
      </c>
      <c r="AJ68" s="433">
        <f t="shared" si="42"/>
        <v>499.85768164000007</v>
      </c>
      <c r="AK68" s="453">
        <f t="shared" si="27"/>
        <v>98</v>
      </c>
      <c r="AL68" s="555"/>
      <c r="AM68" s="555"/>
      <c r="AN68" s="555"/>
      <c r="AO68" s="555"/>
    </row>
    <row r="69" spans="1:41" ht="18.75" customHeight="1" x14ac:dyDescent="0.35">
      <c r="A69" s="570" t="s">
        <v>314</v>
      </c>
      <c r="B69" s="700"/>
      <c r="C69" s="701"/>
      <c r="D69" s="452"/>
      <c r="E69" s="440"/>
      <c r="F69" s="441"/>
      <c r="G69" s="452"/>
      <c r="H69" s="440"/>
      <c r="I69" s="441"/>
      <c r="J69" s="452"/>
      <c r="K69" s="440"/>
      <c r="L69" s="441"/>
      <c r="M69" s="441"/>
      <c r="N69" s="441"/>
      <c r="O69" s="441"/>
      <c r="P69" s="452"/>
      <c r="Q69" s="440"/>
      <c r="R69" s="441"/>
      <c r="S69" s="452"/>
      <c r="T69" s="440"/>
      <c r="U69" s="441"/>
      <c r="V69" s="452"/>
      <c r="W69" s="440">
        <v>41</v>
      </c>
      <c r="X69" s="441">
        <v>102</v>
      </c>
      <c r="Y69" s="452">
        <f t="shared" si="33"/>
        <v>148.80000000000001</v>
      </c>
      <c r="Z69" s="440">
        <v>143.24781100000001</v>
      </c>
      <c r="AA69" s="441">
        <v>341.77045800000002</v>
      </c>
      <c r="AB69" s="452">
        <f t="shared" si="34"/>
        <v>138.6</v>
      </c>
      <c r="AC69" s="441"/>
      <c r="AD69" s="441"/>
      <c r="AE69" s="441"/>
      <c r="AF69" s="441">
        <f t="shared" si="41"/>
        <v>184.24781100000001</v>
      </c>
      <c r="AG69" s="441">
        <f t="shared" si="41"/>
        <v>443.77045800000002</v>
      </c>
      <c r="AH69" s="452"/>
      <c r="AI69" s="435">
        <f t="shared" si="42"/>
        <v>184.24781100000001</v>
      </c>
      <c r="AJ69" s="435">
        <f t="shared" si="42"/>
        <v>443.77045800000002</v>
      </c>
      <c r="AK69" s="452">
        <f t="shared" si="27"/>
        <v>140.9</v>
      </c>
      <c r="AL69" s="552"/>
      <c r="AM69" s="552"/>
      <c r="AN69" s="552"/>
      <c r="AO69" s="552"/>
    </row>
    <row r="70" spans="1:41" ht="18.75" customHeight="1" x14ac:dyDescent="0.35">
      <c r="A70" s="570" t="s">
        <v>315</v>
      </c>
      <c r="B70" s="700"/>
      <c r="C70" s="701"/>
      <c r="D70" s="452"/>
      <c r="E70" s="440"/>
      <c r="F70" s="441"/>
      <c r="G70" s="452"/>
      <c r="H70" s="440"/>
      <c r="I70" s="441"/>
      <c r="J70" s="452"/>
      <c r="K70" s="440"/>
      <c r="L70" s="441"/>
      <c r="M70" s="441"/>
      <c r="N70" s="441"/>
      <c r="O70" s="441"/>
      <c r="P70" s="452"/>
      <c r="Q70" s="440"/>
      <c r="R70" s="441"/>
      <c r="S70" s="452"/>
      <c r="T70" s="440"/>
      <c r="U70" s="441"/>
      <c r="V70" s="452"/>
      <c r="W70" s="440">
        <v>3</v>
      </c>
      <c r="X70" s="441">
        <v>-23</v>
      </c>
      <c r="Y70" s="452">
        <f t="shared" si="33"/>
        <v>-866.7</v>
      </c>
      <c r="Z70" s="440">
        <v>65.176016000000203</v>
      </c>
      <c r="AA70" s="441">
        <v>79.087223640000062</v>
      </c>
      <c r="AB70" s="452">
        <f t="shared" si="34"/>
        <v>21.3</v>
      </c>
      <c r="AC70" s="441"/>
      <c r="AD70" s="441"/>
      <c r="AE70" s="441"/>
      <c r="AF70" s="441">
        <f t="shared" si="41"/>
        <v>68.176016000000203</v>
      </c>
      <c r="AG70" s="441">
        <f t="shared" si="41"/>
        <v>56.087223640000062</v>
      </c>
      <c r="AH70" s="452"/>
      <c r="AI70" s="435">
        <f t="shared" si="42"/>
        <v>68.176016000000203</v>
      </c>
      <c r="AJ70" s="435">
        <f t="shared" si="42"/>
        <v>56.087223640000062</v>
      </c>
      <c r="AK70" s="452">
        <f t="shared" si="27"/>
        <v>-17.7</v>
      </c>
      <c r="AL70" s="552"/>
      <c r="AM70" s="552"/>
      <c r="AN70" s="552"/>
      <c r="AO70" s="552"/>
    </row>
    <row r="71" spans="1:41" ht="18.75" customHeight="1" x14ac:dyDescent="0.35">
      <c r="A71" s="569" t="s">
        <v>330</v>
      </c>
      <c r="B71" s="700"/>
      <c r="C71" s="701"/>
      <c r="D71" s="452"/>
      <c r="E71" s="440"/>
      <c r="F71" s="441"/>
      <c r="G71" s="452"/>
      <c r="H71" s="440"/>
      <c r="I71" s="441"/>
      <c r="J71" s="452"/>
      <c r="K71" s="440"/>
      <c r="L71" s="441"/>
      <c r="M71" s="441"/>
      <c r="N71" s="441"/>
      <c r="O71" s="441"/>
      <c r="P71" s="452"/>
      <c r="Q71" s="440"/>
      <c r="R71" s="441"/>
      <c r="S71" s="452"/>
      <c r="T71" s="440"/>
      <c r="U71" s="441"/>
      <c r="V71" s="452"/>
      <c r="W71" s="440"/>
      <c r="X71" s="441"/>
      <c r="Y71" s="452"/>
      <c r="Z71" s="440"/>
      <c r="AA71" s="441"/>
      <c r="AB71" s="452"/>
      <c r="AC71" s="441"/>
      <c r="AD71" s="441"/>
      <c r="AE71" s="441"/>
      <c r="AF71" s="441"/>
      <c r="AG71" s="441"/>
      <c r="AH71" s="452"/>
      <c r="AI71" s="435"/>
      <c r="AJ71" s="435"/>
      <c r="AK71" s="452"/>
      <c r="AL71" s="552"/>
      <c r="AM71" s="552"/>
      <c r="AN71" s="552"/>
      <c r="AO71" s="552"/>
    </row>
    <row r="72" spans="1:41" ht="18.75" customHeight="1" x14ac:dyDescent="0.35">
      <c r="A72" s="750" t="s">
        <v>497</v>
      </c>
      <c r="B72" s="700"/>
      <c r="C72" s="701"/>
      <c r="D72" s="452"/>
      <c r="E72" s="440"/>
      <c r="F72" s="441"/>
      <c r="G72" s="452"/>
      <c r="H72" s="440"/>
      <c r="I72" s="441"/>
      <c r="J72" s="452"/>
      <c r="K72" s="440"/>
      <c r="L72" s="441"/>
      <c r="M72" s="441"/>
      <c r="N72" s="441"/>
      <c r="O72" s="441"/>
      <c r="P72" s="452"/>
      <c r="Q72" s="440"/>
      <c r="R72" s="441"/>
      <c r="S72" s="452"/>
      <c r="T72" s="440"/>
      <c r="U72" s="441"/>
      <c r="V72" s="452"/>
      <c r="W72" s="440"/>
      <c r="X72" s="441"/>
      <c r="Y72" s="452"/>
      <c r="Z72" s="440">
        <v>-9.7259299998313491E-3</v>
      </c>
      <c r="AA72" s="441">
        <v>-0.64838244999941708</v>
      </c>
      <c r="AB72" s="452">
        <f t="shared" ref="AB72" si="43">IF(Z72=0, "    ---- ", IF(ABS(ROUND(100/Z72*AA72-100,1))&lt;999,ROUND(100/Z72*AA72-100,1),IF(ROUND(100/Z72*AA72-100,1)&gt;999,999,-999)))</f>
        <v>999</v>
      </c>
      <c r="AC72" s="441"/>
      <c r="AD72" s="441"/>
      <c r="AE72" s="441"/>
      <c r="AF72" s="441">
        <f t="shared" ref="AF72:AG82" si="44">B72+E72+H72+K72+N72+Q72+T72+W72+Z72</f>
        <v>-9.7259299998313491E-3</v>
      </c>
      <c r="AG72" s="441">
        <f t="shared" si="44"/>
        <v>-0.64838244999941708</v>
      </c>
      <c r="AH72" s="452"/>
      <c r="AI72" s="435">
        <f t="shared" ref="AI72:AJ82" si="45">B72+E72+H72+K72+N72+Q72+T72+W72+Z72+AC72</f>
        <v>-9.7259299998313491E-3</v>
      </c>
      <c r="AJ72" s="435">
        <f t="shared" si="45"/>
        <v>-0.64838244999941708</v>
      </c>
      <c r="AK72" s="452">
        <f t="shared" si="27"/>
        <v>999</v>
      </c>
      <c r="AL72" s="552"/>
      <c r="AM72" s="552"/>
      <c r="AN72" s="552"/>
      <c r="AO72" s="552"/>
    </row>
    <row r="73" spans="1:41" ht="18.75" customHeight="1" x14ac:dyDescent="0.35">
      <c r="A73" s="421" t="s">
        <v>498</v>
      </c>
      <c r="B73" s="694"/>
      <c r="C73" s="699"/>
      <c r="D73" s="452"/>
      <c r="E73" s="440"/>
      <c r="F73" s="441"/>
      <c r="G73" s="452"/>
      <c r="H73" s="440"/>
      <c r="I73" s="441"/>
      <c r="J73" s="452"/>
      <c r="K73" s="440"/>
      <c r="L73" s="441"/>
      <c r="M73" s="441"/>
      <c r="N73" s="441"/>
      <c r="O73" s="441"/>
      <c r="P73" s="452"/>
      <c r="Q73" s="440"/>
      <c r="R73" s="441"/>
      <c r="S73" s="452"/>
      <c r="T73" s="440"/>
      <c r="U73" s="441"/>
      <c r="V73" s="452"/>
      <c r="W73" s="440"/>
      <c r="X73" s="441"/>
      <c r="Y73" s="452"/>
      <c r="Z73" s="440"/>
      <c r="AA73" s="441"/>
      <c r="AB73" s="452"/>
      <c r="AC73" s="441"/>
      <c r="AD73" s="441"/>
      <c r="AE73" s="441"/>
      <c r="AF73" s="441">
        <f t="shared" si="44"/>
        <v>0</v>
      </c>
      <c r="AG73" s="441">
        <f t="shared" si="44"/>
        <v>0</v>
      </c>
      <c r="AH73" s="452"/>
      <c r="AI73" s="435">
        <f t="shared" si="45"/>
        <v>0</v>
      </c>
      <c r="AJ73" s="435">
        <f t="shared" si="45"/>
        <v>0</v>
      </c>
      <c r="AK73" s="452" t="str">
        <f t="shared" si="27"/>
        <v xml:space="preserve">    ---- </v>
      </c>
      <c r="AL73" s="552"/>
      <c r="AM73" s="552"/>
      <c r="AN73" s="552"/>
      <c r="AO73" s="552"/>
    </row>
    <row r="74" spans="1:41" ht="18.75" customHeight="1" x14ac:dyDescent="0.35">
      <c r="A74" s="570" t="s">
        <v>307</v>
      </c>
      <c r="B74" s="700"/>
      <c r="C74" s="701"/>
      <c r="D74" s="452"/>
      <c r="E74" s="440"/>
      <c r="F74" s="441"/>
      <c r="G74" s="452"/>
      <c r="H74" s="440"/>
      <c r="I74" s="441"/>
      <c r="J74" s="452"/>
      <c r="K74" s="440"/>
      <c r="L74" s="441"/>
      <c r="M74" s="441"/>
      <c r="N74" s="441"/>
      <c r="O74" s="441"/>
      <c r="P74" s="452"/>
      <c r="Q74" s="440"/>
      <c r="R74" s="441"/>
      <c r="S74" s="452"/>
      <c r="T74" s="440"/>
      <c r="U74" s="441"/>
      <c r="V74" s="452"/>
      <c r="W74" s="440">
        <v>-14</v>
      </c>
      <c r="X74" s="441">
        <v>-12</v>
      </c>
      <c r="Y74" s="452">
        <f t="shared" ref="Y74:Y82" si="46">IF(W74=0, "    ---- ", IF(ABS(ROUND(100/W74*X74-100,1))&lt;999,ROUND(100/W74*X74-100,1),IF(ROUND(100/W74*X74-100,1)&gt;999,999,-999)))</f>
        <v>-14.3</v>
      </c>
      <c r="Z74" s="440">
        <v>21.571197170000001</v>
      </c>
      <c r="AA74" s="441">
        <v>24.014704160000001</v>
      </c>
      <c r="AB74" s="452">
        <f t="shared" ref="AB74" si="47">IF(Z74=0, "    ---- ", IF(ABS(ROUND(100/Z74*AA74-100,1))&lt;999,ROUND(100/Z74*AA74-100,1),IF(ROUND(100/Z74*AA74-100,1)&gt;999,999,-999)))</f>
        <v>11.3</v>
      </c>
      <c r="AC74" s="441"/>
      <c r="AD74" s="441"/>
      <c r="AE74" s="441"/>
      <c r="AF74" s="441">
        <f t="shared" si="44"/>
        <v>7.5711971700000014</v>
      </c>
      <c r="AG74" s="441">
        <f t="shared" si="44"/>
        <v>12.014704160000001</v>
      </c>
      <c r="AH74" s="452"/>
      <c r="AI74" s="435">
        <f t="shared" si="45"/>
        <v>7.5711971700000014</v>
      </c>
      <c r="AJ74" s="435">
        <f t="shared" si="45"/>
        <v>12.014704160000001</v>
      </c>
      <c r="AK74" s="452">
        <f t="shared" si="27"/>
        <v>58.7</v>
      </c>
      <c r="AL74" s="552"/>
      <c r="AM74" s="552"/>
      <c r="AN74" s="552"/>
      <c r="AO74" s="552"/>
    </row>
    <row r="75" spans="1:41" ht="18.75" customHeight="1" x14ac:dyDescent="0.35">
      <c r="A75" s="570" t="s">
        <v>308</v>
      </c>
      <c r="B75" s="700"/>
      <c r="C75" s="701"/>
      <c r="D75" s="452"/>
      <c r="E75" s="440"/>
      <c r="F75" s="441"/>
      <c r="G75" s="452"/>
      <c r="H75" s="440"/>
      <c r="I75" s="441"/>
      <c r="J75" s="452"/>
      <c r="K75" s="440"/>
      <c r="L75" s="441"/>
      <c r="M75" s="441"/>
      <c r="N75" s="441"/>
      <c r="O75" s="441"/>
      <c r="P75" s="452"/>
      <c r="Q75" s="440"/>
      <c r="R75" s="441"/>
      <c r="S75" s="452"/>
      <c r="T75" s="440"/>
      <c r="U75" s="441"/>
      <c r="V75" s="452"/>
      <c r="W75" s="440"/>
      <c r="X75" s="441"/>
      <c r="Y75" s="452"/>
      <c r="Z75" s="440"/>
      <c r="AA75" s="441"/>
      <c r="AB75" s="452"/>
      <c r="AC75" s="441"/>
      <c r="AD75" s="441"/>
      <c r="AE75" s="441"/>
      <c r="AF75" s="441">
        <f t="shared" si="44"/>
        <v>0</v>
      </c>
      <c r="AG75" s="441">
        <f t="shared" si="44"/>
        <v>0</v>
      </c>
      <c r="AH75" s="452"/>
      <c r="AI75" s="435">
        <f t="shared" si="45"/>
        <v>0</v>
      </c>
      <c r="AJ75" s="435">
        <f t="shared" si="45"/>
        <v>0</v>
      </c>
      <c r="AK75" s="452" t="str">
        <f t="shared" si="27"/>
        <v xml:space="preserve">    ---- </v>
      </c>
      <c r="AL75" s="552"/>
      <c r="AM75" s="552"/>
      <c r="AN75" s="552"/>
      <c r="AO75" s="552"/>
    </row>
    <row r="76" spans="1:41" ht="18.75" customHeight="1" x14ac:dyDescent="0.35">
      <c r="A76" s="570" t="s">
        <v>309</v>
      </c>
      <c r="B76" s="700"/>
      <c r="C76" s="701"/>
      <c r="D76" s="452"/>
      <c r="E76" s="440"/>
      <c r="F76" s="441"/>
      <c r="G76" s="452"/>
      <c r="H76" s="440"/>
      <c r="I76" s="441"/>
      <c r="J76" s="452"/>
      <c r="K76" s="440"/>
      <c r="L76" s="441"/>
      <c r="M76" s="441"/>
      <c r="N76" s="441"/>
      <c r="O76" s="441"/>
      <c r="P76" s="452"/>
      <c r="Q76" s="440"/>
      <c r="R76" s="441"/>
      <c r="S76" s="452"/>
      <c r="T76" s="440"/>
      <c r="U76" s="441"/>
      <c r="V76" s="452"/>
      <c r="W76" s="440"/>
      <c r="X76" s="441"/>
      <c r="Y76" s="452"/>
      <c r="Z76" s="440"/>
      <c r="AA76" s="441"/>
      <c r="AB76" s="452"/>
      <c r="AC76" s="441"/>
      <c r="AD76" s="441"/>
      <c r="AE76" s="441"/>
      <c r="AF76" s="441">
        <f t="shared" si="44"/>
        <v>0</v>
      </c>
      <c r="AG76" s="441">
        <f t="shared" si="44"/>
        <v>0</v>
      </c>
      <c r="AH76" s="452"/>
      <c r="AI76" s="435">
        <f t="shared" si="45"/>
        <v>0</v>
      </c>
      <c r="AJ76" s="435">
        <f t="shared" si="45"/>
        <v>0</v>
      </c>
      <c r="AK76" s="452" t="str">
        <f t="shared" si="27"/>
        <v xml:space="preserve">    ---- </v>
      </c>
      <c r="AL76" s="552"/>
      <c r="AM76" s="552"/>
      <c r="AN76" s="552"/>
      <c r="AO76" s="552"/>
    </row>
    <row r="77" spans="1:41" ht="18.75" customHeight="1" x14ac:dyDescent="0.35">
      <c r="A77" s="570" t="s">
        <v>310</v>
      </c>
      <c r="B77" s="700"/>
      <c r="C77" s="701"/>
      <c r="D77" s="452"/>
      <c r="E77" s="440"/>
      <c r="F77" s="441"/>
      <c r="G77" s="452"/>
      <c r="H77" s="440"/>
      <c r="I77" s="441"/>
      <c r="J77" s="452"/>
      <c r="K77" s="440"/>
      <c r="L77" s="441"/>
      <c r="M77" s="441"/>
      <c r="N77" s="441"/>
      <c r="O77" s="441"/>
      <c r="P77" s="452"/>
      <c r="Q77" s="440"/>
      <c r="R77" s="441"/>
      <c r="S77" s="452"/>
      <c r="T77" s="440"/>
      <c r="U77" s="441"/>
      <c r="V77" s="452"/>
      <c r="W77" s="440"/>
      <c r="X77" s="441"/>
      <c r="Y77" s="452"/>
      <c r="Z77" s="440"/>
      <c r="AA77" s="441"/>
      <c r="AB77" s="452"/>
      <c r="AC77" s="441"/>
      <c r="AD77" s="441"/>
      <c r="AE77" s="441"/>
      <c r="AF77" s="441">
        <f t="shared" si="44"/>
        <v>0</v>
      </c>
      <c r="AG77" s="441">
        <f t="shared" si="44"/>
        <v>0</v>
      </c>
      <c r="AH77" s="452"/>
      <c r="AI77" s="435">
        <f t="shared" si="45"/>
        <v>0</v>
      </c>
      <c r="AJ77" s="435">
        <f t="shared" si="45"/>
        <v>0</v>
      </c>
      <c r="AK77" s="452" t="str">
        <f t="shared" si="27"/>
        <v xml:space="preserve">    ---- </v>
      </c>
      <c r="AL77" s="552"/>
      <c r="AM77" s="552"/>
      <c r="AN77" s="552"/>
      <c r="AO77" s="552"/>
    </row>
    <row r="78" spans="1:41" ht="18.75" customHeight="1" x14ac:dyDescent="0.35">
      <c r="A78" s="570" t="s">
        <v>311</v>
      </c>
      <c r="B78" s="700"/>
      <c r="C78" s="701"/>
      <c r="D78" s="452"/>
      <c r="E78" s="440"/>
      <c r="F78" s="441"/>
      <c r="G78" s="452"/>
      <c r="H78" s="440"/>
      <c r="I78" s="441"/>
      <c r="J78" s="452"/>
      <c r="K78" s="440"/>
      <c r="L78" s="441"/>
      <c r="M78" s="441"/>
      <c r="N78" s="441"/>
      <c r="O78" s="441"/>
      <c r="P78" s="452"/>
      <c r="Q78" s="440"/>
      <c r="R78" s="441"/>
      <c r="S78" s="452"/>
      <c r="T78" s="440"/>
      <c r="U78" s="441"/>
      <c r="V78" s="452"/>
      <c r="W78" s="440"/>
      <c r="X78" s="441"/>
      <c r="Y78" s="452"/>
      <c r="Z78" s="440"/>
      <c r="AA78" s="441"/>
      <c r="AB78" s="452"/>
      <c r="AC78" s="441"/>
      <c r="AD78" s="441"/>
      <c r="AE78" s="441"/>
      <c r="AF78" s="441">
        <f t="shared" si="44"/>
        <v>0</v>
      </c>
      <c r="AG78" s="441">
        <f t="shared" si="44"/>
        <v>0</v>
      </c>
      <c r="AH78" s="452"/>
      <c r="AI78" s="435">
        <f t="shared" si="45"/>
        <v>0</v>
      </c>
      <c r="AJ78" s="435">
        <f t="shared" si="45"/>
        <v>0</v>
      </c>
      <c r="AK78" s="452" t="str">
        <f t="shared" si="27"/>
        <v xml:space="preserve">    ---- </v>
      </c>
      <c r="AL78" s="552"/>
      <c r="AM78" s="552"/>
      <c r="AN78" s="552"/>
      <c r="AO78" s="552"/>
    </row>
    <row r="79" spans="1:41" ht="18.75" customHeight="1" x14ac:dyDescent="0.35">
      <c r="A79" s="570" t="s">
        <v>312</v>
      </c>
      <c r="B79" s="700"/>
      <c r="C79" s="701"/>
      <c r="D79" s="452"/>
      <c r="E79" s="440"/>
      <c r="F79" s="441"/>
      <c r="G79" s="452"/>
      <c r="H79" s="440"/>
      <c r="I79" s="441"/>
      <c r="J79" s="452"/>
      <c r="K79" s="440"/>
      <c r="L79" s="441"/>
      <c r="M79" s="441"/>
      <c r="N79" s="441"/>
      <c r="O79" s="441"/>
      <c r="P79" s="452"/>
      <c r="Q79" s="440"/>
      <c r="R79" s="441"/>
      <c r="S79" s="452"/>
      <c r="T79" s="440"/>
      <c r="U79" s="441"/>
      <c r="V79" s="452"/>
      <c r="W79" s="440"/>
      <c r="X79" s="441"/>
      <c r="Y79" s="452"/>
      <c r="Z79" s="440"/>
      <c r="AA79" s="441"/>
      <c r="AB79" s="452"/>
      <c r="AC79" s="441"/>
      <c r="AD79" s="441"/>
      <c r="AE79" s="441"/>
      <c r="AF79" s="441">
        <f t="shared" si="44"/>
        <v>0</v>
      </c>
      <c r="AG79" s="441">
        <f t="shared" si="44"/>
        <v>0</v>
      </c>
      <c r="AH79" s="452"/>
      <c r="AI79" s="435">
        <f t="shared" si="45"/>
        <v>0</v>
      </c>
      <c r="AJ79" s="435">
        <f t="shared" si="45"/>
        <v>0</v>
      </c>
      <c r="AK79" s="452" t="str">
        <f t="shared" si="27"/>
        <v xml:space="preserve">    ---- </v>
      </c>
      <c r="AL79" s="552"/>
      <c r="AM79" s="552"/>
      <c r="AN79" s="552"/>
      <c r="AO79" s="552"/>
    </row>
    <row r="80" spans="1:41" ht="18.75" customHeight="1" x14ac:dyDescent="0.35">
      <c r="A80" s="569" t="s">
        <v>313</v>
      </c>
      <c r="B80" s="702"/>
      <c r="C80" s="703"/>
      <c r="D80" s="453"/>
      <c r="E80" s="442"/>
      <c r="F80" s="443"/>
      <c r="G80" s="453"/>
      <c r="H80" s="442"/>
      <c r="I80" s="443"/>
      <c r="J80" s="453"/>
      <c r="K80" s="442"/>
      <c r="L80" s="443"/>
      <c r="M80" s="443"/>
      <c r="N80" s="443"/>
      <c r="O80" s="443"/>
      <c r="P80" s="453"/>
      <c r="Q80" s="442"/>
      <c r="R80" s="443"/>
      <c r="S80" s="453"/>
      <c r="T80" s="442"/>
      <c r="U80" s="443"/>
      <c r="V80" s="453"/>
      <c r="W80" s="442">
        <f>SUM(W72:W77)+W79</f>
        <v>-14</v>
      </c>
      <c r="X80" s="443">
        <f>SUM(X72:X77)+X79</f>
        <v>-12</v>
      </c>
      <c r="Y80" s="453">
        <f t="shared" si="46"/>
        <v>-14.3</v>
      </c>
      <c r="Z80" s="442">
        <f>SUM(Z72:Z77)+Z79</f>
        <v>21.56147124000017</v>
      </c>
      <c r="AA80" s="443">
        <f>SUM(AA72:AA77)+AA79</f>
        <v>23.366321710000584</v>
      </c>
      <c r="AB80" s="453">
        <f t="shared" ref="AB80" si="48">IF(Z80=0, "    ---- ", IF(ABS(ROUND(100/Z80*AA80-100,1))&lt;999,ROUND(100/Z80*AA80-100,1),IF(ROUND(100/Z80*AA80-100,1)&gt;999,999,-999)))</f>
        <v>8.4</v>
      </c>
      <c r="AC80" s="443"/>
      <c r="AD80" s="443"/>
      <c r="AE80" s="443"/>
      <c r="AF80" s="443">
        <f t="shared" si="44"/>
        <v>7.56147124000017</v>
      </c>
      <c r="AG80" s="443">
        <f t="shared" si="44"/>
        <v>11.366321710000584</v>
      </c>
      <c r="AH80" s="453">
        <f>IF(AF80=0, "    ---- ", IF(ABS(ROUND(100/AF80*AG80-100,1))&lt;999,ROUND(100/AF80*AG80-100,1),IF(ROUND(100/AF80*AG80-100,1)&gt;999,999,-999)))</f>
        <v>50.3</v>
      </c>
      <c r="AI80" s="433">
        <f t="shared" si="45"/>
        <v>7.56147124000017</v>
      </c>
      <c r="AJ80" s="433">
        <f t="shared" si="45"/>
        <v>11.366321710000584</v>
      </c>
      <c r="AK80" s="453">
        <f t="shared" si="27"/>
        <v>50.3</v>
      </c>
      <c r="AL80" s="555"/>
      <c r="AM80" s="552"/>
      <c r="AN80" s="552"/>
      <c r="AO80" s="552"/>
    </row>
    <row r="81" spans="1:41" ht="18.75" customHeight="1" x14ac:dyDescent="0.35">
      <c r="A81" s="570" t="s">
        <v>314</v>
      </c>
      <c r="B81" s="700"/>
      <c r="C81" s="701"/>
      <c r="D81" s="452"/>
      <c r="E81" s="440"/>
      <c r="F81" s="441"/>
      <c r="G81" s="452"/>
      <c r="H81" s="440"/>
      <c r="I81" s="441"/>
      <c r="J81" s="452"/>
      <c r="K81" s="440"/>
      <c r="L81" s="441"/>
      <c r="M81" s="441"/>
      <c r="N81" s="441"/>
      <c r="O81" s="441"/>
      <c r="P81" s="452"/>
      <c r="Q81" s="440"/>
      <c r="R81" s="441"/>
      <c r="S81" s="452"/>
      <c r="T81" s="440"/>
      <c r="U81" s="441"/>
      <c r="V81" s="452"/>
      <c r="W81" s="440"/>
      <c r="X81" s="441"/>
      <c r="Y81" s="452"/>
      <c r="Z81" s="440"/>
      <c r="AA81" s="441"/>
      <c r="AB81" s="452"/>
      <c r="AC81" s="441"/>
      <c r="AD81" s="441"/>
      <c r="AE81" s="441"/>
      <c r="AF81" s="441">
        <f t="shared" si="44"/>
        <v>0</v>
      </c>
      <c r="AG81" s="441">
        <f t="shared" si="44"/>
        <v>0</v>
      </c>
      <c r="AH81" s="452"/>
      <c r="AI81" s="435">
        <f t="shared" si="45"/>
        <v>0</v>
      </c>
      <c r="AJ81" s="435">
        <f t="shared" si="45"/>
        <v>0</v>
      </c>
      <c r="AK81" s="452" t="str">
        <f t="shared" si="27"/>
        <v xml:space="preserve">    ---- </v>
      </c>
      <c r="AL81" s="552"/>
      <c r="AM81" s="552"/>
      <c r="AN81" s="552"/>
      <c r="AO81" s="552"/>
    </row>
    <row r="82" spans="1:41" ht="18.75" customHeight="1" x14ac:dyDescent="0.35">
      <c r="A82" s="570" t="s">
        <v>315</v>
      </c>
      <c r="B82" s="700"/>
      <c r="C82" s="701"/>
      <c r="D82" s="452"/>
      <c r="E82" s="440"/>
      <c r="F82" s="441"/>
      <c r="G82" s="452"/>
      <c r="H82" s="440"/>
      <c r="I82" s="441"/>
      <c r="J82" s="452"/>
      <c r="K82" s="440"/>
      <c r="L82" s="441"/>
      <c r="M82" s="441"/>
      <c r="N82" s="441"/>
      <c r="O82" s="441"/>
      <c r="P82" s="452"/>
      <c r="Q82" s="440"/>
      <c r="R82" s="441"/>
      <c r="S82" s="452"/>
      <c r="T82" s="440"/>
      <c r="U82" s="441"/>
      <c r="V82" s="452"/>
      <c r="W82" s="440">
        <v>-14</v>
      </c>
      <c r="X82" s="441">
        <v>-12</v>
      </c>
      <c r="Y82" s="452">
        <f t="shared" si="46"/>
        <v>-14.3</v>
      </c>
      <c r="Z82" s="440">
        <v>21.561471240000198</v>
      </c>
      <c r="AA82" s="441">
        <v>23.366321710000584</v>
      </c>
      <c r="AB82" s="452">
        <f t="shared" ref="AB82" si="49">IF(Z82=0, "    ---- ", IF(ABS(ROUND(100/Z82*AA82-100,1))&lt;999,ROUND(100/Z82*AA82-100,1),IF(ROUND(100/Z82*AA82-100,1)&gt;999,999,-999)))</f>
        <v>8.4</v>
      </c>
      <c r="AC82" s="441"/>
      <c r="AD82" s="441"/>
      <c r="AE82" s="441"/>
      <c r="AF82" s="441">
        <f t="shared" si="44"/>
        <v>7.5614712400001984</v>
      </c>
      <c r="AG82" s="441">
        <f t="shared" si="44"/>
        <v>11.366321710000584</v>
      </c>
      <c r="AH82" s="452"/>
      <c r="AI82" s="435">
        <f t="shared" si="45"/>
        <v>7.5614712400001984</v>
      </c>
      <c r="AJ82" s="435">
        <f t="shared" si="45"/>
        <v>11.366321710000584</v>
      </c>
      <c r="AK82" s="452">
        <f t="shared" si="27"/>
        <v>50.3</v>
      </c>
      <c r="AL82" s="552"/>
      <c r="AM82" s="552"/>
      <c r="AN82" s="552"/>
      <c r="AO82" s="552"/>
    </row>
    <row r="83" spans="1:41" ht="18.75" customHeight="1" x14ac:dyDescent="0.35">
      <c r="A83" s="535" t="s">
        <v>331</v>
      </c>
      <c r="B83" s="700"/>
      <c r="C83" s="701"/>
      <c r="D83" s="452"/>
      <c r="E83" s="440"/>
      <c r="F83" s="441"/>
      <c r="G83" s="452"/>
      <c r="H83" s="440"/>
      <c r="I83" s="441"/>
      <c r="J83" s="452"/>
      <c r="K83" s="440"/>
      <c r="L83" s="441"/>
      <c r="M83" s="441"/>
      <c r="N83" s="441"/>
      <c r="O83" s="441"/>
      <c r="P83" s="452"/>
      <c r="Q83" s="440"/>
      <c r="R83" s="441"/>
      <c r="S83" s="452"/>
      <c r="T83" s="440"/>
      <c r="U83" s="441"/>
      <c r="V83" s="452"/>
      <c r="W83" s="440"/>
      <c r="X83" s="441"/>
      <c r="Y83" s="452"/>
      <c r="Z83" s="440"/>
      <c r="AA83" s="441"/>
      <c r="AB83" s="452"/>
      <c r="AC83" s="441"/>
      <c r="AD83" s="441"/>
      <c r="AE83" s="441"/>
      <c r="AF83" s="441"/>
      <c r="AG83" s="441"/>
      <c r="AH83" s="452"/>
      <c r="AI83" s="435"/>
      <c r="AJ83" s="435"/>
      <c r="AK83" s="452"/>
      <c r="AL83" s="552"/>
      <c r="AM83" s="552"/>
      <c r="AN83" s="552"/>
      <c r="AO83" s="552"/>
    </row>
    <row r="84" spans="1:41" ht="18.75" customHeight="1" x14ac:dyDescent="0.35">
      <c r="A84" s="750" t="s">
        <v>497</v>
      </c>
      <c r="B84" s="700">
        <v>1975.6569999999999</v>
      </c>
      <c r="C84" s="701">
        <v>2502.3265692451682</v>
      </c>
      <c r="D84" s="452">
        <f>IF(B84=0, "    ---- ", IF(ABS(ROUND(100/B84*C84-100,1))&lt;999,ROUND(100/B84*C84-100,1),IF(ROUND(100/B84*C84-100,1)&gt;999,999,-999)))</f>
        <v>26.7</v>
      </c>
      <c r="E84" s="440"/>
      <c r="F84" s="441"/>
      <c r="G84" s="452"/>
      <c r="H84" s="440"/>
      <c r="I84" s="441"/>
      <c r="J84" s="452"/>
      <c r="K84" s="440">
        <v>34</v>
      </c>
      <c r="L84" s="441">
        <v>48</v>
      </c>
      <c r="M84" s="441">
        <f>IF(K84=0, "    ---- ", IF(ABS(ROUND(100/K84*L84-100,1))&lt;999,ROUND(100/K84*L84-100,1),IF(ROUND(100/K84*L84-100,1)&gt;999,999,-999)))</f>
        <v>41.2</v>
      </c>
      <c r="N84" s="441"/>
      <c r="O84" s="441"/>
      <c r="P84" s="452"/>
      <c r="Q84" s="440">
        <v>672.53232421712426</v>
      </c>
      <c r="R84" s="441">
        <v>1320.790217866519</v>
      </c>
      <c r="S84" s="452">
        <f>IF(Q84=0, "    ---- ", IF(ABS(ROUND(100/Q84*R84-100,1))&lt;999,ROUND(100/Q84*R84-100,1),IF(ROUND(100/Q84*R84-100,1)&gt;999,999,-999)))</f>
        <v>96.4</v>
      </c>
      <c r="T84" s="440"/>
      <c r="U84" s="441"/>
      <c r="V84" s="452"/>
      <c r="W84" s="440">
        <v>317</v>
      </c>
      <c r="X84" s="441">
        <v>479</v>
      </c>
      <c r="Y84" s="452">
        <f>IF(W84=0, "    ---- ", IF(ABS(ROUND(100/W84*X84-100,1))&lt;999,ROUND(100/W84*X84-100,1),IF(ROUND(100/W84*X84-100,1)&gt;999,999,-999)))</f>
        <v>51.1</v>
      </c>
      <c r="Z84" s="440">
        <v>2171.25152725</v>
      </c>
      <c r="AA84" s="441">
        <v>2735.6367108999971</v>
      </c>
      <c r="AB84" s="452">
        <f>IF(Z84=0, "    ---- ", IF(ABS(ROUND(100/Z84*AA84-100,1))&lt;999,ROUND(100/Z84*AA84-100,1),IF(ROUND(100/Z84*AA84-100,1)&gt;999,999,-999)))</f>
        <v>26</v>
      </c>
      <c r="AC84" s="441"/>
      <c r="AD84" s="441"/>
      <c r="AE84" s="441"/>
      <c r="AF84" s="441">
        <f t="shared" ref="AF84:AG84" si="50">B84+E84+H84+K84+N84+Q84+T84+W84+Z84</f>
        <v>5170.440851467124</v>
      </c>
      <c r="AG84" s="441">
        <f t="shared" si="50"/>
        <v>7085.7534980116834</v>
      </c>
      <c r="AH84" s="452">
        <f t="shared" si="26"/>
        <v>37</v>
      </c>
      <c r="AI84" s="435">
        <f t="shared" ref="AI84:AJ84" si="51">B84+E84+H84+K84+N84+Q84+T84+W84+Z84+AC84</f>
        <v>5170.440851467124</v>
      </c>
      <c r="AJ84" s="435">
        <f t="shared" si="51"/>
        <v>7085.7534980116834</v>
      </c>
      <c r="AK84" s="452">
        <f t="shared" si="27"/>
        <v>37</v>
      </c>
      <c r="AL84" s="552"/>
      <c r="AM84" s="552"/>
      <c r="AN84" s="552"/>
      <c r="AO84" s="552"/>
    </row>
    <row r="85" spans="1:41" ht="18.75" customHeight="1" x14ac:dyDescent="0.35">
      <c r="A85" s="421" t="s">
        <v>498</v>
      </c>
      <c r="B85" s="694">
        <v>-1526.847</v>
      </c>
      <c r="C85" s="699">
        <v>-1601.2989600000001</v>
      </c>
      <c r="D85" s="452">
        <f>IF(B85=0, "    ---- ", IF(ABS(ROUND(100/B85*C85-100,1))&lt;999,ROUND(100/B85*C85-100,1),IF(ROUND(100/B85*C85-100,1)&gt;999,999,-999)))</f>
        <v>4.9000000000000004</v>
      </c>
      <c r="E85" s="440"/>
      <c r="F85" s="441"/>
      <c r="G85" s="452"/>
      <c r="H85" s="440"/>
      <c r="I85" s="441"/>
      <c r="J85" s="452"/>
      <c r="K85" s="440"/>
      <c r="L85" s="441"/>
      <c r="M85" s="441"/>
      <c r="N85" s="441"/>
      <c r="O85" s="441"/>
      <c r="P85" s="452"/>
      <c r="Q85" s="440">
        <v>-214.25251499999999</v>
      </c>
      <c r="R85" s="441">
        <v>-380.62559219999997</v>
      </c>
      <c r="S85" s="452">
        <f>IF(Q85=0, "    ---- ", IF(ABS(ROUND(100/Q85*R85-100,1))&lt;999,ROUND(100/Q85*R85-100,1),IF(ROUND(100/Q85*R85-100,1)&gt;999,999,-999)))</f>
        <v>77.7</v>
      </c>
      <c r="T85" s="440"/>
      <c r="U85" s="441"/>
      <c r="V85" s="452"/>
      <c r="W85" s="440">
        <v>-69</v>
      </c>
      <c r="X85" s="441">
        <v>-148</v>
      </c>
      <c r="Y85" s="452"/>
      <c r="Z85" s="440">
        <v>-1492.806319</v>
      </c>
      <c r="AA85" s="441">
        <v>-1302.4247989999999</v>
      </c>
      <c r="AB85" s="452">
        <f>IF(Z85=0, "    ---- ", IF(ABS(ROUND(100/Z85*AA85-100,1))&lt;999,ROUND(100/Z85*AA85-100,1),IF(ROUND(100/Z85*AA85-100,1)&gt;999,999,-999)))</f>
        <v>-12.8</v>
      </c>
      <c r="AC85" s="441"/>
      <c r="AD85" s="441"/>
      <c r="AE85" s="441"/>
      <c r="AF85" s="441">
        <f t="shared" ref="AF85" si="52">B85+E85+H85+K85+N85+Q85+T85+W85+Z85</f>
        <v>-3302.9058340000001</v>
      </c>
      <c r="AG85" s="441">
        <f t="shared" ref="AG85" si="53">C85+F85+I85+L85+O85+R85+U85+X85+AA85</f>
        <v>-3432.3493512</v>
      </c>
      <c r="AH85" s="452">
        <f t="shared" ref="AH85" si="54">IF(AF85=0, "    ---- ", IF(ABS(ROUND(100/AF85*AG85-100,1))&lt;999,ROUND(100/AF85*AG85-100,1),IF(ROUND(100/AF85*AG85-100,1)&gt;999,999,-999)))</f>
        <v>3.9</v>
      </c>
      <c r="AI85" s="435">
        <f t="shared" ref="AI85" si="55">B85+E85+H85+K85+N85+Q85+T85+W85+Z85+AC85</f>
        <v>-3302.9058340000001</v>
      </c>
      <c r="AJ85" s="435">
        <f t="shared" ref="AJ85" si="56">C85+F85+I85+L85+O85+R85+U85+X85+AA85+AD85</f>
        <v>-3432.3493512</v>
      </c>
      <c r="AK85" s="452">
        <f t="shared" ref="AK85" si="57">IF(AI85=0, "    ---- ", IF(ABS(ROUND(100/AI85*AJ85-100,1))&lt;999,ROUND(100/AI85*AJ85-100,1),IF(ROUND(100/AI85*AJ85-100,1)&gt;999,999,-999)))</f>
        <v>3.9</v>
      </c>
      <c r="AL85" s="552"/>
      <c r="AM85" s="552"/>
      <c r="AN85" s="552"/>
      <c r="AO85" s="552"/>
    </row>
    <row r="86" spans="1:41" ht="18.75" customHeight="1" x14ac:dyDescent="0.35">
      <c r="A86" s="421" t="s">
        <v>307</v>
      </c>
      <c r="B86" s="700">
        <v>112</v>
      </c>
      <c r="C86" s="701">
        <v>107.28873768799002</v>
      </c>
      <c r="D86" s="452">
        <f>IF(B86=0, "    ---- ", IF(ABS(ROUND(100/B86*C86-100,1))&lt;999,ROUND(100/B86*C86-100,1),IF(ROUND(100/B86*C86-100,1)&gt;999,999,-999)))</f>
        <v>-4.2</v>
      </c>
      <c r="E86" s="440"/>
      <c r="F86" s="441"/>
      <c r="G86" s="452"/>
      <c r="H86" s="440"/>
      <c r="I86" s="441"/>
      <c r="J86" s="452"/>
      <c r="K86" s="440">
        <v>-7</v>
      </c>
      <c r="L86" s="441">
        <v>-8</v>
      </c>
      <c r="M86" s="441">
        <f>IF(K86=0, "    ---- ", IF(ABS(ROUND(100/K86*L86-100,1))&lt;999,ROUND(100/K86*L86-100,1),IF(ROUND(100/K86*L86-100,1)&gt;999,999,-999)))</f>
        <v>14.3</v>
      </c>
      <c r="N86" s="441"/>
      <c r="O86" s="441"/>
      <c r="P86" s="452"/>
      <c r="Q86" s="440">
        <v>69.180394861870511</v>
      </c>
      <c r="R86" s="441">
        <v>64.373642212198419</v>
      </c>
      <c r="S86" s="452">
        <f>IF(Q86=0, "    ---- ", IF(ABS(ROUND(100/Q86*R86-100,1))&lt;999,ROUND(100/Q86*R86-100,1),IF(ROUND(100/Q86*R86-100,1)&gt;999,999,-999)))</f>
        <v>-6.9</v>
      </c>
      <c r="T86" s="440"/>
      <c r="U86" s="441"/>
      <c r="V86" s="452"/>
      <c r="W86" s="440">
        <v>42</v>
      </c>
      <c r="X86" s="441">
        <v>37</v>
      </c>
      <c r="Y86" s="452">
        <f>IF(W86=0, "    ---- ", IF(ABS(ROUND(100/W86*X86-100,1))&lt;999,ROUND(100/W86*X86-100,1),IF(ROUND(100/W86*X86-100,1)&gt;999,999,-999)))</f>
        <v>-11.9</v>
      </c>
      <c r="Z86" s="440">
        <v>232.38009761000001</v>
      </c>
      <c r="AA86" s="441">
        <v>217.35990987000008</v>
      </c>
      <c r="AB86" s="452">
        <f>IF(Z86=0, "    ---- ", IF(ABS(ROUND(100/Z86*AA86-100,1))&lt;999,ROUND(100/Z86*AA86-100,1),IF(ROUND(100/Z86*AA86-100,1)&gt;999,999,-999)))</f>
        <v>-6.5</v>
      </c>
      <c r="AC86" s="441"/>
      <c r="AD86" s="441"/>
      <c r="AE86" s="441"/>
      <c r="AF86" s="441">
        <f t="shared" ref="AF86:AG94" si="58">B86+E86+H86+K86+N86+Q86+T86+W86+Z86</f>
        <v>448.56049247187053</v>
      </c>
      <c r="AG86" s="441">
        <f t="shared" si="58"/>
        <v>418.02228977018854</v>
      </c>
      <c r="AH86" s="452">
        <f t="shared" si="26"/>
        <v>-6.8</v>
      </c>
      <c r="AI86" s="435">
        <f t="shared" ref="AI86:AJ94" si="59">B86+E86+H86+K86+N86+Q86+T86+W86+Z86+AC86</f>
        <v>448.56049247187053</v>
      </c>
      <c r="AJ86" s="435">
        <f t="shared" si="59"/>
        <v>418.02228977018854</v>
      </c>
      <c r="AK86" s="452">
        <f t="shared" si="27"/>
        <v>-6.8</v>
      </c>
      <c r="AL86" s="552"/>
      <c r="AM86" s="552"/>
      <c r="AN86" s="552"/>
      <c r="AO86" s="552"/>
    </row>
    <row r="87" spans="1:41" ht="18.75" customHeight="1" x14ac:dyDescent="0.35">
      <c r="A87" s="421" t="s">
        <v>308</v>
      </c>
      <c r="B87" s="700"/>
      <c r="C87" s="701"/>
      <c r="D87" s="452"/>
      <c r="E87" s="440"/>
      <c r="F87" s="441"/>
      <c r="G87" s="452"/>
      <c r="H87" s="440"/>
      <c r="I87" s="441"/>
      <c r="J87" s="452"/>
      <c r="K87" s="440"/>
      <c r="L87" s="441"/>
      <c r="M87" s="441"/>
      <c r="N87" s="441"/>
      <c r="O87" s="441"/>
      <c r="P87" s="452"/>
      <c r="Q87" s="440"/>
      <c r="R87" s="441"/>
      <c r="S87" s="452"/>
      <c r="T87" s="440"/>
      <c r="U87" s="441"/>
      <c r="V87" s="452"/>
      <c r="W87" s="440"/>
      <c r="X87" s="441"/>
      <c r="Y87" s="452"/>
      <c r="Z87" s="440"/>
      <c r="AA87" s="441"/>
      <c r="AB87" s="452"/>
      <c r="AC87" s="441"/>
      <c r="AD87" s="441"/>
      <c r="AE87" s="441"/>
      <c r="AF87" s="441">
        <f t="shared" si="58"/>
        <v>0</v>
      </c>
      <c r="AG87" s="441">
        <f t="shared" si="58"/>
        <v>0</v>
      </c>
      <c r="AH87" s="452" t="str">
        <f t="shared" si="26"/>
        <v xml:space="preserve">    ---- </v>
      </c>
      <c r="AI87" s="435">
        <f t="shared" si="59"/>
        <v>0</v>
      </c>
      <c r="AJ87" s="435">
        <f t="shared" si="59"/>
        <v>0</v>
      </c>
      <c r="AK87" s="452" t="str">
        <f t="shared" si="27"/>
        <v xml:space="preserve">    ---- </v>
      </c>
      <c r="AL87" s="552"/>
      <c r="AM87" s="552"/>
      <c r="AN87" s="552"/>
      <c r="AO87" s="552"/>
    </row>
    <row r="88" spans="1:41" ht="18.75" customHeight="1" x14ac:dyDescent="0.35">
      <c r="A88" s="421" t="s">
        <v>309</v>
      </c>
      <c r="B88" s="700"/>
      <c r="C88" s="701"/>
      <c r="D88" s="452"/>
      <c r="E88" s="440"/>
      <c r="F88" s="441"/>
      <c r="G88" s="452"/>
      <c r="H88" s="440"/>
      <c r="I88" s="441"/>
      <c r="J88" s="452"/>
      <c r="K88" s="440"/>
      <c r="L88" s="441"/>
      <c r="M88" s="441"/>
      <c r="N88" s="441"/>
      <c r="O88" s="441"/>
      <c r="P88" s="452"/>
      <c r="Q88" s="440"/>
      <c r="R88" s="441"/>
      <c r="S88" s="452"/>
      <c r="T88" s="440"/>
      <c r="U88" s="441"/>
      <c r="V88" s="452"/>
      <c r="W88" s="440"/>
      <c r="X88" s="441"/>
      <c r="Y88" s="452"/>
      <c r="Z88" s="440">
        <v>48.023278019999999</v>
      </c>
      <c r="AA88" s="441">
        <v>2</v>
      </c>
      <c r="AB88" s="452">
        <f t="shared" ref="AB88" si="60">IF(Z88=0, "    ---- ", IF(ABS(ROUND(100/Z88*AA88-100,1))&lt;999,ROUND(100/Z88*AA88-100,1),IF(ROUND(100/Z88*AA88-100,1)&gt;999,999,-999)))</f>
        <v>-95.8</v>
      </c>
      <c r="AC88" s="441"/>
      <c r="AD88" s="441"/>
      <c r="AE88" s="441"/>
      <c r="AF88" s="441">
        <f t="shared" si="58"/>
        <v>48.023278019999999</v>
      </c>
      <c r="AG88" s="441">
        <f t="shared" si="58"/>
        <v>2</v>
      </c>
      <c r="AH88" s="452">
        <f t="shared" si="26"/>
        <v>-95.8</v>
      </c>
      <c r="AI88" s="435">
        <f t="shared" si="59"/>
        <v>48.023278019999999</v>
      </c>
      <c r="AJ88" s="435">
        <f t="shared" si="59"/>
        <v>2</v>
      </c>
      <c r="AK88" s="452">
        <f t="shared" si="27"/>
        <v>-95.8</v>
      </c>
      <c r="AL88" s="552"/>
      <c r="AM88" s="552"/>
      <c r="AN88" s="552"/>
      <c r="AO88" s="552"/>
    </row>
    <row r="89" spans="1:41" ht="18.75" customHeight="1" x14ac:dyDescent="0.35">
      <c r="A89" s="421" t="s">
        <v>310</v>
      </c>
      <c r="B89" s="700">
        <v>397.59500000000003</v>
      </c>
      <c r="C89" s="701">
        <v>300.99530000000004</v>
      </c>
      <c r="D89" s="452">
        <f t="shared" ref="D89:D94" si="61">IF(B89=0, "    ---- ", IF(ABS(ROUND(100/B89*C89-100,1))&lt;999,ROUND(100/B89*C89-100,1),IF(ROUND(100/B89*C89-100,1)&gt;999,999,-999)))</f>
        <v>-24.3</v>
      </c>
      <c r="E89" s="440"/>
      <c r="F89" s="441"/>
      <c r="G89" s="452"/>
      <c r="H89" s="440"/>
      <c r="I89" s="441"/>
      <c r="J89" s="452"/>
      <c r="K89" s="440">
        <v>0</v>
      </c>
      <c r="L89" s="441">
        <v>7</v>
      </c>
      <c r="M89" s="441" t="str">
        <f>IF(K89=0, "    ---- ", IF(ABS(ROUND(100/K89*L89-100,1))&lt;999,ROUND(100/K89*L89-100,1),IF(ROUND(100/K89*L89-100,1)&gt;999,999,-999)))</f>
        <v xml:space="preserve">    ---- </v>
      </c>
      <c r="N89" s="441"/>
      <c r="O89" s="441"/>
      <c r="P89" s="452"/>
      <c r="Q89" s="440">
        <v>89.896423806713983</v>
      </c>
      <c r="R89" s="441">
        <v>86.191307447980094</v>
      </c>
      <c r="S89" s="452">
        <f t="shared" ref="S89:S94" si="62">IF(Q89=0, "    ---- ", IF(ABS(ROUND(100/Q89*R89-100,1))&lt;999,ROUND(100/Q89*R89-100,1),IF(ROUND(100/Q89*R89-100,1)&gt;999,999,-999)))</f>
        <v>-4.0999999999999996</v>
      </c>
      <c r="T89" s="440"/>
      <c r="U89" s="441"/>
      <c r="V89" s="452"/>
      <c r="W89" s="440">
        <v>45</v>
      </c>
      <c r="X89" s="441">
        <v>63</v>
      </c>
      <c r="Y89" s="452">
        <f>IF(W89=0, "    ---- ", IF(ABS(ROUND(100/W89*X89-100,1))&lt;999,ROUND(100/W89*X89-100,1),IF(ROUND(100/W89*X89-100,1)&gt;999,999,-999)))</f>
        <v>40</v>
      </c>
      <c r="Z89" s="440">
        <v>307.73516208000001</v>
      </c>
      <c r="AA89" s="441">
        <v>427.70088281000011</v>
      </c>
      <c r="AB89" s="452">
        <f t="shared" ref="AB89:AB94" si="63">IF(Z89=0, "    ---- ", IF(ABS(ROUND(100/Z89*AA89-100,1))&lt;999,ROUND(100/Z89*AA89-100,1),IF(ROUND(100/Z89*AA89-100,1)&gt;999,999,-999)))</f>
        <v>39</v>
      </c>
      <c r="AC89" s="441"/>
      <c r="AD89" s="441"/>
      <c r="AE89" s="441"/>
      <c r="AF89" s="441">
        <f t="shared" si="58"/>
        <v>840.22658588671402</v>
      </c>
      <c r="AG89" s="441">
        <f t="shared" si="58"/>
        <v>884.88749025798029</v>
      </c>
      <c r="AH89" s="452">
        <f t="shared" si="26"/>
        <v>5.3</v>
      </c>
      <c r="AI89" s="435">
        <f t="shared" si="59"/>
        <v>840.22658588671402</v>
      </c>
      <c r="AJ89" s="435">
        <f t="shared" si="59"/>
        <v>884.88749025798029</v>
      </c>
      <c r="AK89" s="452">
        <f t="shared" si="27"/>
        <v>5.3</v>
      </c>
      <c r="AL89" s="552"/>
      <c r="AM89" s="552"/>
      <c r="AN89" s="552"/>
      <c r="AO89" s="552"/>
    </row>
    <row r="90" spans="1:41" ht="18.75" customHeight="1" x14ac:dyDescent="0.35">
      <c r="A90" s="421" t="s">
        <v>311</v>
      </c>
      <c r="B90" s="700"/>
      <c r="C90" s="701"/>
      <c r="D90" s="452"/>
      <c r="E90" s="440"/>
      <c r="F90" s="441"/>
      <c r="G90" s="452"/>
      <c r="H90" s="440"/>
      <c r="I90" s="441"/>
      <c r="J90" s="452"/>
      <c r="K90" s="440"/>
      <c r="L90" s="441"/>
      <c r="M90" s="441"/>
      <c r="N90" s="441"/>
      <c r="O90" s="441"/>
      <c r="P90" s="452"/>
      <c r="Q90" s="440">
        <v>230.86640024054662</v>
      </c>
      <c r="R90" s="441">
        <v>286.546125957382</v>
      </c>
      <c r="S90" s="452">
        <f t="shared" si="62"/>
        <v>24.1</v>
      </c>
      <c r="T90" s="440"/>
      <c r="U90" s="441"/>
      <c r="V90" s="452"/>
      <c r="W90" s="440"/>
      <c r="X90" s="441"/>
      <c r="Y90" s="452"/>
      <c r="Z90" s="440">
        <v>216.05464000000001</v>
      </c>
      <c r="AA90" s="441">
        <v>298.125631</v>
      </c>
      <c r="AB90" s="452">
        <f t="shared" si="63"/>
        <v>38</v>
      </c>
      <c r="AC90" s="441"/>
      <c r="AD90" s="441"/>
      <c r="AE90" s="441"/>
      <c r="AF90" s="441">
        <f t="shared" si="58"/>
        <v>446.92104024054663</v>
      </c>
      <c r="AG90" s="441">
        <f t="shared" si="58"/>
        <v>584.67175695738206</v>
      </c>
      <c r="AH90" s="452">
        <f t="shared" si="26"/>
        <v>30.8</v>
      </c>
      <c r="AI90" s="435">
        <f t="shared" si="59"/>
        <v>446.92104024054663</v>
      </c>
      <c r="AJ90" s="435">
        <f t="shared" si="59"/>
        <v>584.67175695738206</v>
      </c>
      <c r="AK90" s="452">
        <f t="shared" si="27"/>
        <v>30.8</v>
      </c>
      <c r="AL90" s="552"/>
      <c r="AM90" s="552"/>
      <c r="AN90" s="552"/>
      <c r="AO90" s="552"/>
    </row>
    <row r="91" spans="1:41" ht="18.75" customHeight="1" x14ac:dyDescent="0.35">
      <c r="A91" s="421" t="s">
        <v>312</v>
      </c>
      <c r="B91" s="700"/>
      <c r="C91" s="701"/>
      <c r="D91" s="452"/>
      <c r="E91" s="440"/>
      <c r="F91" s="441"/>
      <c r="G91" s="452"/>
      <c r="H91" s="440"/>
      <c r="I91" s="441"/>
      <c r="J91" s="452"/>
      <c r="K91" s="440"/>
      <c r="L91" s="441"/>
      <c r="M91" s="441"/>
      <c r="N91" s="441"/>
      <c r="O91" s="441"/>
      <c r="P91" s="452"/>
      <c r="Q91" s="440"/>
      <c r="R91" s="441"/>
      <c r="S91" s="452"/>
      <c r="T91" s="440"/>
      <c r="U91" s="441"/>
      <c r="V91" s="452"/>
      <c r="W91" s="440"/>
      <c r="X91" s="441"/>
      <c r="Y91" s="452"/>
      <c r="Z91" s="440">
        <v>-5.6999999999999998E-4</v>
      </c>
      <c r="AA91" s="441">
        <v>-5.6899999999999995E-4</v>
      </c>
      <c r="AB91" s="452">
        <f t="shared" si="63"/>
        <v>-0.2</v>
      </c>
      <c r="AC91" s="441"/>
      <c r="AD91" s="441"/>
      <c r="AE91" s="441"/>
      <c r="AF91" s="441">
        <f t="shared" si="58"/>
        <v>-5.6999999999999998E-4</v>
      </c>
      <c r="AG91" s="441">
        <f t="shared" si="58"/>
        <v>-5.6899999999999995E-4</v>
      </c>
      <c r="AH91" s="452">
        <f t="shared" si="26"/>
        <v>-0.2</v>
      </c>
      <c r="AI91" s="435">
        <f t="shared" si="59"/>
        <v>-5.6999999999999998E-4</v>
      </c>
      <c r="AJ91" s="435">
        <f t="shared" si="59"/>
        <v>-5.6899999999999995E-4</v>
      </c>
      <c r="AK91" s="452">
        <f t="shared" si="27"/>
        <v>-0.2</v>
      </c>
      <c r="AL91" s="552"/>
      <c r="AM91" s="552"/>
      <c r="AN91" s="552"/>
      <c r="AO91" s="552"/>
    </row>
    <row r="92" spans="1:41" s="568" customFormat="1" ht="18.75" customHeight="1" x14ac:dyDescent="0.3">
      <c r="A92" s="535" t="s">
        <v>313</v>
      </c>
      <c r="B92" s="702">
        <f>SUM(B84:B89)+B91</f>
        <v>958.40499999999997</v>
      </c>
      <c r="C92" s="703">
        <f>SUM(C84:C89)+C91</f>
        <v>1309.3116469331583</v>
      </c>
      <c r="D92" s="453">
        <f t="shared" si="61"/>
        <v>36.6</v>
      </c>
      <c r="E92" s="442"/>
      <c r="F92" s="443"/>
      <c r="G92" s="453"/>
      <c r="H92" s="442"/>
      <c r="I92" s="443"/>
      <c r="J92" s="453"/>
      <c r="K92" s="442">
        <f>SUM(K84:K89)+K91</f>
        <v>27</v>
      </c>
      <c r="L92" s="443">
        <f>SUM(L84:L89)+L91</f>
        <v>47</v>
      </c>
      <c r="M92" s="443">
        <f>IF(K92=0, "    ---- ", IF(ABS(ROUND(100/K92*L92-100,1))&lt;999,ROUND(100/K92*L92-100,1),IF(ROUND(100/K92*L92-100,1)&gt;999,999,-999)))</f>
        <v>74.099999999999994</v>
      </c>
      <c r="N92" s="443"/>
      <c r="O92" s="443"/>
      <c r="P92" s="453"/>
      <c r="Q92" s="442">
        <f>SUM(Q84:Q89)+Q91</f>
        <v>617.35662788570869</v>
      </c>
      <c r="R92" s="443">
        <f>SUM(R84:R89)+R91</f>
        <v>1090.7295753266976</v>
      </c>
      <c r="S92" s="453">
        <f t="shared" si="62"/>
        <v>76.7</v>
      </c>
      <c r="T92" s="442"/>
      <c r="U92" s="443"/>
      <c r="V92" s="453"/>
      <c r="W92" s="442">
        <f>SUM(W84:W89)+W91</f>
        <v>335</v>
      </c>
      <c r="X92" s="443">
        <f>SUM(X84:X89)+X91</f>
        <v>431</v>
      </c>
      <c r="Y92" s="453">
        <f>IF(W92=0, "    ---- ", IF(ABS(ROUND(100/W92*X92-100,1))&lt;999,ROUND(100/W92*X92-100,1),IF(ROUND(100/W92*X92-100,1)&gt;999,999,-999)))</f>
        <v>28.7</v>
      </c>
      <c r="Z92" s="442">
        <f>SUM(Z84:Z89)+Z91</f>
        <v>1266.5831759600001</v>
      </c>
      <c r="AA92" s="443">
        <f>SUM(AA84:AA89)+AA91</f>
        <v>2080.2721355799977</v>
      </c>
      <c r="AB92" s="453">
        <f t="shared" si="63"/>
        <v>64.2</v>
      </c>
      <c r="AC92" s="443"/>
      <c r="AD92" s="443"/>
      <c r="AE92" s="443"/>
      <c r="AF92" s="443">
        <f t="shared" si="58"/>
        <v>3204.3448038457086</v>
      </c>
      <c r="AG92" s="443">
        <f t="shared" si="58"/>
        <v>4958.3133578398538</v>
      </c>
      <c r="AH92" s="453">
        <f t="shared" si="26"/>
        <v>54.7</v>
      </c>
      <c r="AI92" s="433">
        <f t="shared" si="59"/>
        <v>3204.3448038457086</v>
      </c>
      <c r="AJ92" s="433">
        <f t="shared" si="59"/>
        <v>4958.3133578398538</v>
      </c>
      <c r="AK92" s="453">
        <f t="shared" si="27"/>
        <v>54.7</v>
      </c>
      <c r="AL92" s="555"/>
      <c r="AM92" s="555"/>
      <c r="AN92" s="555"/>
      <c r="AO92" s="555"/>
    </row>
    <row r="93" spans="1:41" ht="18.75" customHeight="1" x14ac:dyDescent="0.35">
      <c r="A93" s="421" t="s">
        <v>314</v>
      </c>
      <c r="B93" s="700">
        <v>482</v>
      </c>
      <c r="C93" s="701">
        <v>872.91977576490501</v>
      </c>
      <c r="D93" s="452">
        <f t="shared" si="61"/>
        <v>81.099999999999994</v>
      </c>
      <c r="E93" s="440"/>
      <c r="F93" s="441"/>
      <c r="G93" s="452"/>
      <c r="H93" s="440"/>
      <c r="I93" s="441"/>
      <c r="J93" s="452"/>
      <c r="K93" s="440">
        <v>30</v>
      </c>
      <c r="L93" s="441">
        <v>47</v>
      </c>
      <c r="M93" s="441">
        <f>IF(K93=0, "    ---- ", IF(ABS(ROUND(100/K93*L93-100,1))&lt;999,ROUND(100/K93*L93-100,1),IF(ROUND(100/K93*L93-100,1)&gt;999,999,-999)))</f>
        <v>56.7</v>
      </c>
      <c r="N93" s="441"/>
      <c r="O93" s="441"/>
      <c r="P93" s="452"/>
      <c r="Q93" s="440">
        <v>399.20398874728409</v>
      </c>
      <c r="R93" s="441">
        <v>768.16245859766366</v>
      </c>
      <c r="S93" s="452">
        <f t="shared" si="62"/>
        <v>92.4</v>
      </c>
      <c r="T93" s="440"/>
      <c r="U93" s="441"/>
      <c r="V93" s="452"/>
      <c r="W93" s="440">
        <v>221</v>
      </c>
      <c r="X93" s="441">
        <v>298</v>
      </c>
      <c r="Y93" s="452">
        <f>IF(W93=0, "    ---- ", IF(ABS(ROUND(100/W93*X93-100,1))&lt;999,ROUND(100/W93*X93-100,1),IF(ROUND(100/W93*X93-100,1)&gt;999,999,-999)))</f>
        <v>34.799999999999997</v>
      </c>
      <c r="Z93" s="440">
        <v>665.65472599999998</v>
      </c>
      <c r="AA93" s="441">
        <v>1275.3490999999999</v>
      </c>
      <c r="AB93" s="452">
        <f t="shared" si="63"/>
        <v>91.6</v>
      </c>
      <c r="AC93" s="441"/>
      <c r="AD93" s="441"/>
      <c r="AE93" s="441"/>
      <c r="AF93" s="441">
        <f t="shared" si="58"/>
        <v>1797.858714747284</v>
      </c>
      <c r="AG93" s="441">
        <f t="shared" si="58"/>
        <v>3261.4313343625686</v>
      </c>
      <c r="AH93" s="452">
        <f t="shared" si="26"/>
        <v>81.400000000000006</v>
      </c>
      <c r="AI93" s="435">
        <f t="shared" si="59"/>
        <v>1797.858714747284</v>
      </c>
      <c r="AJ93" s="435">
        <f t="shared" si="59"/>
        <v>3261.4313343625686</v>
      </c>
      <c r="AK93" s="452">
        <f t="shared" si="27"/>
        <v>81.400000000000006</v>
      </c>
      <c r="AL93" s="552"/>
      <c r="AM93" s="552"/>
      <c r="AN93" s="552"/>
      <c r="AO93" s="552"/>
    </row>
    <row r="94" spans="1:41" ht="18.75" customHeight="1" x14ac:dyDescent="0.35">
      <c r="A94" s="421" t="s">
        <v>315</v>
      </c>
      <c r="B94" s="700">
        <v>476</v>
      </c>
      <c r="C94" s="701">
        <v>436.39187116825326</v>
      </c>
      <c r="D94" s="452">
        <f t="shared" si="61"/>
        <v>-8.3000000000000007</v>
      </c>
      <c r="E94" s="440"/>
      <c r="F94" s="441"/>
      <c r="G94" s="452"/>
      <c r="H94" s="440"/>
      <c r="I94" s="441"/>
      <c r="J94" s="452"/>
      <c r="K94" s="440">
        <v>-3</v>
      </c>
      <c r="L94" s="441">
        <v>0</v>
      </c>
      <c r="M94" s="441">
        <f>IF(K94=0, "    ---- ", IF(ABS(ROUND(100/K94*L94-100,1))&lt;999,ROUND(100/K94*L94-100,1),IF(ROUND(100/K94*L94-100,1)&gt;999,999,-999)))</f>
        <v>-100</v>
      </c>
      <c r="N94" s="441"/>
      <c r="O94" s="441"/>
      <c r="P94" s="452"/>
      <c r="Q94" s="440">
        <v>218.1526391384246</v>
      </c>
      <c r="R94" s="441">
        <v>322.56711672903396</v>
      </c>
      <c r="S94" s="452">
        <f t="shared" si="62"/>
        <v>47.9</v>
      </c>
      <c r="T94" s="440"/>
      <c r="U94" s="441"/>
      <c r="V94" s="452"/>
      <c r="W94" s="440">
        <v>114</v>
      </c>
      <c r="X94" s="441">
        <v>133</v>
      </c>
      <c r="Y94" s="452">
        <f>IF(W94=0, "    ---- ", IF(ABS(ROUND(100/W94*X94-100,1))&lt;999,ROUND(100/W94*X94-100,1),IF(ROUND(100/W94*X94-100,1)&gt;999,999,-999)))</f>
        <v>16.7</v>
      </c>
      <c r="Z94" s="440">
        <v>600.92844996000201</v>
      </c>
      <c r="AA94" s="441">
        <v>804.92303557999776</v>
      </c>
      <c r="AB94" s="452">
        <f t="shared" si="63"/>
        <v>33.9</v>
      </c>
      <c r="AC94" s="441"/>
      <c r="AD94" s="441"/>
      <c r="AE94" s="441"/>
      <c r="AF94" s="441">
        <f t="shared" si="58"/>
        <v>1406.0810890984267</v>
      </c>
      <c r="AG94" s="441">
        <f t="shared" si="58"/>
        <v>1696.882023477285</v>
      </c>
      <c r="AH94" s="452">
        <f t="shared" si="26"/>
        <v>20.7</v>
      </c>
      <c r="AI94" s="435">
        <f t="shared" si="59"/>
        <v>1406.0810890984267</v>
      </c>
      <c r="AJ94" s="435">
        <f t="shared" si="59"/>
        <v>1696.882023477285</v>
      </c>
      <c r="AK94" s="452">
        <f t="shared" si="27"/>
        <v>20.7</v>
      </c>
      <c r="AL94" s="552"/>
      <c r="AM94" s="552"/>
      <c r="AN94" s="552"/>
      <c r="AO94" s="552"/>
    </row>
    <row r="95" spans="1:41" ht="18.75" customHeight="1" x14ac:dyDescent="0.35">
      <c r="A95" s="535" t="s">
        <v>332</v>
      </c>
      <c r="B95" s="700"/>
      <c r="C95" s="701"/>
      <c r="D95" s="452"/>
      <c r="E95" s="440"/>
      <c r="F95" s="441"/>
      <c r="G95" s="452"/>
      <c r="H95" s="440"/>
      <c r="I95" s="441"/>
      <c r="J95" s="452"/>
      <c r="K95" s="440"/>
      <c r="L95" s="441"/>
      <c r="M95" s="441"/>
      <c r="N95" s="441"/>
      <c r="O95" s="441"/>
      <c r="P95" s="452"/>
      <c r="Q95" s="440"/>
      <c r="R95" s="441"/>
      <c r="S95" s="452"/>
      <c r="T95" s="440"/>
      <c r="U95" s="441"/>
      <c r="V95" s="452"/>
      <c r="W95" s="440"/>
      <c r="X95" s="441"/>
      <c r="Y95" s="452"/>
      <c r="Z95" s="440"/>
      <c r="AA95" s="441"/>
      <c r="AB95" s="452"/>
      <c r="AC95" s="441"/>
      <c r="AD95" s="441"/>
      <c r="AE95" s="441"/>
      <c r="AF95" s="441"/>
      <c r="AG95" s="441"/>
      <c r="AH95" s="452"/>
      <c r="AI95" s="435"/>
      <c r="AJ95" s="435"/>
      <c r="AK95" s="452"/>
      <c r="AL95" s="552"/>
      <c r="AM95" s="552"/>
      <c r="AN95" s="552"/>
      <c r="AO95" s="552"/>
    </row>
    <row r="96" spans="1:41" ht="18.75" customHeight="1" x14ac:dyDescent="0.35">
      <c r="A96" s="750" t="s">
        <v>497</v>
      </c>
      <c r="B96" s="700"/>
      <c r="C96" s="701"/>
      <c r="D96" s="452"/>
      <c r="E96" s="440"/>
      <c r="F96" s="441"/>
      <c r="G96" s="452"/>
      <c r="H96" s="440"/>
      <c r="I96" s="441"/>
      <c r="J96" s="452"/>
      <c r="K96" s="440"/>
      <c r="L96" s="441"/>
      <c r="M96" s="441"/>
      <c r="N96" s="441"/>
      <c r="O96" s="441"/>
      <c r="P96" s="452"/>
      <c r="Q96" s="440">
        <v>4.8041578808456755</v>
      </c>
      <c r="R96" s="441">
        <v>6.7066102065834325</v>
      </c>
      <c r="S96" s="452">
        <f>IF(Q96=0, "    ---- ", IF(ABS(ROUND(100/Q96*R96-100,1))&lt;999,ROUND(100/Q96*R96-100,1),IF(ROUND(100/Q96*R96-100,1)&gt;999,999,-999)))</f>
        <v>39.6</v>
      </c>
      <c r="T96" s="440"/>
      <c r="U96" s="441"/>
      <c r="V96" s="452"/>
      <c r="W96" s="440"/>
      <c r="X96" s="441"/>
      <c r="Y96" s="452"/>
      <c r="Z96" s="440">
        <v>29.41318205</v>
      </c>
      <c r="AA96" s="441">
        <v>27.397015979999935</v>
      </c>
      <c r="AB96" s="452">
        <f>IF(Z96=0, "    ---- ", IF(ABS(ROUND(100/Z96*AA96-100,1))&lt;999,ROUND(100/Z96*AA96-100,1),IF(ROUND(100/Z96*AA96-100,1)&gt;999,999,-999)))</f>
        <v>-6.9</v>
      </c>
      <c r="AC96" s="441"/>
      <c r="AD96" s="441"/>
      <c r="AE96" s="441"/>
      <c r="AF96" s="441">
        <f t="shared" ref="AF96:AG106" si="64">B96+E96+H96+K96+N96+Q96+T96+W96+Z96</f>
        <v>34.217339930845675</v>
      </c>
      <c r="AG96" s="441">
        <f t="shared" si="64"/>
        <v>34.103626186583369</v>
      </c>
      <c r="AH96" s="452">
        <f t="shared" si="26"/>
        <v>-0.3</v>
      </c>
      <c r="AI96" s="435">
        <f t="shared" ref="AI96:AJ106" si="65">B96+E96+H96+K96+N96+Q96+T96+W96+Z96+AC96</f>
        <v>34.217339930845675</v>
      </c>
      <c r="AJ96" s="435">
        <f t="shared" si="65"/>
        <v>34.103626186583369</v>
      </c>
      <c r="AK96" s="452">
        <f t="shared" si="27"/>
        <v>-0.3</v>
      </c>
      <c r="AL96" s="552"/>
      <c r="AM96" s="552"/>
      <c r="AN96" s="552"/>
      <c r="AO96" s="552"/>
    </row>
    <row r="97" spans="1:41" ht="18.75" customHeight="1" x14ac:dyDescent="0.35">
      <c r="A97" s="421" t="s">
        <v>498</v>
      </c>
      <c r="B97" s="694"/>
      <c r="C97" s="699"/>
      <c r="D97" s="452"/>
      <c r="E97" s="440"/>
      <c r="F97" s="441"/>
      <c r="G97" s="452"/>
      <c r="H97" s="440"/>
      <c r="I97" s="441"/>
      <c r="J97" s="452"/>
      <c r="K97" s="440"/>
      <c r="L97" s="441"/>
      <c r="M97" s="441"/>
      <c r="N97" s="441"/>
      <c r="O97" s="441"/>
      <c r="P97" s="452"/>
      <c r="Q97" s="440"/>
      <c r="R97" s="441"/>
      <c r="S97" s="452"/>
      <c r="T97" s="440"/>
      <c r="U97" s="441"/>
      <c r="V97" s="452"/>
      <c r="W97" s="440"/>
      <c r="X97" s="441"/>
      <c r="Y97" s="452"/>
      <c r="Z97" s="440"/>
      <c r="AA97" s="441"/>
      <c r="AB97" s="452"/>
      <c r="AC97" s="441"/>
      <c r="AD97" s="441"/>
      <c r="AE97" s="441"/>
      <c r="AF97" s="441">
        <f t="shared" si="64"/>
        <v>0</v>
      </c>
      <c r="AG97" s="441">
        <f t="shared" si="64"/>
        <v>0</v>
      </c>
      <c r="AH97" s="452" t="str">
        <f t="shared" si="26"/>
        <v xml:space="preserve">    ---- </v>
      </c>
      <c r="AI97" s="435">
        <f t="shared" si="65"/>
        <v>0</v>
      </c>
      <c r="AJ97" s="435">
        <f t="shared" si="65"/>
        <v>0</v>
      </c>
      <c r="AK97" s="452" t="str">
        <f t="shared" si="27"/>
        <v xml:space="preserve">    ---- </v>
      </c>
      <c r="AL97" s="552"/>
      <c r="AM97" s="552"/>
      <c r="AN97" s="552"/>
      <c r="AO97" s="552"/>
    </row>
    <row r="98" spans="1:41" ht="18.75" customHeight="1" x14ac:dyDescent="0.35">
      <c r="A98" s="421" t="s">
        <v>307</v>
      </c>
      <c r="B98" s="700"/>
      <c r="C98" s="701"/>
      <c r="D98" s="452"/>
      <c r="E98" s="440"/>
      <c r="F98" s="441"/>
      <c r="G98" s="452"/>
      <c r="H98" s="440"/>
      <c r="I98" s="441"/>
      <c r="J98" s="452"/>
      <c r="K98" s="440"/>
      <c r="L98" s="441"/>
      <c r="M98" s="441"/>
      <c r="N98" s="441"/>
      <c r="O98" s="441"/>
      <c r="P98" s="452"/>
      <c r="Q98" s="440">
        <v>32.102852804502604</v>
      </c>
      <c r="R98" s="441">
        <v>20.43957500849119</v>
      </c>
      <c r="S98" s="452">
        <f>IF(Q98=0, "    ---- ", IF(ABS(ROUND(100/Q98*R98-100,1))&lt;999,ROUND(100/Q98*R98-100,1),IF(ROUND(100/Q98*R98-100,1)&gt;999,999,-999)))</f>
        <v>-36.299999999999997</v>
      </c>
      <c r="T98" s="440"/>
      <c r="U98" s="441"/>
      <c r="V98" s="452"/>
      <c r="W98" s="440"/>
      <c r="X98" s="441"/>
      <c r="Y98" s="452"/>
      <c r="Z98" s="440">
        <v>38.982477279999998</v>
      </c>
      <c r="AA98" s="441">
        <v>23.54430233000005</v>
      </c>
      <c r="AB98" s="452">
        <f>IF(Z98=0, "    ---- ", IF(ABS(ROUND(100/Z98*AA98-100,1))&lt;999,ROUND(100/Z98*AA98-100,1),IF(ROUND(100/Z98*AA98-100,1)&gt;999,999,-999)))</f>
        <v>-39.6</v>
      </c>
      <c r="AC98" s="441"/>
      <c r="AD98" s="441"/>
      <c r="AE98" s="441"/>
      <c r="AF98" s="441">
        <f t="shared" si="64"/>
        <v>71.085330084502601</v>
      </c>
      <c r="AG98" s="441">
        <f t="shared" si="64"/>
        <v>43.98387733849124</v>
      </c>
      <c r="AH98" s="452">
        <f t="shared" si="26"/>
        <v>-38.1</v>
      </c>
      <c r="AI98" s="435">
        <f t="shared" si="65"/>
        <v>71.085330084502601</v>
      </c>
      <c r="AJ98" s="435">
        <f t="shared" si="65"/>
        <v>43.98387733849124</v>
      </c>
      <c r="AK98" s="452">
        <f t="shared" si="27"/>
        <v>-38.1</v>
      </c>
      <c r="AL98" s="552"/>
      <c r="AM98" s="552"/>
      <c r="AN98" s="552"/>
      <c r="AO98" s="552"/>
    </row>
    <row r="99" spans="1:41" ht="18.75" customHeight="1" x14ac:dyDescent="0.35">
      <c r="A99" s="421" t="s">
        <v>308</v>
      </c>
      <c r="B99" s="700"/>
      <c r="C99" s="701"/>
      <c r="D99" s="452"/>
      <c r="E99" s="440"/>
      <c r="F99" s="441"/>
      <c r="G99" s="452"/>
      <c r="H99" s="440"/>
      <c r="I99" s="441"/>
      <c r="J99" s="452"/>
      <c r="K99" s="440"/>
      <c r="L99" s="441"/>
      <c r="M99" s="441"/>
      <c r="N99" s="441"/>
      <c r="O99" s="441"/>
      <c r="P99" s="452"/>
      <c r="Q99" s="440"/>
      <c r="R99" s="441"/>
      <c r="S99" s="452"/>
      <c r="T99" s="440"/>
      <c r="U99" s="441"/>
      <c r="V99" s="452"/>
      <c r="W99" s="440"/>
      <c r="X99" s="441"/>
      <c r="Y99" s="452"/>
      <c r="Z99" s="440">
        <v>8.1631730000000005</v>
      </c>
      <c r="AA99" s="441">
        <v>14.079300999999999</v>
      </c>
      <c r="AB99" s="452">
        <f>IF(Z99=0, "    ---- ", IF(ABS(ROUND(100/Z99*AA99-100,1))&lt;999,ROUND(100/Z99*AA99-100,1),IF(ROUND(100/Z99*AA99-100,1)&gt;999,999,-999)))</f>
        <v>72.5</v>
      </c>
      <c r="AC99" s="441"/>
      <c r="AD99" s="441"/>
      <c r="AE99" s="441"/>
      <c r="AF99" s="441">
        <f t="shared" si="64"/>
        <v>8.1631730000000005</v>
      </c>
      <c r="AG99" s="441">
        <f t="shared" si="64"/>
        <v>14.079300999999999</v>
      </c>
      <c r="AH99" s="452">
        <f t="shared" si="26"/>
        <v>72.5</v>
      </c>
      <c r="AI99" s="435">
        <f t="shared" si="65"/>
        <v>8.1631730000000005</v>
      </c>
      <c r="AJ99" s="435">
        <f t="shared" si="65"/>
        <v>14.079300999999999</v>
      </c>
      <c r="AK99" s="452">
        <f t="shared" si="27"/>
        <v>72.5</v>
      </c>
      <c r="AL99" s="552"/>
      <c r="AM99" s="552"/>
      <c r="AN99" s="552"/>
      <c r="AO99" s="552"/>
    </row>
    <row r="100" spans="1:41" ht="18.75" customHeight="1" x14ac:dyDescent="0.35">
      <c r="A100" s="421" t="s">
        <v>309</v>
      </c>
      <c r="B100" s="700"/>
      <c r="C100" s="701"/>
      <c r="D100" s="452"/>
      <c r="E100" s="440"/>
      <c r="F100" s="441"/>
      <c r="G100" s="452"/>
      <c r="H100" s="440"/>
      <c r="I100" s="441"/>
      <c r="J100" s="452"/>
      <c r="K100" s="440"/>
      <c r="L100" s="441"/>
      <c r="M100" s="441"/>
      <c r="N100" s="441"/>
      <c r="O100" s="441"/>
      <c r="P100" s="452"/>
      <c r="Q100" s="440"/>
      <c r="R100" s="441"/>
      <c r="S100" s="452"/>
      <c r="T100" s="440"/>
      <c r="U100" s="441"/>
      <c r="V100" s="452"/>
      <c r="W100" s="440"/>
      <c r="X100" s="441"/>
      <c r="Y100" s="452"/>
      <c r="Z100" s="440"/>
      <c r="AA100" s="441"/>
      <c r="AB100" s="452"/>
      <c r="AC100" s="441"/>
      <c r="AD100" s="441"/>
      <c r="AE100" s="441"/>
      <c r="AF100" s="441">
        <f t="shared" si="64"/>
        <v>0</v>
      </c>
      <c r="AG100" s="441">
        <f t="shared" si="64"/>
        <v>0</v>
      </c>
      <c r="AH100" s="452" t="str">
        <f t="shared" si="26"/>
        <v xml:space="preserve">    ---- </v>
      </c>
      <c r="AI100" s="435">
        <f t="shared" si="65"/>
        <v>0</v>
      </c>
      <c r="AJ100" s="435">
        <f t="shared" si="65"/>
        <v>0</v>
      </c>
      <c r="AK100" s="452" t="str">
        <f t="shared" si="27"/>
        <v xml:space="preserve">    ---- </v>
      </c>
      <c r="AL100" s="552"/>
      <c r="AM100" s="552"/>
      <c r="AN100" s="552"/>
      <c r="AO100" s="552"/>
    </row>
    <row r="101" spans="1:41" ht="18.75" customHeight="1" x14ac:dyDescent="0.35">
      <c r="A101" s="421" t="s">
        <v>310</v>
      </c>
      <c r="B101" s="691"/>
      <c r="C101" s="692"/>
      <c r="D101" s="452"/>
      <c r="E101" s="434"/>
      <c r="F101" s="435"/>
      <c r="G101" s="452"/>
      <c r="H101" s="434"/>
      <c r="I101" s="435"/>
      <c r="J101" s="452"/>
      <c r="K101" s="434"/>
      <c r="L101" s="435"/>
      <c r="M101" s="441"/>
      <c r="N101" s="435"/>
      <c r="O101" s="435"/>
      <c r="P101" s="452"/>
      <c r="Q101" s="434">
        <v>-45.880739129087793</v>
      </c>
      <c r="R101" s="435">
        <v>-146.59853801372293</v>
      </c>
      <c r="S101" s="452">
        <f t="shared" ref="S101:S106" si="66">IF(Q101=0, "    ---- ", IF(ABS(ROUND(100/Q101*R101-100,1))&lt;999,ROUND(100/Q101*R101-100,1),IF(ROUND(100/Q101*R101-100,1)&gt;999,999,-999)))</f>
        <v>219.5</v>
      </c>
      <c r="T101" s="434"/>
      <c r="U101" s="435"/>
      <c r="V101" s="452"/>
      <c r="W101" s="434"/>
      <c r="X101" s="435"/>
      <c r="Y101" s="452"/>
      <c r="Z101" s="434">
        <v>42.2778434700001</v>
      </c>
      <c r="AA101" s="435">
        <v>92.581521339999981</v>
      </c>
      <c r="AB101" s="452">
        <f t="shared" ref="AB101:AB106" si="67">IF(Z101=0, "    ---- ", IF(ABS(ROUND(100/Z101*AA101-100,1))&lt;999,ROUND(100/Z101*AA101-100,1),IF(ROUND(100/Z101*AA101-100,1)&gt;999,999,-999)))</f>
        <v>119</v>
      </c>
      <c r="AC101" s="441"/>
      <c r="AD101" s="441"/>
      <c r="AE101" s="441"/>
      <c r="AF101" s="441">
        <f t="shared" si="64"/>
        <v>-3.602895659087693</v>
      </c>
      <c r="AG101" s="441">
        <f t="shared" si="64"/>
        <v>-54.017016673722949</v>
      </c>
      <c r="AH101" s="452">
        <f t="shared" si="26"/>
        <v>999</v>
      </c>
      <c r="AI101" s="435">
        <f t="shared" si="65"/>
        <v>-3.602895659087693</v>
      </c>
      <c r="AJ101" s="435">
        <f t="shared" si="65"/>
        <v>-54.017016673722949</v>
      </c>
      <c r="AK101" s="452">
        <f t="shared" si="27"/>
        <v>999</v>
      </c>
      <c r="AL101" s="552"/>
      <c r="AM101" s="552"/>
      <c r="AN101" s="552"/>
      <c r="AO101" s="552"/>
    </row>
    <row r="102" spans="1:41" ht="18.75" customHeight="1" x14ac:dyDescent="0.35">
      <c r="A102" s="421" t="s">
        <v>311</v>
      </c>
      <c r="B102" s="700"/>
      <c r="C102" s="701"/>
      <c r="D102" s="452"/>
      <c r="E102" s="440"/>
      <c r="F102" s="441"/>
      <c r="G102" s="452"/>
      <c r="H102" s="440"/>
      <c r="I102" s="441"/>
      <c r="J102" s="452"/>
      <c r="K102" s="440"/>
      <c r="L102" s="441"/>
      <c r="M102" s="441"/>
      <c r="N102" s="441"/>
      <c r="O102" s="441"/>
      <c r="P102" s="452"/>
      <c r="Q102" s="440"/>
      <c r="R102" s="441"/>
      <c r="S102" s="452"/>
      <c r="T102" s="440"/>
      <c r="U102" s="441"/>
      <c r="V102" s="452"/>
      <c r="W102" s="440"/>
      <c r="X102" s="441"/>
      <c r="Y102" s="452"/>
      <c r="Z102" s="440"/>
      <c r="AA102" s="441"/>
      <c r="AB102" s="452"/>
      <c r="AC102" s="441"/>
      <c r="AD102" s="441"/>
      <c r="AE102" s="441"/>
      <c r="AF102" s="441">
        <f t="shared" si="64"/>
        <v>0</v>
      </c>
      <c r="AG102" s="441">
        <f t="shared" si="64"/>
        <v>0</v>
      </c>
      <c r="AH102" s="452" t="str">
        <f t="shared" si="26"/>
        <v xml:space="preserve">    ---- </v>
      </c>
      <c r="AI102" s="435">
        <f t="shared" si="65"/>
        <v>0</v>
      </c>
      <c r="AJ102" s="435">
        <f t="shared" si="65"/>
        <v>0</v>
      </c>
      <c r="AK102" s="452" t="str">
        <f t="shared" si="27"/>
        <v xml:space="preserve">    ---- </v>
      </c>
      <c r="AL102" s="552"/>
      <c r="AM102" s="552"/>
      <c r="AN102" s="552"/>
      <c r="AO102" s="552"/>
    </row>
    <row r="103" spans="1:41" ht="18.75" customHeight="1" x14ac:dyDescent="0.35">
      <c r="A103" s="421" t="s">
        <v>312</v>
      </c>
      <c r="B103" s="700"/>
      <c r="C103" s="701"/>
      <c r="D103" s="452"/>
      <c r="E103" s="440"/>
      <c r="F103" s="441"/>
      <c r="G103" s="452"/>
      <c r="H103" s="440"/>
      <c r="I103" s="441"/>
      <c r="J103" s="452"/>
      <c r="K103" s="440"/>
      <c r="L103" s="441"/>
      <c r="M103" s="441"/>
      <c r="N103" s="441"/>
      <c r="O103" s="441"/>
      <c r="P103" s="452"/>
      <c r="Q103" s="440">
        <v>0</v>
      </c>
      <c r="R103" s="441">
        <v>0</v>
      </c>
      <c r="S103" s="452"/>
      <c r="T103" s="440"/>
      <c r="U103" s="441"/>
      <c r="V103" s="452"/>
      <c r="W103" s="440"/>
      <c r="X103" s="441"/>
      <c r="Y103" s="452"/>
      <c r="Z103" s="440">
        <v>2.4898E-2</v>
      </c>
      <c r="AA103" s="441">
        <v>0</v>
      </c>
      <c r="AB103" s="452">
        <f t="shared" si="67"/>
        <v>-100</v>
      </c>
      <c r="AC103" s="441"/>
      <c r="AD103" s="441"/>
      <c r="AE103" s="441"/>
      <c r="AF103" s="441">
        <f t="shared" si="64"/>
        <v>2.4898E-2</v>
      </c>
      <c r="AG103" s="441">
        <f t="shared" si="64"/>
        <v>0</v>
      </c>
      <c r="AH103" s="452">
        <f t="shared" si="26"/>
        <v>-100</v>
      </c>
      <c r="AI103" s="435">
        <f t="shared" si="65"/>
        <v>2.4898E-2</v>
      </c>
      <c r="AJ103" s="435">
        <f t="shared" si="65"/>
        <v>0</v>
      </c>
      <c r="AK103" s="452">
        <f t="shared" si="27"/>
        <v>-100</v>
      </c>
      <c r="AL103" s="552"/>
      <c r="AM103" s="552"/>
      <c r="AN103" s="552"/>
      <c r="AO103" s="552"/>
    </row>
    <row r="104" spans="1:41" s="568" customFormat="1" ht="18.75" customHeight="1" x14ac:dyDescent="0.3">
      <c r="A104" s="535" t="s">
        <v>313</v>
      </c>
      <c r="B104" s="702"/>
      <c r="C104" s="703"/>
      <c r="D104" s="453"/>
      <c r="E104" s="442"/>
      <c r="F104" s="443"/>
      <c r="G104" s="453"/>
      <c r="H104" s="442"/>
      <c r="I104" s="443"/>
      <c r="J104" s="453"/>
      <c r="K104" s="442"/>
      <c r="L104" s="443"/>
      <c r="M104" s="443"/>
      <c r="N104" s="443"/>
      <c r="O104" s="443"/>
      <c r="P104" s="453"/>
      <c r="Q104" s="442">
        <f>SUM(Q96:Q101)+Q103</f>
        <v>-8.9737284437395104</v>
      </c>
      <c r="R104" s="443">
        <f>SUM(R96:R101)+R103</f>
        <v>-119.45235279864831</v>
      </c>
      <c r="S104" s="453">
        <f t="shared" si="66"/>
        <v>999</v>
      </c>
      <c r="T104" s="442"/>
      <c r="U104" s="443"/>
      <c r="V104" s="453"/>
      <c r="W104" s="442"/>
      <c r="X104" s="443"/>
      <c r="Y104" s="453"/>
      <c r="Z104" s="442">
        <f>SUM(Z96:Z101)+Z103</f>
        <v>118.8615738000001</v>
      </c>
      <c r="AA104" s="443">
        <f>SUM(AA96:AA101)+AA103</f>
        <v>157.60214064999997</v>
      </c>
      <c r="AB104" s="453">
        <f t="shared" si="67"/>
        <v>32.6</v>
      </c>
      <c r="AC104" s="443"/>
      <c r="AD104" s="443"/>
      <c r="AE104" s="443"/>
      <c r="AF104" s="443">
        <f t="shared" si="64"/>
        <v>109.88784535626058</v>
      </c>
      <c r="AG104" s="443">
        <f t="shared" si="64"/>
        <v>38.149787851351661</v>
      </c>
      <c r="AH104" s="453">
        <f t="shared" si="26"/>
        <v>-65.3</v>
      </c>
      <c r="AI104" s="433">
        <f t="shared" si="65"/>
        <v>109.88784535626058</v>
      </c>
      <c r="AJ104" s="433">
        <f t="shared" si="65"/>
        <v>38.149787851351661</v>
      </c>
      <c r="AK104" s="453">
        <f t="shared" si="27"/>
        <v>-65.3</v>
      </c>
      <c r="AL104" s="555"/>
      <c r="AM104" s="555"/>
      <c r="AN104" s="555"/>
      <c r="AO104" s="555"/>
    </row>
    <row r="105" spans="1:41" ht="18.75" customHeight="1" x14ac:dyDescent="0.35">
      <c r="A105" s="421" t="s">
        <v>314</v>
      </c>
      <c r="B105" s="700"/>
      <c r="C105" s="701"/>
      <c r="D105" s="452"/>
      <c r="E105" s="440"/>
      <c r="F105" s="441"/>
      <c r="G105" s="452"/>
      <c r="H105" s="440"/>
      <c r="I105" s="441"/>
      <c r="J105" s="452"/>
      <c r="K105" s="440"/>
      <c r="L105" s="441"/>
      <c r="M105" s="441"/>
      <c r="N105" s="441"/>
      <c r="O105" s="441"/>
      <c r="P105" s="452"/>
      <c r="Q105" s="440">
        <v>0</v>
      </c>
      <c r="R105" s="441">
        <v>0</v>
      </c>
      <c r="S105" s="452"/>
      <c r="T105" s="440"/>
      <c r="U105" s="441"/>
      <c r="V105" s="452"/>
      <c r="W105" s="440"/>
      <c r="X105" s="441"/>
      <c r="Y105" s="452"/>
      <c r="Z105" s="440">
        <v>29.413181999999999</v>
      </c>
      <c r="AA105" s="441">
        <v>27.397016000000001</v>
      </c>
      <c r="AB105" s="452">
        <f t="shared" si="67"/>
        <v>-6.9</v>
      </c>
      <c r="AC105" s="441"/>
      <c r="AD105" s="441"/>
      <c r="AE105" s="441"/>
      <c r="AF105" s="441">
        <f t="shared" si="64"/>
        <v>29.413181999999999</v>
      </c>
      <c r="AG105" s="441">
        <f t="shared" si="64"/>
        <v>27.397016000000001</v>
      </c>
      <c r="AH105" s="452">
        <f t="shared" si="26"/>
        <v>-6.9</v>
      </c>
      <c r="AI105" s="435">
        <f t="shared" si="65"/>
        <v>29.413181999999999</v>
      </c>
      <c r="AJ105" s="435">
        <f t="shared" si="65"/>
        <v>27.397016000000001</v>
      </c>
      <c r="AK105" s="452">
        <f t="shared" si="27"/>
        <v>-6.9</v>
      </c>
      <c r="AL105" s="552"/>
      <c r="AM105" s="552"/>
      <c r="AN105" s="552"/>
      <c r="AO105" s="552"/>
    </row>
    <row r="106" spans="1:41" ht="18.75" customHeight="1" x14ac:dyDescent="0.35">
      <c r="A106" s="421" t="s">
        <v>315</v>
      </c>
      <c r="B106" s="700"/>
      <c r="C106" s="701"/>
      <c r="D106" s="452"/>
      <c r="E106" s="440"/>
      <c r="F106" s="441"/>
      <c r="G106" s="452"/>
      <c r="H106" s="440"/>
      <c r="I106" s="441"/>
      <c r="J106" s="452"/>
      <c r="K106" s="440"/>
      <c r="L106" s="441"/>
      <c r="M106" s="441"/>
      <c r="N106" s="441"/>
      <c r="O106" s="441"/>
      <c r="P106" s="452"/>
      <c r="Q106" s="440">
        <v>-8.9737284437395104</v>
      </c>
      <c r="R106" s="441">
        <v>-119.45235279864831</v>
      </c>
      <c r="S106" s="452">
        <f t="shared" si="66"/>
        <v>999</v>
      </c>
      <c r="T106" s="440"/>
      <c r="U106" s="441"/>
      <c r="V106" s="452"/>
      <c r="W106" s="440"/>
      <c r="X106" s="441"/>
      <c r="Y106" s="452"/>
      <c r="Z106" s="440">
        <v>89.448391800000095</v>
      </c>
      <c r="AA106" s="441">
        <v>130.20512464999996</v>
      </c>
      <c r="AB106" s="452">
        <f t="shared" si="67"/>
        <v>45.6</v>
      </c>
      <c r="AC106" s="441"/>
      <c r="AD106" s="441"/>
      <c r="AE106" s="441"/>
      <c r="AF106" s="441">
        <f t="shared" si="64"/>
        <v>80.474663356260578</v>
      </c>
      <c r="AG106" s="441">
        <f t="shared" si="64"/>
        <v>10.752771851351653</v>
      </c>
      <c r="AH106" s="452">
        <f t="shared" si="26"/>
        <v>-86.6</v>
      </c>
      <c r="AI106" s="435">
        <f t="shared" si="65"/>
        <v>80.474663356260578</v>
      </c>
      <c r="AJ106" s="435">
        <f t="shared" si="65"/>
        <v>10.752771851351653</v>
      </c>
      <c r="AK106" s="452">
        <f t="shared" si="27"/>
        <v>-86.6</v>
      </c>
      <c r="AL106" s="552"/>
      <c r="AM106" s="552"/>
      <c r="AN106" s="552"/>
      <c r="AO106" s="552"/>
    </row>
    <row r="107" spans="1:41" s="516" customFormat="1" ht="18.75" customHeight="1" x14ac:dyDescent="0.35">
      <c r="A107" s="569" t="s">
        <v>333</v>
      </c>
      <c r="B107" s="700"/>
      <c r="C107" s="701"/>
      <c r="D107" s="452"/>
      <c r="E107" s="440"/>
      <c r="F107" s="441"/>
      <c r="G107" s="452"/>
      <c r="H107" s="440"/>
      <c r="I107" s="441"/>
      <c r="J107" s="452"/>
      <c r="K107" s="440"/>
      <c r="L107" s="441"/>
      <c r="M107" s="441"/>
      <c r="N107" s="441"/>
      <c r="O107" s="441"/>
      <c r="P107" s="452"/>
      <c r="Q107" s="440"/>
      <c r="R107" s="441"/>
      <c r="S107" s="452"/>
      <c r="T107" s="440"/>
      <c r="U107" s="441"/>
      <c r="V107" s="452"/>
      <c r="W107" s="440"/>
      <c r="X107" s="441"/>
      <c r="Y107" s="452"/>
      <c r="Z107" s="440"/>
      <c r="AA107" s="441"/>
      <c r="AB107" s="452"/>
      <c r="AC107" s="441"/>
      <c r="AD107" s="441"/>
      <c r="AE107" s="441"/>
      <c r="AF107" s="441"/>
      <c r="AG107" s="441"/>
      <c r="AH107" s="452"/>
      <c r="AI107" s="435"/>
      <c r="AJ107" s="435"/>
      <c r="AK107" s="452"/>
      <c r="AL107" s="571"/>
      <c r="AM107" s="571"/>
      <c r="AN107" s="571"/>
      <c r="AO107" s="571"/>
    </row>
    <row r="108" spans="1:41" s="516" customFormat="1" ht="18.75" customHeight="1" x14ac:dyDescent="0.35">
      <c r="A108" s="750" t="s">
        <v>497</v>
      </c>
      <c r="B108" s="700"/>
      <c r="C108" s="701"/>
      <c r="D108" s="452"/>
      <c r="E108" s="440"/>
      <c r="F108" s="441"/>
      <c r="G108" s="452"/>
      <c r="H108" s="440"/>
      <c r="I108" s="441"/>
      <c r="J108" s="452"/>
      <c r="K108" s="440"/>
      <c r="L108" s="441"/>
      <c r="M108" s="441"/>
      <c r="N108" s="441"/>
      <c r="O108" s="441"/>
      <c r="P108" s="452"/>
      <c r="Q108" s="440"/>
      <c r="R108" s="441"/>
      <c r="S108" s="452"/>
      <c r="T108" s="440"/>
      <c r="U108" s="441"/>
      <c r="V108" s="452"/>
      <c r="W108" s="440">
        <v>64</v>
      </c>
      <c r="X108" s="441">
        <v>81</v>
      </c>
      <c r="Y108" s="452">
        <f>IF(W108=0, "    ---- ", IF(ABS(ROUND(100/W108*X108-100,1))&lt;999,ROUND(100/W108*X108-100,1),IF(ROUND(100/W108*X108-100,1)&gt;999,999,-999)))</f>
        <v>26.6</v>
      </c>
      <c r="Z108" s="440">
        <v>62.674246070000002</v>
      </c>
      <c r="AA108" s="441">
        <v>115.24168752999999</v>
      </c>
      <c r="AB108" s="452">
        <f t="shared" ref="AB108:AB118" si="68">IF(Z108=0, "    ---- ", IF(ABS(ROUND(100/Z108*AA108-100,1))&lt;999,ROUND(100/Z108*AA108-100,1),IF(ROUND(100/Z108*AA108-100,1)&gt;999,999,-999)))</f>
        <v>83.9</v>
      </c>
      <c r="AC108" s="441"/>
      <c r="AD108" s="441"/>
      <c r="AE108" s="441"/>
      <c r="AF108" s="441">
        <f t="shared" ref="AF108:AG118" si="69">B108+E108+H108+K108+N108+Q108+T108+W108+Z108</f>
        <v>126.67424607000001</v>
      </c>
      <c r="AG108" s="441">
        <f t="shared" si="69"/>
        <v>196.24168752999998</v>
      </c>
      <c r="AH108" s="452">
        <f t="shared" ref="AH108:AH118" si="70">IF(AF108=0, "    ---- ", IF(ABS(ROUND(100/AF108*AG108-100,1))&lt;999,ROUND(100/AF108*AG108-100,1),IF(ROUND(100/AF108*AG108-100,1)&gt;999,999,-999)))</f>
        <v>54.9</v>
      </c>
      <c r="AI108" s="435">
        <f t="shared" ref="AI108:AJ118" si="71">B108+E108+H108+K108+N108+Q108+T108+W108+Z108+AC108</f>
        <v>126.67424607000001</v>
      </c>
      <c r="AJ108" s="435">
        <f t="shared" si="71"/>
        <v>196.24168752999998</v>
      </c>
      <c r="AK108" s="452">
        <f t="shared" ref="AK108:AK118" si="72">IF(AI108=0, "    ---- ", IF(ABS(ROUND(100/AI108*AJ108-100,1))&lt;999,ROUND(100/AI108*AJ108-100,1),IF(ROUND(100/AI108*AJ108-100,1)&gt;999,999,-999)))</f>
        <v>54.9</v>
      </c>
      <c r="AL108" s="571"/>
      <c r="AM108" s="571"/>
      <c r="AN108" s="571"/>
      <c r="AO108" s="571"/>
    </row>
    <row r="109" spans="1:41" s="516" customFormat="1" ht="18.75" customHeight="1" x14ac:dyDescent="0.35">
      <c r="A109" s="421" t="s">
        <v>498</v>
      </c>
      <c r="B109" s="694"/>
      <c r="C109" s="699"/>
      <c r="D109" s="452"/>
      <c r="E109" s="440"/>
      <c r="F109" s="441"/>
      <c r="G109" s="452"/>
      <c r="H109" s="440"/>
      <c r="I109" s="441"/>
      <c r="J109" s="452"/>
      <c r="K109" s="440"/>
      <c r="L109" s="441"/>
      <c r="M109" s="441"/>
      <c r="N109" s="441"/>
      <c r="O109" s="441"/>
      <c r="P109" s="452"/>
      <c r="Q109" s="440"/>
      <c r="R109" s="441"/>
      <c r="S109" s="452"/>
      <c r="T109" s="440"/>
      <c r="U109" s="441"/>
      <c r="V109" s="452"/>
      <c r="W109" s="440">
        <v>-45</v>
      </c>
      <c r="X109" s="441">
        <v>-16</v>
      </c>
      <c r="Y109" s="452">
        <f t="shared" ref="Y109:Y110" si="73">IF(W109=0, "    ---- ", IF(ABS(ROUND(100/W109*X109-100,1))&lt;999,ROUND(100/W109*X109-100,1),IF(ROUND(100/W109*X109-100,1)&gt;999,999,-999)))</f>
        <v>-64.400000000000006</v>
      </c>
      <c r="Z109" s="440">
        <v>-62.674121999999997</v>
      </c>
      <c r="AA109" s="441">
        <v>-115.241668</v>
      </c>
      <c r="AB109" s="452">
        <f t="shared" si="68"/>
        <v>83.9</v>
      </c>
      <c r="AC109" s="441"/>
      <c r="AD109" s="441"/>
      <c r="AE109" s="441"/>
      <c r="AF109" s="441">
        <f t="shared" si="69"/>
        <v>-107.674122</v>
      </c>
      <c r="AG109" s="441">
        <f t="shared" si="69"/>
        <v>-131.241668</v>
      </c>
      <c r="AH109" s="452">
        <f t="shared" si="70"/>
        <v>21.9</v>
      </c>
      <c r="AI109" s="435">
        <f t="shared" si="71"/>
        <v>-107.674122</v>
      </c>
      <c r="AJ109" s="435">
        <f t="shared" si="71"/>
        <v>-131.241668</v>
      </c>
      <c r="AK109" s="452">
        <f t="shared" si="72"/>
        <v>21.9</v>
      </c>
      <c r="AL109" s="571"/>
      <c r="AM109" s="571"/>
      <c r="AN109" s="571"/>
      <c r="AO109" s="571"/>
    </row>
    <row r="110" spans="1:41" s="516" customFormat="1" ht="18.75" customHeight="1" x14ac:dyDescent="0.35">
      <c r="A110" s="570" t="s">
        <v>307</v>
      </c>
      <c r="B110" s="700"/>
      <c r="C110" s="701"/>
      <c r="D110" s="452"/>
      <c r="E110" s="440"/>
      <c r="F110" s="441"/>
      <c r="G110" s="452"/>
      <c r="H110" s="440"/>
      <c r="I110" s="441"/>
      <c r="J110" s="452"/>
      <c r="K110" s="440"/>
      <c r="L110" s="441"/>
      <c r="M110" s="441"/>
      <c r="N110" s="441"/>
      <c r="O110" s="441"/>
      <c r="P110" s="452"/>
      <c r="Q110" s="440"/>
      <c r="R110" s="441"/>
      <c r="S110" s="452"/>
      <c r="T110" s="440"/>
      <c r="U110" s="441"/>
      <c r="V110" s="452"/>
      <c r="W110" s="440">
        <v>-5</v>
      </c>
      <c r="X110" s="441">
        <v>-6</v>
      </c>
      <c r="Y110" s="452">
        <f t="shared" si="73"/>
        <v>20</v>
      </c>
      <c r="Z110" s="440">
        <v>6.5718357100000002</v>
      </c>
      <c r="AA110" s="441">
        <v>7.7064192000000009</v>
      </c>
      <c r="AB110" s="452">
        <f t="shared" si="68"/>
        <v>17.3</v>
      </c>
      <c r="AC110" s="441"/>
      <c r="AD110" s="441"/>
      <c r="AE110" s="441"/>
      <c r="AF110" s="441">
        <f t="shared" si="69"/>
        <v>1.5718357100000002</v>
      </c>
      <c r="AG110" s="441">
        <f t="shared" si="69"/>
        <v>1.7064192000000009</v>
      </c>
      <c r="AH110" s="452">
        <f t="shared" si="70"/>
        <v>8.6</v>
      </c>
      <c r="AI110" s="435">
        <f t="shared" si="71"/>
        <v>1.5718357100000002</v>
      </c>
      <c r="AJ110" s="435">
        <f t="shared" si="71"/>
        <v>1.7064192000000009</v>
      </c>
      <c r="AK110" s="452">
        <f t="shared" si="72"/>
        <v>8.6</v>
      </c>
      <c r="AL110" s="571"/>
      <c r="AM110" s="571"/>
      <c r="AN110" s="571"/>
      <c r="AO110" s="571"/>
    </row>
    <row r="111" spans="1:41" s="516" customFormat="1" ht="18.75" customHeight="1" x14ac:dyDescent="0.35">
      <c r="A111" s="570" t="s">
        <v>308</v>
      </c>
      <c r="B111" s="700"/>
      <c r="C111" s="701"/>
      <c r="D111" s="452"/>
      <c r="E111" s="440"/>
      <c r="F111" s="441"/>
      <c r="G111" s="452"/>
      <c r="H111" s="440"/>
      <c r="I111" s="441"/>
      <c r="J111" s="452"/>
      <c r="K111" s="440"/>
      <c r="L111" s="441"/>
      <c r="M111" s="441"/>
      <c r="N111" s="441"/>
      <c r="O111" s="441"/>
      <c r="P111" s="452"/>
      <c r="Q111" s="440"/>
      <c r="R111" s="441"/>
      <c r="S111" s="452"/>
      <c r="T111" s="440"/>
      <c r="U111" s="441"/>
      <c r="V111" s="452"/>
      <c r="W111" s="440"/>
      <c r="X111" s="441"/>
      <c r="Y111" s="452"/>
      <c r="Z111" s="440"/>
      <c r="AA111" s="441"/>
      <c r="AB111" s="452"/>
      <c r="AC111" s="441"/>
      <c r="AD111" s="441"/>
      <c r="AE111" s="441"/>
      <c r="AF111" s="441">
        <f t="shared" si="69"/>
        <v>0</v>
      </c>
      <c r="AG111" s="441">
        <f t="shared" si="69"/>
        <v>0</v>
      </c>
      <c r="AH111" s="452" t="str">
        <f t="shared" si="70"/>
        <v xml:space="preserve">    ---- </v>
      </c>
      <c r="AI111" s="435">
        <f t="shared" si="71"/>
        <v>0</v>
      </c>
      <c r="AJ111" s="435">
        <f t="shared" si="71"/>
        <v>0</v>
      </c>
      <c r="AK111" s="452" t="str">
        <f t="shared" si="72"/>
        <v xml:space="preserve">    ---- </v>
      </c>
      <c r="AL111" s="571"/>
      <c r="AM111" s="571"/>
      <c r="AN111" s="571"/>
      <c r="AO111" s="571"/>
    </row>
    <row r="112" spans="1:41" s="516" customFormat="1" ht="18.75" customHeight="1" x14ac:dyDescent="0.35">
      <c r="A112" s="570" t="s">
        <v>309</v>
      </c>
      <c r="B112" s="700"/>
      <c r="C112" s="701"/>
      <c r="D112" s="452"/>
      <c r="E112" s="440"/>
      <c r="F112" s="441"/>
      <c r="G112" s="452"/>
      <c r="H112" s="440"/>
      <c r="I112" s="441"/>
      <c r="J112" s="452"/>
      <c r="K112" s="440"/>
      <c r="L112" s="441"/>
      <c r="M112" s="441"/>
      <c r="N112" s="441"/>
      <c r="O112" s="441"/>
      <c r="P112" s="452"/>
      <c r="Q112" s="440"/>
      <c r="R112" s="441"/>
      <c r="S112" s="452"/>
      <c r="T112" s="440"/>
      <c r="U112" s="441"/>
      <c r="V112" s="452"/>
      <c r="W112" s="440">
        <v>7</v>
      </c>
      <c r="X112" s="441">
        <v>9</v>
      </c>
      <c r="Y112" s="452">
        <f t="shared" ref="Y112:Y113" si="74">IF(W112=0, "    ---- ", IF(ABS(ROUND(100/W112*X112-100,1))&lt;999,ROUND(100/W112*X112-100,1),IF(ROUND(100/W112*X112-100,1)&gt;999,999,-999)))</f>
        <v>28.6</v>
      </c>
      <c r="Z112" s="440"/>
      <c r="AA112" s="441"/>
      <c r="AB112" s="452"/>
      <c r="AC112" s="441"/>
      <c r="AD112" s="441"/>
      <c r="AE112" s="441"/>
      <c r="AF112" s="441">
        <f t="shared" si="69"/>
        <v>7</v>
      </c>
      <c r="AG112" s="441">
        <f t="shared" si="69"/>
        <v>9</v>
      </c>
      <c r="AH112" s="452">
        <f t="shared" si="70"/>
        <v>28.6</v>
      </c>
      <c r="AI112" s="435">
        <f t="shared" si="71"/>
        <v>7</v>
      </c>
      <c r="AJ112" s="435">
        <f t="shared" si="71"/>
        <v>9</v>
      </c>
      <c r="AK112" s="452">
        <f t="shared" si="72"/>
        <v>28.6</v>
      </c>
      <c r="AL112" s="571"/>
      <c r="AM112" s="571"/>
      <c r="AN112" s="571"/>
      <c r="AO112" s="571"/>
    </row>
    <row r="113" spans="1:41" s="516" customFormat="1" ht="18.75" customHeight="1" x14ac:dyDescent="0.35">
      <c r="A113" s="570" t="s">
        <v>310</v>
      </c>
      <c r="B113" s="700"/>
      <c r="C113" s="701"/>
      <c r="D113" s="452"/>
      <c r="E113" s="440"/>
      <c r="F113" s="441"/>
      <c r="G113" s="452"/>
      <c r="H113" s="440"/>
      <c r="I113" s="441"/>
      <c r="J113" s="452"/>
      <c r="K113" s="440"/>
      <c r="L113" s="441"/>
      <c r="M113" s="441"/>
      <c r="N113" s="441"/>
      <c r="O113" s="441"/>
      <c r="P113" s="452"/>
      <c r="Q113" s="440"/>
      <c r="R113" s="441"/>
      <c r="S113" s="452"/>
      <c r="T113" s="440"/>
      <c r="U113" s="441"/>
      <c r="V113" s="452"/>
      <c r="W113" s="440"/>
      <c r="X113" s="441">
        <v>1</v>
      </c>
      <c r="Y113" s="452" t="str">
        <f t="shared" si="74"/>
        <v xml:space="preserve">    ---- </v>
      </c>
      <c r="Z113" s="440">
        <v>-0.107303</v>
      </c>
      <c r="AA113" s="441">
        <v>-0.20533499999999999</v>
      </c>
      <c r="AB113" s="452">
        <f t="shared" ref="AB113:AB114" si="75">IF(Z113=0, "    ---- ", IF(ABS(ROUND(100/Z113*AA113-100,1))&lt;999,ROUND(100/Z113*AA113-100,1),IF(ROUND(100/Z113*AA113-100,1)&gt;999,999,-999)))</f>
        <v>91.4</v>
      </c>
      <c r="AC113" s="441"/>
      <c r="AD113" s="441"/>
      <c r="AE113" s="441"/>
      <c r="AF113" s="441">
        <f t="shared" si="69"/>
        <v>-0.107303</v>
      </c>
      <c r="AG113" s="441">
        <f t="shared" si="69"/>
        <v>0.79466499999999995</v>
      </c>
      <c r="AH113" s="452">
        <f t="shared" si="70"/>
        <v>-840.6</v>
      </c>
      <c r="AI113" s="435">
        <f t="shared" si="71"/>
        <v>-0.107303</v>
      </c>
      <c r="AJ113" s="435">
        <f t="shared" si="71"/>
        <v>0.79466499999999995</v>
      </c>
      <c r="AK113" s="452">
        <f t="shared" si="72"/>
        <v>-840.6</v>
      </c>
      <c r="AL113" s="571"/>
      <c r="AM113" s="571"/>
      <c r="AN113" s="571"/>
      <c r="AO113" s="571"/>
    </row>
    <row r="114" spans="1:41" s="516" customFormat="1" ht="18.75" customHeight="1" x14ac:dyDescent="0.35">
      <c r="A114" s="570" t="s">
        <v>311</v>
      </c>
      <c r="B114" s="700"/>
      <c r="C114" s="701"/>
      <c r="D114" s="452"/>
      <c r="E114" s="440"/>
      <c r="F114" s="441"/>
      <c r="G114" s="452"/>
      <c r="H114" s="440"/>
      <c r="I114" s="441"/>
      <c r="J114" s="452"/>
      <c r="K114" s="440"/>
      <c r="L114" s="441"/>
      <c r="M114" s="441"/>
      <c r="N114" s="441"/>
      <c r="O114" s="441"/>
      <c r="P114" s="452"/>
      <c r="Q114" s="440"/>
      <c r="R114" s="441"/>
      <c r="S114" s="452"/>
      <c r="T114" s="440"/>
      <c r="U114" s="441"/>
      <c r="V114" s="452"/>
      <c r="W114" s="440"/>
      <c r="X114" s="441"/>
      <c r="Y114" s="452"/>
      <c r="Z114" s="440">
        <v>-0.107303</v>
      </c>
      <c r="AA114" s="441">
        <v>-0.20533499999999999</v>
      </c>
      <c r="AB114" s="452">
        <f t="shared" si="75"/>
        <v>91.4</v>
      </c>
      <c r="AC114" s="441"/>
      <c r="AD114" s="441"/>
      <c r="AE114" s="441"/>
      <c r="AF114" s="441">
        <f t="shared" si="69"/>
        <v>-0.107303</v>
      </c>
      <c r="AG114" s="441">
        <f t="shared" si="69"/>
        <v>-0.20533499999999999</v>
      </c>
      <c r="AH114" s="452">
        <f t="shared" si="70"/>
        <v>91.4</v>
      </c>
      <c r="AI114" s="435">
        <f t="shared" si="71"/>
        <v>-0.107303</v>
      </c>
      <c r="AJ114" s="435">
        <f t="shared" si="71"/>
        <v>-0.20533499999999999</v>
      </c>
      <c r="AK114" s="452">
        <f t="shared" si="72"/>
        <v>91.4</v>
      </c>
      <c r="AL114" s="571"/>
      <c r="AM114" s="571"/>
      <c r="AN114" s="571"/>
      <c r="AO114" s="571"/>
    </row>
    <row r="115" spans="1:41" s="516" customFormat="1" ht="18.75" customHeight="1" x14ac:dyDescent="0.35">
      <c r="A115" s="570" t="s">
        <v>312</v>
      </c>
      <c r="B115" s="700"/>
      <c r="C115" s="701"/>
      <c r="D115" s="452"/>
      <c r="E115" s="440"/>
      <c r="F115" s="441"/>
      <c r="G115" s="452"/>
      <c r="H115" s="440"/>
      <c r="I115" s="441"/>
      <c r="J115" s="452"/>
      <c r="K115" s="440"/>
      <c r="L115" s="441"/>
      <c r="M115" s="441"/>
      <c r="N115" s="441"/>
      <c r="O115" s="441"/>
      <c r="P115" s="452"/>
      <c r="Q115" s="440"/>
      <c r="R115" s="441"/>
      <c r="S115" s="452"/>
      <c r="T115" s="440"/>
      <c r="U115" s="441"/>
      <c r="V115" s="452"/>
      <c r="W115" s="440"/>
      <c r="X115" s="441"/>
      <c r="Y115" s="452"/>
      <c r="Z115" s="440"/>
      <c r="AA115" s="441"/>
      <c r="AB115" s="452"/>
      <c r="AC115" s="441"/>
      <c r="AD115" s="441"/>
      <c r="AE115" s="441"/>
      <c r="AF115" s="441">
        <f t="shared" si="69"/>
        <v>0</v>
      </c>
      <c r="AG115" s="441">
        <f t="shared" si="69"/>
        <v>0</v>
      </c>
      <c r="AH115" s="452" t="str">
        <f t="shared" si="70"/>
        <v xml:space="preserve">    ---- </v>
      </c>
      <c r="AI115" s="435">
        <f t="shared" si="71"/>
        <v>0</v>
      </c>
      <c r="AJ115" s="435">
        <f t="shared" si="71"/>
        <v>0</v>
      </c>
      <c r="AK115" s="452" t="str">
        <f t="shared" si="72"/>
        <v xml:space="preserve">    ---- </v>
      </c>
      <c r="AL115" s="571"/>
      <c r="AM115" s="571"/>
      <c r="AN115" s="571"/>
      <c r="AO115" s="571"/>
    </row>
    <row r="116" spans="1:41" s="515" customFormat="1" ht="18.75" customHeight="1" x14ac:dyDescent="0.3">
      <c r="A116" s="569" t="s">
        <v>313</v>
      </c>
      <c r="B116" s="702"/>
      <c r="C116" s="443"/>
      <c r="D116" s="453"/>
      <c r="E116" s="442"/>
      <c r="F116" s="443"/>
      <c r="G116" s="453"/>
      <c r="H116" s="442"/>
      <c r="I116" s="443"/>
      <c r="J116" s="453"/>
      <c r="K116" s="442"/>
      <c r="L116" s="443"/>
      <c r="M116" s="443"/>
      <c r="N116" s="443"/>
      <c r="O116" s="443"/>
      <c r="P116" s="453"/>
      <c r="Q116" s="442"/>
      <c r="R116" s="443"/>
      <c r="S116" s="453"/>
      <c r="T116" s="442"/>
      <c r="U116" s="443"/>
      <c r="V116" s="453"/>
      <c r="W116" s="442">
        <f>SUM(W108:W113)+W115</f>
        <v>21</v>
      </c>
      <c r="X116" s="443">
        <f>SUM(X108:X113)+X115</f>
        <v>69</v>
      </c>
      <c r="Y116" s="453">
        <f>IF(W116=0, "    ---- ", IF(ABS(ROUND(100/W116*X116-100,1))&lt;999,ROUND(100/W116*X116-100,1),IF(ROUND(100/W116*X116-100,1)&gt;999,999,-999)))</f>
        <v>228.6</v>
      </c>
      <c r="Z116" s="442">
        <f>SUM(Z108:Z113)+Z115</f>
        <v>6.4646567800000057</v>
      </c>
      <c r="AA116" s="443">
        <f>SUM(AA108:AA113)+AA115</f>
        <v>7.5011037299999899</v>
      </c>
      <c r="AB116" s="453">
        <f t="shared" si="68"/>
        <v>16</v>
      </c>
      <c r="AC116" s="443"/>
      <c r="AD116" s="443"/>
      <c r="AE116" s="443"/>
      <c r="AF116" s="443">
        <f t="shared" si="69"/>
        <v>27.464656780000006</v>
      </c>
      <c r="AG116" s="443">
        <f t="shared" si="69"/>
        <v>76.501103729999983</v>
      </c>
      <c r="AH116" s="453">
        <f t="shared" si="70"/>
        <v>178.5</v>
      </c>
      <c r="AI116" s="433">
        <f t="shared" si="71"/>
        <v>27.464656780000006</v>
      </c>
      <c r="AJ116" s="433">
        <f t="shared" si="71"/>
        <v>76.501103729999983</v>
      </c>
      <c r="AK116" s="453">
        <f t="shared" si="72"/>
        <v>178.5</v>
      </c>
      <c r="AL116" s="555"/>
      <c r="AM116" s="572"/>
      <c r="AN116" s="572"/>
      <c r="AO116" s="572"/>
    </row>
    <row r="117" spans="1:41" s="516" customFormat="1" ht="18.75" customHeight="1" x14ac:dyDescent="0.35">
      <c r="A117" s="570" t="s">
        <v>314</v>
      </c>
      <c r="B117" s="700"/>
      <c r="C117" s="441"/>
      <c r="D117" s="452"/>
      <c r="E117" s="440"/>
      <c r="F117" s="441"/>
      <c r="G117" s="452"/>
      <c r="H117" s="440"/>
      <c r="I117" s="441"/>
      <c r="J117" s="452"/>
      <c r="K117" s="440"/>
      <c r="L117" s="441"/>
      <c r="M117" s="441"/>
      <c r="N117" s="441"/>
      <c r="O117" s="441"/>
      <c r="P117" s="452"/>
      <c r="Q117" s="440"/>
      <c r="R117" s="441"/>
      <c r="S117" s="452"/>
      <c r="T117" s="440"/>
      <c r="U117" s="441"/>
      <c r="V117" s="452"/>
      <c r="W117" s="440">
        <v>19</v>
      </c>
      <c r="X117" s="441">
        <v>66</v>
      </c>
      <c r="Y117" s="452">
        <f>IF(W117=0, "    ---- ", IF(ABS(ROUND(100/W117*X117-100,1))&lt;999,ROUND(100/W117*X117-100,1),IF(ROUND(100/W117*X117-100,1)&gt;999,999,-999)))</f>
        <v>247.4</v>
      </c>
      <c r="Z117" s="440">
        <v>1.2400000000000001E-4</v>
      </c>
      <c r="AA117" s="441"/>
      <c r="AB117" s="452">
        <f t="shared" si="68"/>
        <v>-100</v>
      </c>
      <c r="AC117" s="441"/>
      <c r="AD117" s="441"/>
      <c r="AE117" s="441"/>
      <c r="AF117" s="441">
        <f t="shared" si="69"/>
        <v>19.000124</v>
      </c>
      <c r="AG117" s="441">
        <f t="shared" si="69"/>
        <v>66</v>
      </c>
      <c r="AH117" s="452">
        <f t="shared" si="70"/>
        <v>247.4</v>
      </c>
      <c r="AI117" s="435">
        <f t="shared" si="71"/>
        <v>19.000124</v>
      </c>
      <c r="AJ117" s="435">
        <f t="shared" si="71"/>
        <v>66</v>
      </c>
      <c r="AK117" s="452">
        <f t="shared" si="72"/>
        <v>247.4</v>
      </c>
      <c r="AL117" s="571"/>
      <c r="AM117" s="571"/>
      <c r="AN117" s="571"/>
      <c r="AO117" s="571"/>
    </row>
    <row r="118" spans="1:41" s="516" customFormat="1" ht="18.75" customHeight="1" x14ac:dyDescent="0.35">
      <c r="A118" s="570" t="s">
        <v>315</v>
      </c>
      <c r="B118" s="700"/>
      <c r="C118" s="441"/>
      <c r="D118" s="452"/>
      <c r="E118" s="440"/>
      <c r="F118" s="441"/>
      <c r="G118" s="452"/>
      <c r="H118" s="440"/>
      <c r="I118" s="441"/>
      <c r="J118" s="452"/>
      <c r="K118" s="440"/>
      <c r="L118" s="441"/>
      <c r="M118" s="441"/>
      <c r="N118" s="441"/>
      <c r="O118" s="441"/>
      <c r="P118" s="452"/>
      <c r="Q118" s="440"/>
      <c r="R118" s="441"/>
      <c r="S118" s="452"/>
      <c r="T118" s="440"/>
      <c r="U118" s="441"/>
      <c r="V118" s="452"/>
      <c r="W118" s="440">
        <v>2</v>
      </c>
      <c r="X118" s="441">
        <v>3</v>
      </c>
      <c r="Y118" s="452">
        <f>IF(W118=0, "    ---- ", IF(ABS(ROUND(100/W118*X118-100,1))&lt;999,ROUND(100/W118*X118-100,1),IF(ROUND(100/W118*X118-100,1)&gt;999,999,-999)))</f>
        <v>50</v>
      </c>
      <c r="Z118" s="440">
        <v>6.4645327800000398</v>
      </c>
      <c r="AA118" s="441">
        <v>7.5011037299999828</v>
      </c>
      <c r="AB118" s="452">
        <f t="shared" si="68"/>
        <v>16</v>
      </c>
      <c r="AC118" s="441"/>
      <c r="AD118" s="441"/>
      <c r="AE118" s="441"/>
      <c r="AF118" s="441">
        <f t="shared" si="69"/>
        <v>8.4645327800000398</v>
      </c>
      <c r="AG118" s="441">
        <f t="shared" si="69"/>
        <v>10.501103729999983</v>
      </c>
      <c r="AH118" s="452">
        <f t="shared" si="70"/>
        <v>24.1</v>
      </c>
      <c r="AI118" s="435">
        <f t="shared" si="71"/>
        <v>8.4645327800000398</v>
      </c>
      <c r="AJ118" s="435">
        <f t="shared" si="71"/>
        <v>10.501103729999983</v>
      </c>
      <c r="AK118" s="452">
        <f t="shared" si="72"/>
        <v>24.1</v>
      </c>
      <c r="AL118" s="571"/>
      <c r="AM118" s="571"/>
      <c r="AN118" s="571"/>
      <c r="AO118" s="571"/>
    </row>
    <row r="119" spans="1:41" ht="18.75" customHeight="1" x14ac:dyDescent="0.35">
      <c r="A119" s="423"/>
      <c r="B119" s="704"/>
      <c r="C119" s="445"/>
      <c r="D119" s="448"/>
      <c r="E119" s="444"/>
      <c r="F119" s="445"/>
      <c r="G119" s="448"/>
      <c r="H119" s="444"/>
      <c r="I119" s="445"/>
      <c r="J119" s="448"/>
      <c r="K119" s="444"/>
      <c r="L119" s="445"/>
      <c r="M119" s="445"/>
      <c r="N119" s="445"/>
      <c r="O119" s="445"/>
      <c r="P119" s="448"/>
      <c r="Q119" s="444"/>
      <c r="R119" s="445"/>
      <c r="S119" s="448"/>
      <c r="T119" s="444"/>
      <c r="U119" s="445"/>
      <c r="V119" s="448"/>
      <c r="W119" s="444"/>
      <c r="X119" s="445"/>
      <c r="Y119" s="448"/>
      <c r="Z119" s="444"/>
      <c r="AA119" s="445"/>
      <c r="AB119" s="448"/>
      <c r="AC119" s="448"/>
      <c r="AD119" s="448"/>
      <c r="AE119" s="448"/>
      <c r="AF119" s="448"/>
      <c r="AG119" s="448"/>
      <c r="AH119" s="448"/>
      <c r="AI119" s="451"/>
      <c r="AJ119" s="451"/>
      <c r="AK119" s="448"/>
      <c r="AL119" s="552"/>
      <c r="AM119" s="552"/>
      <c r="AN119" s="552"/>
      <c r="AO119" s="552"/>
    </row>
    <row r="120" spans="1:41" ht="18.75" customHeight="1" x14ac:dyDescent="0.35">
      <c r="A120" s="421"/>
      <c r="B120" s="700"/>
      <c r="C120" s="441"/>
      <c r="D120" s="452"/>
      <c r="E120" s="440"/>
      <c r="F120" s="441"/>
      <c r="G120" s="452"/>
      <c r="H120" s="440"/>
      <c r="I120" s="441"/>
      <c r="J120" s="452"/>
      <c r="K120" s="440"/>
      <c r="L120" s="441"/>
      <c r="M120" s="441"/>
      <c r="N120" s="441"/>
      <c r="O120" s="441"/>
      <c r="P120" s="452"/>
      <c r="Q120" s="440"/>
      <c r="R120" s="441"/>
      <c r="S120" s="452"/>
      <c r="T120" s="440"/>
      <c r="U120" s="441"/>
      <c r="V120" s="452"/>
      <c r="W120" s="440"/>
      <c r="X120" s="441"/>
      <c r="Y120" s="452"/>
      <c r="Z120" s="440"/>
      <c r="AA120" s="441"/>
      <c r="AB120" s="452"/>
      <c r="AC120" s="441"/>
      <c r="AD120" s="441"/>
      <c r="AE120" s="441"/>
      <c r="AF120" s="441"/>
      <c r="AG120" s="441"/>
      <c r="AH120" s="452"/>
      <c r="AI120" s="435"/>
      <c r="AJ120" s="435"/>
      <c r="AK120" s="452"/>
      <c r="AL120" s="552"/>
      <c r="AM120" s="552"/>
      <c r="AN120" s="552"/>
      <c r="AO120" s="552"/>
    </row>
    <row r="121" spans="1:41" ht="18.75" customHeight="1" x14ac:dyDescent="0.35">
      <c r="A121" s="535" t="s">
        <v>334</v>
      </c>
      <c r="B121" s="700"/>
      <c r="C121" s="441"/>
      <c r="D121" s="452"/>
      <c r="E121" s="440"/>
      <c r="F121" s="441"/>
      <c r="G121" s="452"/>
      <c r="H121" s="440"/>
      <c r="I121" s="441"/>
      <c r="J121" s="452"/>
      <c r="K121" s="440"/>
      <c r="L121" s="441"/>
      <c r="M121" s="441"/>
      <c r="N121" s="441"/>
      <c r="O121" s="441"/>
      <c r="P121" s="452"/>
      <c r="Q121" s="440"/>
      <c r="R121" s="441"/>
      <c r="S121" s="452"/>
      <c r="T121" s="440"/>
      <c r="U121" s="441"/>
      <c r="V121" s="452"/>
      <c r="W121" s="440"/>
      <c r="X121" s="441"/>
      <c r="Y121" s="452"/>
      <c r="Z121" s="440"/>
      <c r="AA121" s="441"/>
      <c r="AB121" s="452"/>
      <c r="AC121" s="441"/>
      <c r="AD121" s="441"/>
      <c r="AE121" s="441"/>
      <c r="AF121" s="441"/>
      <c r="AG121" s="441"/>
      <c r="AH121" s="452"/>
      <c r="AI121" s="435"/>
      <c r="AJ121" s="435"/>
      <c r="AK121" s="452"/>
      <c r="AL121" s="552"/>
      <c r="AM121" s="552"/>
      <c r="AN121" s="552"/>
      <c r="AO121" s="552"/>
    </row>
    <row r="122" spans="1:41" ht="18.75" customHeight="1" x14ac:dyDescent="0.35">
      <c r="A122" s="750" t="s">
        <v>497</v>
      </c>
      <c r="B122" s="700"/>
      <c r="C122" s="441"/>
      <c r="D122" s="452"/>
      <c r="E122" s="440"/>
      <c r="F122" s="441"/>
      <c r="G122" s="452"/>
      <c r="H122" s="440"/>
      <c r="I122" s="441"/>
      <c r="J122" s="452"/>
      <c r="K122" s="440"/>
      <c r="L122" s="441"/>
      <c r="M122" s="441"/>
      <c r="N122" s="441">
        <v>50843.700876958254</v>
      </c>
      <c r="O122" s="441">
        <v>47852.702663999997</v>
      </c>
      <c r="P122" s="452">
        <f t="shared" ref="P122:P144" si="76">IF(N122=0, "    ---- ", IF(ABS(ROUND(100/N122*O122-100,1))&lt;999,ROUND(100/N122*O122-100,1),IF(ROUND(100/N122*O122-100,1)&gt;999,999,-999)))</f>
        <v>-5.9</v>
      </c>
      <c r="Q122" s="440"/>
      <c r="R122" s="441"/>
      <c r="S122" s="452"/>
      <c r="T122" s="440">
        <v>899</v>
      </c>
      <c r="U122" s="441">
        <v>1012</v>
      </c>
      <c r="V122" s="452">
        <f t="shared" ref="V122:V132" si="77">IF(T122=0, "    ---- ", IF(ABS(ROUND(100/T122*U122-100,1))&lt;999,ROUND(100/T122*U122-100,1),IF(ROUND(100/T122*U122-100,1)&gt;999,999,-999)))</f>
        <v>12.6</v>
      </c>
      <c r="W122" s="440"/>
      <c r="X122" s="441"/>
      <c r="Y122" s="452"/>
      <c r="Z122" s="440">
        <v>1473.4655353000001</v>
      </c>
      <c r="AA122" s="441">
        <v>1741.62010829</v>
      </c>
      <c r="AB122" s="452">
        <f t="shared" ref="AB122:AB132" si="78">IF(Z122=0, "    ---- ", IF(ABS(ROUND(100/Z122*AA122-100,1))&lt;999,ROUND(100/Z122*AA122-100,1),IF(ROUND(100/Z122*AA122-100,1)&gt;999,999,-999)))</f>
        <v>18.2</v>
      </c>
      <c r="AC122" s="441"/>
      <c r="AD122" s="441"/>
      <c r="AE122" s="441"/>
      <c r="AF122" s="441">
        <f t="shared" ref="AF122:AG132" si="79">B122+E122+H122+K122+N122+Q122+T122+W122+Z122</f>
        <v>53216.166412258252</v>
      </c>
      <c r="AG122" s="441">
        <f t="shared" si="79"/>
        <v>50606.322772289997</v>
      </c>
      <c r="AH122" s="452">
        <f t="shared" si="26"/>
        <v>-4.9000000000000004</v>
      </c>
      <c r="AI122" s="435">
        <f t="shared" ref="AI122:AJ132" si="80">B122+E122+H122+K122+N122+Q122+T122+W122+Z122+AC122</f>
        <v>53216.166412258252</v>
      </c>
      <c r="AJ122" s="435">
        <f t="shared" si="80"/>
        <v>50606.322772289997</v>
      </c>
      <c r="AK122" s="452">
        <f t="shared" si="27"/>
        <v>-4.9000000000000004</v>
      </c>
      <c r="AL122" s="552"/>
      <c r="AM122" s="552"/>
      <c r="AN122" s="552"/>
      <c r="AO122" s="552"/>
    </row>
    <row r="123" spans="1:41" ht="18.75" customHeight="1" x14ac:dyDescent="0.35">
      <c r="A123" s="421" t="s">
        <v>498</v>
      </c>
      <c r="B123" s="694"/>
      <c r="C123" s="400"/>
      <c r="D123" s="452"/>
      <c r="E123" s="440"/>
      <c r="F123" s="441"/>
      <c r="G123" s="452"/>
      <c r="H123" s="440"/>
      <c r="I123" s="441"/>
      <c r="J123" s="452"/>
      <c r="K123" s="440"/>
      <c r="L123" s="441"/>
      <c r="M123" s="441"/>
      <c r="N123" s="441"/>
      <c r="O123" s="441"/>
      <c r="P123" s="452"/>
      <c r="Q123" s="440"/>
      <c r="R123" s="441"/>
      <c r="S123" s="452"/>
      <c r="T123" s="440"/>
      <c r="U123" s="441"/>
      <c r="V123" s="452"/>
      <c r="W123" s="440"/>
      <c r="X123" s="441"/>
      <c r="Y123" s="452"/>
      <c r="Z123" s="440">
        <v>-769.10220400000003</v>
      </c>
      <c r="AA123" s="441">
        <v>-446.72339699999998</v>
      </c>
      <c r="AB123" s="452">
        <f t="shared" si="78"/>
        <v>-41.9</v>
      </c>
      <c r="AC123" s="441"/>
      <c r="AD123" s="441"/>
      <c r="AE123" s="441"/>
      <c r="AF123" s="441">
        <f t="shared" si="79"/>
        <v>-769.10220400000003</v>
      </c>
      <c r="AG123" s="441">
        <f t="shared" si="79"/>
        <v>-446.72339699999998</v>
      </c>
      <c r="AH123" s="452">
        <f t="shared" si="26"/>
        <v>-41.9</v>
      </c>
      <c r="AI123" s="435">
        <f t="shared" si="80"/>
        <v>-769.10220400000003</v>
      </c>
      <c r="AJ123" s="435">
        <f t="shared" si="80"/>
        <v>-446.72339699999998</v>
      </c>
      <c r="AK123" s="452">
        <f t="shared" si="27"/>
        <v>-41.9</v>
      </c>
      <c r="AL123" s="552"/>
      <c r="AM123" s="552"/>
      <c r="AN123" s="552"/>
      <c r="AO123" s="552"/>
    </row>
    <row r="124" spans="1:41" ht="18.75" customHeight="1" x14ac:dyDescent="0.35">
      <c r="A124" s="421" t="s">
        <v>307</v>
      </c>
      <c r="B124" s="700"/>
      <c r="C124" s="441"/>
      <c r="D124" s="452"/>
      <c r="E124" s="440"/>
      <c r="F124" s="441"/>
      <c r="G124" s="452"/>
      <c r="H124" s="440"/>
      <c r="I124" s="441"/>
      <c r="J124" s="452"/>
      <c r="K124" s="440"/>
      <c r="L124" s="441"/>
      <c r="M124" s="441"/>
      <c r="N124" s="441">
        <v>77.246683725033279</v>
      </c>
      <c r="O124" s="441">
        <v>-13.325521999999999</v>
      </c>
      <c r="P124" s="452">
        <f t="shared" si="76"/>
        <v>-117.3</v>
      </c>
      <c r="Q124" s="440"/>
      <c r="R124" s="441"/>
      <c r="S124" s="452"/>
      <c r="T124" s="440">
        <v>12</v>
      </c>
      <c r="U124" s="441">
        <v>13</v>
      </c>
      <c r="V124" s="452">
        <f t="shared" si="77"/>
        <v>8.3000000000000007</v>
      </c>
      <c r="W124" s="440"/>
      <c r="X124" s="441"/>
      <c r="Y124" s="452"/>
      <c r="Z124" s="440">
        <v>-69.717095099999995</v>
      </c>
      <c r="AA124" s="441">
        <v>-79.839771599999949</v>
      </c>
      <c r="AB124" s="452">
        <f t="shared" si="78"/>
        <v>14.5</v>
      </c>
      <c r="AC124" s="441"/>
      <c r="AD124" s="441"/>
      <c r="AE124" s="441"/>
      <c r="AF124" s="441">
        <f t="shared" si="79"/>
        <v>19.529588625033284</v>
      </c>
      <c r="AG124" s="441">
        <f t="shared" si="79"/>
        <v>-80.165293599999956</v>
      </c>
      <c r="AH124" s="452">
        <f t="shared" si="26"/>
        <v>-510.5</v>
      </c>
      <c r="AI124" s="435">
        <f t="shared" si="80"/>
        <v>19.529588625033284</v>
      </c>
      <c r="AJ124" s="435">
        <f t="shared" si="80"/>
        <v>-80.165293599999956</v>
      </c>
      <c r="AK124" s="452">
        <f t="shared" si="27"/>
        <v>-510.5</v>
      </c>
      <c r="AL124" s="552"/>
      <c r="AM124" s="552"/>
      <c r="AN124" s="552"/>
      <c r="AO124" s="552"/>
    </row>
    <row r="125" spans="1:41" ht="18.75" customHeight="1" x14ac:dyDescent="0.35">
      <c r="A125" s="421" t="s">
        <v>308</v>
      </c>
      <c r="B125" s="700"/>
      <c r="C125" s="441"/>
      <c r="D125" s="452"/>
      <c r="E125" s="440"/>
      <c r="F125" s="441"/>
      <c r="G125" s="452"/>
      <c r="H125" s="440"/>
      <c r="I125" s="441"/>
      <c r="J125" s="452"/>
      <c r="K125" s="440"/>
      <c r="L125" s="441"/>
      <c r="M125" s="441"/>
      <c r="N125" s="441"/>
      <c r="O125" s="441"/>
      <c r="P125" s="452"/>
      <c r="Q125" s="440"/>
      <c r="R125" s="441"/>
      <c r="S125" s="452"/>
      <c r="T125" s="440"/>
      <c r="U125" s="441"/>
      <c r="V125" s="452"/>
      <c r="W125" s="440"/>
      <c r="X125" s="441"/>
      <c r="Y125" s="452"/>
      <c r="Z125" s="440">
        <v>17.543061000000002</v>
      </c>
      <c r="AA125" s="441">
        <v>22.098303999999999</v>
      </c>
      <c r="AB125" s="452">
        <f t="shared" si="78"/>
        <v>26</v>
      </c>
      <c r="AC125" s="441"/>
      <c r="AD125" s="441"/>
      <c r="AE125" s="441"/>
      <c r="AF125" s="441">
        <f t="shared" si="79"/>
        <v>17.543061000000002</v>
      </c>
      <c r="AG125" s="441">
        <f t="shared" si="79"/>
        <v>22.098303999999999</v>
      </c>
      <c r="AH125" s="452">
        <f t="shared" si="26"/>
        <v>26</v>
      </c>
      <c r="AI125" s="435">
        <f t="shared" si="80"/>
        <v>17.543061000000002</v>
      </c>
      <c r="AJ125" s="435">
        <f t="shared" si="80"/>
        <v>22.098303999999999</v>
      </c>
      <c r="AK125" s="452">
        <f t="shared" si="27"/>
        <v>26</v>
      </c>
      <c r="AL125" s="552"/>
      <c r="AM125" s="552"/>
      <c r="AN125" s="552"/>
      <c r="AO125" s="552"/>
    </row>
    <row r="126" spans="1:41" ht="18.75" customHeight="1" x14ac:dyDescent="0.35">
      <c r="A126" s="421" t="s">
        <v>309</v>
      </c>
      <c r="B126" s="700"/>
      <c r="C126" s="441"/>
      <c r="D126" s="452"/>
      <c r="E126" s="440"/>
      <c r="F126" s="441"/>
      <c r="G126" s="452"/>
      <c r="H126" s="440"/>
      <c r="I126" s="441"/>
      <c r="J126" s="452"/>
      <c r="K126" s="440"/>
      <c r="L126" s="441"/>
      <c r="M126" s="441"/>
      <c r="N126" s="441">
        <v>13.646758999999999</v>
      </c>
      <c r="O126" s="441">
        <v>15.201796999999999</v>
      </c>
      <c r="P126" s="452">
        <f t="shared" si="76"/>
        <v>11.4</v>
      </c>
      <c r="Q126" s="440"/>
      <c r="R126" s="441"/>
      <c r="S126" s="452"/>
      <c r="T126" s="440">
        <v>400</v>
      </c>
      <c r="U126" s="441">
        <v>292</v>
      </c>
      <c r="V126" s="452">
        <f t="shared" si="77"/>
        <v>-27</v>
      </c>
      <c r="W126" s="440"/>
      <c r="X126" s="441"/>
      <c r="Y126" s="452"/>
      <c r="Z126" s="440">
        <v>62.663181000000002</v>
      </c>
      <c r="AA126" s="441">
        <v>77.236009999999993</v>
      </c>
      <c r="AB126" s="452">
        <f t="shared" si="78"/>
        <v>23.3</v>
      </c>
      <c r="AC126" s="441"/>
      <c r="AD126" s="441"/>
      <c r="AE126" s="441"/>
      <c r="AF126" s="441">
        <f t="shared" si="79"/>
        <v>476.30993999999998</v>
      </c>
      <c r="AG126" s="441">
        <f t="shared" si="79"/>
        <v>384.43780700000002</v>
      </c>
      <c r="AH126" s="452">
        <f t="shared" si="26"/>
        <v>-19.3</v>
      </c>
      <c r="AI126" s="435">
        <f t="shared" si="80"/>
        <v>476.30993999999998</v>
      </c>
      <c r="AJ126" s="435">
        <f t="shared" si="80"/>
        <v>384.43780700000002</v>
      </c>
      <c r="AK126" s="452">
        <f t="shared" si="27"/>
        <v>-19.3</v>
      </c>
      <c r="AL126" s="552"/>
      <c r="AM126" s="552"/>
      <c r="AN126" s="552"/>
      <c r="AO126" s="552"/>
    </row>
    <row r="127" spans="1:41" ht="18.75" customHeight="1" x14ac:dyDescent="0.35">
      <c r="A127" s="421" t="s">
        <v>310</v>
      </c>
      <c r="B127" s="700"/>
      <c r="C127" s="441"/>
      <c r="D127" s="452"/>
      <c r="E127" s="440"/>
      <c r="F127" s="441"/>
      <c r="G127" s="452"/>
      <c r="H127" s="440"/>
      <c r="I127" s="441"/>
      <c r="J127" s="452"/>
      <c r="K127" s="440"/>
      <c r="L127" s="441"/>
      <c r="M127" s="441"/>
      <c r="N127" s="441">
        <v>787.64665909936139</v>
      </c>
      <c r="O127" s="441">
        <v>599.79594299999997</v>
      </c>
      <c r="P127" s="452">
        <f t="shared" si="76"/>
        <v>-23.8</v>
      </c>
      <c r="Q127" s="440"/>
      <c r="R127" s="441"/>
      <c r="S127" s="452"/>
      <c r="T127" s="440">
        <f>58+58</f>
        <v>116</v>
      </c>
      <c r="U127" s="441">
        <v>227</v>
      </c>
      <c r="V127" s="452">
        <f t="shared" si="77"/>
        <v>95.7</v>
      </c>
      <c r="W127" s="440"/>
      <c r="X127" s="441"/>
      <c r="Y127" s="452"/>
      <c r="Z127" s="440">
        <v>-32.651867719999998</v>
      </c>
      <c r="AA127" s="441">
        <v>-123.62787709</v>
      </c>
      <c r="AB127" s="452">
        <f t="shared" si="78"/>
        <v>278.60000000000002</v>
      </c>
      <c r="AC127" s="441"/>
      <c r="AD127" s="441"/>
      <c r="AE127" s="441"/>
      <c r="AF127" s="441">
        <f t="shared" si="79"/>
        <v>870.99479137936135</v>
      </c>
      <c r="AG127" s="441">
        <f t="shared" si="79"/>
        <v>703.16806591</v>
      </c>
      <c r="AH127" s="452">
        <f t="shared" si="26"/>
        <v>-19.3</v>
      </c>
      <c r="AI127" s="435">
        <f t="shared" si="80"/>
        <v>870.99479137936135</v>
      </c>
      <c r="AJ127" s="435">
        <f t="shared" si="80"/>
        <v>703.16806591</v>
      </c>
      <c r="AK127" s="452">
        <f t="shared" si="27"/>
        <v>-19.3</v>
      </c>
      <c r="AL127" s="552"/>
      <c r="AM127" s="552"/>
      <c r="AN127" s="552"/>
      <c r="AO127" s="552"/>
    </row>
    <row r="128" spans="1:41" ht="18.75" customHeight="1" x14ac:dyDescent="0.35">
      <c r="A128" s="421" t="s">
        <v>311</v>
      </c>
      <c r="B128" s="700"/>
      <c r="C128" s="441"/>
      <c r="D128" s="452"/>
      <c r="E128" s="440"/>
      <c r="F128" s="441"/>
      <c r="G128" s="452"/>
      <c r="H128" s="440"/>
      <c r="I128" s="441"/>
      <c r="J128" s="452"/>
      <c r="K128" s="440"/>
      <c r="L128" s="441"/>
      <c r="M128" s="441"/>
      <c r="N128" s="441">
        <v>787.646659</v>
      </c>
      <c r="O128" s="441">
        <v>599.90733808000005</v>
      </c>
      <c r="P128" s="452">
        <f t="shared" si="76"/>
        <v>-23.8</v>
      </c>
      <c r="Q128" s="440"/>
      <c r="R128" s="441"/>
      <c r="S128" s="452"/>
      <c r="T128" s="440">
        <v>58</v>
      </c>
      <c r="U128" s="441">
        <v>0</v>
      </c>
      <c r="V128" s="452">
        <f t="shared" si="77"/>
        <v>-100</v>
      </c>
      <c r="W128" s="440"/>
      <c r="X128" s="441"/>
      <c r="Y128" s="452"/>
      <c r="Z128" s="440">
        <v>-32.478172999999998</v>
      </c>
      <c r="AA128" s="441">
        <v>-123.627877</v>
      </c>
      <c r="AB128" s="452">
        <f t="shared" si="78"/>
        <v>280.60000000000002</v>
      </c>
      <c r="AC128" s="441"/>
      <c r="AD128" s="441"/>
      <c r="AE128" s="441"/>
      <c r="AF128" s="441">
        <f t="shared" si="79"/>
        <v>813.16848600000003</v>
      </c>
      <c r="AG128" s="441">
        <f t="shared" si="79"/>
        <v>476.27946108000003</v>
      </c>
      <c r="AH128" s="452">
        <f t="shared" si="26"/>
        <v>-41.4</v>
      </c>
      <c r="AI128" s="435">
        <f t="shared" si="80"/>
        <v>813.16848600000003</v>
      </c>
      <c r="AJ128" s="435">
        <f t="shared" si="80"/>
        <v>476.27946108000003</v>
      </c>
      <c r="AK128" s="452">
        <f t="shared" si="27"/>
        <v>-41.4</v>
      </c>
      <c r="AL128" s="552"/>
      <c r="AM128" s="552"/>
      <c r="AN128" s="552"/>
      <c r="AO128" s="552"/>
    </row>
    <row r="129" spans="1:41" ht="18.75" customHeight="1" x14ac:dyDescent="0.35">
      <c r="A129" s="421" t="s">
        <v>312</v>
      </c>
      <c r="B129" s="700"/>
      <c r="C129" s="441"/>
      <c r="D129" s="452"/>
      <c r="E129" s="440"/>
      <c r="F129" s="441"/>
      <c r="G129" s="452"/>
      <c r="H129" s="440"/>
      <c r="I129" s="441"/>
      <c r="J129" s="452"/>
      <c r="K129" s="440"/>
      <c r="L129" s="441"/>
      <c r="M129" s="441"/>
      <c r="N129" s="441"/>
      <c r="O129" s="441"/>
      <c r="P129" s="452"/>
      <c r="Q129" s="440"/>
      <c r="R129" s="441"/>
      <c r="S129" s="452"/>
      <c r="T129" s="440"/>
      <c r="U129" s="441"/>
      <c r="V129" s="452"/>
      <c r="W129" s="440"/>
      <c r="X129" s="441"/>
      <c r="Y129" s="452"/>
      <c r="Z129" s="440"/>
      <c r="AA129" s="441"/>
      <c r="AB129" s="452"/>
      <c r="AC129" s="441"/>
      <c r="AD129" s="441"/>
      <c r="AE129" s="441"/>
      <c r="AF129" s="441">
        <f t="shared" si="79"/>
        <v>0</v>
      </c>
      <c r="AG129" s="441">
        <f t="shared" si="79"/>
        <v>0</v>
      </c>
      <c r="AH129" s="452" t="str">
        <f t="shared" si="26"/>
        <v xml:space="preserve">    ---- </v>
      </c>
      <c r="AI129" s="435">
        <f t="shared" si="80"/>
        <v>0</v>
      </c>
      <c r="AJ129" s="435">
        <f t="shared" si="80"/>
        <v>0</v>
      </c>
      <c r="AK129" s="452" t="str">
        <f t="shared" si="27"/>
        <v xml:space="preserve">    ---- </v>
      </c>
      <c r="AL129" s="552"/>
      <c r="AM129" s="552"/>
      <c r="AN129" s="552"/>
      <c r="AO129" s="552"/>
    </row>
    <row r="130" spans="1:41" s="568" customFormat="1" ht="18.75" customHeight="1" x14ac:dyDescent="0.35">
      <c r="A130" s="535" t="s">
        <v>313</v>
      </c>
      <c r="B130" s="702"/>
      <c r="C130" s="443"/>
      <c r="D130" s="453"/>
      <c r="E130" s="442"/>
      <c r="F130" s="443"/>
      <c r="G130" s="453"/>
      <c r="H130" s="442"/>
      <c r="I130" s="443"/>
      <c r="J130" s="453"/>
      <c r="K130" s="442"/>
      <c r="L130" s="443"/>
      <c r="M130" s="443"/>
      <c r="N130" s="443">
        <v>51722.240978782647</v>
      </c>
      <c r="O130" s="443">
        <v>48454.374881999996</v>
      </c>
      <c r="P130" s="453">
        <f t="shared" si="76"/>
        <v>-6.3</v>
      </c>
      <c r="Q130" s="442"/>
      <c r="R130" s="443"/>
      <c r="S130" s="453"/>
      <c r="T130" s="442">
        <f>SUM(T122:T127)+T129</f>
        <v>1427</v>
      </c>
      <c r="U130" s="443">
        <f>SUM(U122:U127)+U129</f>
        <v>1544</v>
      </c>
      <c r="V130" s="452">
        <f t="shared" si="77"/>
        <v>8.1999999999999993</v>
      </c>
      <c r="W130" s="442"/>
      <c r="X130" s="443"/>
      <c r="Y130" s="453"/>
      <c r="Z130" s="442">
        <f>SUM(Z122:Z127)+Z129</f>
        <v>682.20061047999991</v>
      </c>
      <c r="AA130" s="443">
        <f>SUM(AA122:AA127)+AA129</f>
        <v>1190.7633766000001</v>
      </c>
      <c r="AB130" s="453">
        <f t="shared" si="78"/>
        <v>74.5</v>
      </c>
      <c r="AC130" s="443"/>
      <c r="AD130" s="443"/>
      <c r="AE130" s="443"/>
      <c r="AF130" s="443">
        <f t="shared" si="79"/>
        <v>53831.441589262649</v>
      </c>
      <c r="AG130" s="443">
        <f t="shared" si="79"/>
        <v>51189.138258599996</v>
      </c>
      <c r="AH130" s="453">
        <f t="shared" si="26"/>
        <v>-4.9000000000000004</v>
      </c>
      <c r="AI130" s="433">
        <f t="shared" si="80"/>
        <v>53831.441589262649</v>
      </c>
      <c r="AJ130" s="433">
        <f t="shared" si="80"/>
        <v>51189.138258599996</v>
      </c>
      <c r="AK130" s="453">
        <f t="shared" si="27"/>
        <v>-4.9000000000000004</v>
      </c>
      <c r="AL130" s="555"/>
      <c r="AM130" s="555"/>
      <c r="AN130" s="555"/>
      <c r="AO130" s="555"/>
    </row>
    <row r="131" spans="1:41" ht="18.75" customHeight="1" x14ac:dyDescent="0.35">
      <c r="A131" s="421" t="s">
        <v>314</v>
      </c>
      <c r="B131" s="700"/>
      <c r="C131" s="441"/>
      <c r="D131" s="452"/>
      <c r="E131" s="440"/>
      <c r="F131" s="441"/>
      <c r="G131" s="452"/>
      <c r="H131" s="440"/>
      <c r="I131" s="441"/>
      <c r="J131" s="452"/>
      <c r="K131" s="440"/>
      <c r="L131" s="441"/>
      <c r="M131" s="441"/>
      <c r="N131" s="441">
        <v>51306.350876276883</v>
      </c>
      <c r="O131" s="441">
        <v>-48143.571247369997</v>
      </c>
      <c r="P131" s="452">
        <f t="shared" si="76"/>
        <v>-193.8</v>
      </c>
      <c r="Q131" s="440"/>
      <c r="R131" s="441"/>
      <c r="S131" s="452"/>
      <c r="T131" s="440">
        <v>58</v>
      </c>
      <c r="U131" s="441">
        <v>227</v>
      </c>
      <c r="V131" s="452">
        <f t="shared" si="77"/>
        <v>291.39999999999998</v>
      </c>
      <c r="W131" s="440"/>
      <c r="X131" s="441"/>
      <c r="Y131" s="452"/>
      <c r="Z131" s="440">
        <v>704.18963599999995</v>
      </c>
      <c r="AA131" s="441">
        <v>1294.8967110000001</v>
      </c>
      <c r="AB131" s="452">
        <f t="shared" si="78"/>
        <v>83.9</v>
      </c>
      <c r="AC131" s="441"/>
      <c r="AD131" s="441"/>
      <c r="AE131" s="441"/>
      <c r="AF131" s="441">
        <f t="shared" si="79"/>
        <v>52068.540512276886</v>
      </c>
      <c r="AG131" s="441">
        <f t="shared" si="79"/>
        <v>-46621.674536369996</v>
      </c>
      <c r="AH131" s="452">
        <f t="shared" si="26"/>
        <v>-189.5</v>
      </c>
      <c r="AI131" s="435">
        <f t="shared" si="80"/>
        <v>52068.540512276886</v>
      </c>
      <c r="AJ131" s="435">
        <f t="shared" si="80"/>
        <v>-46621.674536369996</v>
      </c>
      <c r="AK131" s="452">
        <f t="shared" si="27"/>
        <v>-189.5</v>
      </c>
      <c r="AL131" s="552"/>
      <c r="AM131" s="552"/>
      <c r="AN131" s="552"/>
      <c r="AO131" s="552"/>
    </row>
    <row r="132" spans="1:41" ht="18.75" customHeight="1" x14ac:dyDescent="0.35">
      <c r="A132" s="421" t="s">
        <v>315</v>
      </c>
      <c r="B132" s="700"/>
      <c r="C132" s="441"/>
      <c r="D132" s="452"/>
      <c r="E132" s="440"/>
      <c r="F132" s="441"/>
      <c r="G132" s="452"/>
      <c r="H132" s="440"/>
      <c r="I132" s="441"/>
      <c r="J132" s="452"/>
      <c r="K132" s="440"/>
      <c r="L132" s="441"/>
      <c r="M132" s="441"/>
      <c r="N132" s="441">
        <v>415.89010250576922</v>
      </c>
      <c r="O132" s="441">
        <v>310.80363599999998</v>
      </c>
      <c r="P132" s="452">
        <f t="shared" si="76"/>
        <v>-25.3</v>
      </c>
      <c r="Q132" s="440"/>
      <c r="R132" s="441"/>
      <c r="S132" s="452"/>
      <c r="T132" s="440">
        <v>1369</v>
      </c>
      <c r="U132" s="441">
        <v>1317</v>
      </c>
      <c r="V132" s="452">
        <f t="shared" si="77"/>
        <v>-3.8</v>
      </c>
      <c r="W132" s="440"/>
      <c r="X132" s="441"/>
      <c r="Y132" s="452"/>
      <c r="Z132" s="440">
        <v>-21.989025520000201</v>
      </c>
      <c r="AA132" s="441">
        <v>-104.13333439999997</v>
      </c>
      <c r="AB132" s="452">
        <f t="shared" si="78"/>
        <v>373.6</v>
      </c>
      <c r="AC132" s="441"/>
      <c r="AD132" s="441"/>
      <c r="AE132" s="441"/>
      <c r="AF132" s="441">
        <f t="shared" si="79"/>
        <v>1762.9010769857689</v>
      </c>
      <c r="AG132" s="441">
        <f t="shared" si="79"/>
        <v>1523.6703016000001</v>
      </c>
      <c r="AH132" s="452">
        <f t="shared" si="26"/>
        <v>-13.6</v>
      </c>
      <c r="AI132" s="435">
        <f t="shared" si="80"/>
        <v>1762.9010769857689</v>
      </c>
      <c r="AJ132" s="435">
        <f t="shared" si="80"/>
        <v>1523.6703016000001</v>
      </c>
      <c r="AK132" s="452">
        <f t="shared" si="27"/>
        <v>-13.6</v>
      </c>
      <c r="AL132" s="552"/>
      <c r="AM132" s="552"/>
      <c r="AN132" s="552"/>
      <c r="AO132" s="552"/>
    </row>
    <row r="133" spans="1:41" ht="18.75" customHeight="1" x14ac:dyDescent="0.35">
      <c r="A133" s="535" t="s">
        <v>335</v>
      </c>
      <c r="B133" s="700"/>
      <c r="C133" s="441"/>
      <c r="D133" s="452"/>
      <c r="E133" s="440"/>
      <c r="F133" s="441"/>
      <c r="G133" s="452"/>
      <c r="H133" s="440"/>
      <c r="I133" s="441"/>
      <c r="J133" s="452"/>
      <c r="K133" s="440"/>
      <c r="L133" s="441"/>
      <c r="M133" s="441"/>
      <c r="N133" s="441"/>
      <c r="O133" s="441"/>
      <c r="P133" s="452"/>
      <c r="Q133" s="440"/>
      <c r="R133" s="441"/>
      <c r="S133" s="452"/>
      <c r="T133" s="440"/>
      <c r="U133" s="441"/>
      <c r="V133" s="452"/>
      <c r="W133" s="440"/>
      <c r="X133" s="441"/>
      <c r="Y133" s="452"/>
      <c r="Z133" s="440"/>
      <c r="AA133" s="441"/>
      <c r="AB133" s="452"/>
      <c r="AC133" s="441"/>
      <c r="AD133" s="441"/>
      <c r="AE133" s="441"/>
      <c r="AF133" s="441"/>
      <c r="AG133" s="441"/>
      <c r="AH133" s="452"/>
      <c r="AI133" s="435"/>
      <c r="AJ133" s="435"/>
      <c r="AK133" s="452"/>
      <c r="AL133" s="552"/>
      <c r="AM133" s="552"/>
      <c r="AN133" s="552"/>
      <c r="AO133" s="552"/>
    </row>
    <row r="134" spans="1:41" ht="18.75" customHeight="1" x14ac:dyDescent="0.35">
      <c r="A134" s="750" t="s">
        <v>497</v>
      </c>
      <c r="B134" s="700"/>
      <c r="C134" s="441"/>
      <c r="D134" s="452"/>
      <c r="E134" s="440"/>
      <c r="F134" s="441"/>
      <c r="G134" s="452"/>
      <c r="H134" s="440"/>
      <c r="I134" s="441"/>
      <c r="J134" s="452"/>
      <c r="K134" s="440"/>
      <c r="L134" s="441"/>
      <c r="M134" s="441"/>
      <c r="N134" s="441">
        <v>246.49399994000001</v>
      </c>
      <c r="O134" s="441">
        <v>217.52138099999999</v>
      </c>
      <c r="P134" s="452">
        <f t="shared" si="76"/>
        <v>-11.8</v>
      </c>
      <c r="Q134" s="440"/>
      <c r="R134" s="441"/>
      <c r="S134" s="452"/>
      <c r="T134" s="440"/>
      <c r="U134" s="441"/>
      <c r="V134" s="452"/>
      <c r="W134" s="440"/>
      <c r="X134" s="441"/>
      <c r="Y134" s="452"/>
      <c r="Z134" s="440"/>
      <c r="AA134" s="441"/>
      <c r="AB134" s="452"/>
      <c r="AC134" s="441"/>
      <c r="AD134" s="441"/>
      <c r="AE134" s="441"/>
      <c r="AF134" s="441">
        <f t="shared" ref="AF134:AG144" si="81">B134+E134+H134+K134+N134+Q134+T134+W134+Z134</f>
        <v>246.49399994000001</v>
      </c>
      <c r="AG134" s="441">
        <f t="shared" si="81"/>
        <v>217.52138099999999</v>
      </c>
      <c r="AH134" s="452">
        <f t="shared" si="26"/>
        <v>-11.8</v>
      </c>
      <c r="AI134" s="435">
        <f t="shared" ref="AI134:AJ144" si="82">B134+E134+H134+K134+N134+Q134+T134+W134+Z134+AC134</f>
        <v>246.49399994000001</v>
      </c>
      <c r="AJ134" s="435">
        <f t="shared" si="82"/>
        <v>217.52138099999999</v>
      </c>
      <c r="AK134" s="452">
        <f t="shared" si="27"/>
        <v>-11.8</v>
      </c>
      <c r="AL134" s="552"/>
      <c r="AM134" s="552"/>
      <c r="AN134" s="552"/>
      <c r="AO134" s="552"/>
    </row>
    <row r="135" spans="1:41" ht="18.75" customHeight="1" x14ac:dyDescent="0.35">
      <c r="A135" s="421" t="s">
        <v>498</v>
      </c>
      <c r="B135" s="694"/>
      <c r="C135" s="400"/>
      <c r="D135" s="452"/>
      <c r="E135" s="440"/>
      <c r="F135" s="441"/>
      <c r="G135" s="452"/>
      <c r="H135" s="440"/>
      <c r="I135" s="441"/>
      <c r="J135" s="452"/>
      <c r="K135" s="440"/>
      <c r="L135" s="441"/>
      <c r="M135" s="441"/>
      <c r="N135" s="441"/>
      <c r="O135" s="441"/>
      <c r="P135" s="452"/>
      <c r="Q135" s="440"/>
      <c r="R135" s="441"/>
      <c r="S135" s="452"/>
      <c r="T135" s="440"/>
      <c r="U135" s="441"/>
      <c r="V135" s="452"/>
      <c r="W135" s="440"/>
      <c r="X135" s="441"/>
      <c r="Y135" s="452"/>
      <c r="Z135" s="440"/>
      <c r="AA135" s="441"/>
      <c r="AB135" s="452"/>
      <c r="AC135" s="441"/>
      <c r="AD135" s="441"/>
      <c r="AE135" s="441"/>
      <c r="AF135" s="441">
        <f t="shared" si="81"/>
        <v>0</v>
      </c>
      <c r="AG135" s="441">
        <f t="shared" si="81"/>
        <v>0</v>
      </c>
      <c r="AH135" s="452" t="str">
        <f t="shared" si="26"/>
        <v xml:space="preserve">    ---- </v>
      </c>
      <c r="AI135" s="435">
        <f t="shared" si="82"/>
        <v>0</v>
      </c>
      <c r="AJ135" s="435">
        <f t="shared" si="82"/>
        <v>0</v>
      </c>
      <c r="AK135" s="452" t="str">
        <f t="shared" si="27"/>
        <v xml:space="preserve">    ---- </v>
      </c>
      <c r="AL135" s="552"/>
      <c r="AM135" s="552"/>
      <c r="AN135" s="552"/>
      <c r="AO135" s="552"/>
    </row>
    <row r="136" spans="1:41" ht="18.75" customHeight="1" x14ac:dyDescent="0.35">
      <c r="A136" s="421" t="s">
        <v>307</v>
      </c>
      <c r="B136" s="700"/>
      <c r="C136" s="441"/>
      <c r="D136" s="452"/>
      <c r="E136" s="440"/>
      <c r="F136" s="441"/>
      <c r="G136" s="452"/>
      <c r="H136" s="440"/>
      <c r="I136" s="441"/>
      <c r="J136" s="452"/>
      <c r="K136" s="440"/>
      <c r="L136" s="441"/>
      <c r="M136" s="441"/>
      <c r="N136" s="441">
        <v>0.1605842749667121</v>
      </c>
      <c r="O136" s="441">
        <v>-0.173292</v>
      </c>
      <c r="P136" s="452">
        <f t="shared" si="76"/>
        <v>-207.9</v>
      </c>
      <c r="Q136" s="440"/>
      <c r="R136" s="441"/>
      <c r="S136" s="452"/>
      <c r="T136" s="440"/>
      <c r="U136" s="441"/>
      <c r="V136" s="452"/>
      <c r="W136" s="440"/>
      <c r="X136" s="441"/>
      <c r="Y136" s="452"/>
      <c r="Z136" s="440"/>
      <c r="AA136" s="441"/>
      <c r="AB136" s="452"/>
      <c r="AC136" s="441"/>
      <c r="AD136" s="441"/>
      <c r="AE136" s="441"/>
      <c r="AF136" s="441">
        <f t="shared" si="81"/>
        <v>0.1605842749667121</v>
      </c>
      <c r="AG136" s="441">
        <f t="shared" si="81"/>
        <v>-0.173292</v>
      </c>
      <c r="AH136" s="452">
        <f t="shared" si="26"/>
        <v>-207.9</v>
      </c>
      <c r="AI136" s="435">
        <f t="shared" si="82"/>
        <v>0.1605842749667121</v>
      </c>
      <c r="AJ136" s="435">
        <f t="shared" si="82"/>
        <v>-0.173292</v>
      </c>
      <c r="AK136" s="452">
        <f t="shared" si="27"/>
        <v>-207.9</v>
      </c>
      <c r="AL136" s="552"/>
      <c r="AM136" s="552"/>
      <c r="AN136" s="552"/>
      <c r="AO136" s="552"/>
    </row>
    <row r="137" spans="1:41" ht="18.75" customHeight="1" x14ac:dyDescent="0.35">
      <c r="A137" s="421" t="s">
        <v>308</v>
      </c>
      <c r="B137" s="700"/>
      <c r="C137" s="441"/>
      <c r="D137" s="452"/>
      <c r="E137" s="440"/>
      <c r="F137" s="441"/>
      <c r="G137" s="452"/>
      <c r="H137" s="440"/>
      <c r="I137" s="441"/>
      <c r="J137" s="452"/>
      <c r="K137" s="440"/>
      <c r="L137" s="441"/>
      <c r="M137" s="441"/>
      <c r="N137" s="441"/>
      <c r="O137" s="441"/>
      <c r="P137" s="452"/>
      <c r="Q137" s="440"/>
      <c r="R137" s="441"/>
      <c r="S137" s="452"/>
      <c r="T137" s="440"/>
      <c r="U137" s="441"/>
      <c r="V137" s="452"/>
      <c r="W137" s="440"/>
      <c r="X137" s="441"/>
      <c r="Y137" s="452"/>
      <c r="Z137" s="440"/>
      <c r="AA137" s="441"/>
      <c r="AB137" s="452"/>
      <c r="AC137" s="441"/>
      <c r="AD137" s="441"/>
      <c r="AE137" s="441"/>
      <c r="AF137" s="441">
        <f t="shared" si="81"/>
        <v>0</v>
      </c>
      <c r="AG137" s="441">
        <f t="shared" si="81"/>
        <v>0</v>
      </c>
      <c r="AH137" s="452" t="str">
        <f t="shared" si="26"/>
        <v xml:space="preserve">    ---- </v>
      </c>
      <c r="AI137" s="435">
        <f t="shared" si="82"/>
        <v>0</v>
      </c>
      <c r="AJ137" s="435">
        <f t="shared" si="82"/>
        <v>0</v>
      </c>
      <c r="AK137" s="452" t="str">
        <f t="shared" si="27"/>
        <v xml:space="preserve">    ---- </v>
      </c>
      <c r="AL137" s="552"/>
      <c r="AM137" s="552"/>
      <c r="AN137" s="552"/>
      <c r="AO137" s="552"/>
    </row>
    <row r="138" spans="1:41" ht="18.75" customHeight="1" x14ac:dyDescent="0.35">
      <c r="A138" s="421" t="s">
        <v>309</v>
      </c>
      <c r="B138" s="700"/>
      <c r="C138" s="441"/>
      <c r="D138" s="452"/>
      <c r="E138" s="440"/>
      <c r="F138" s="441"/>
      <c r="G138" s="452"/>
      <c r="H138" s="440"/>
      <c r="I138" s="441"/>
      <c r="J138" s="452"/>
      <c r="K138" s="440"/>
      <c r="L138" s="441"/>
      <c r="M138" s="441"/>
      <c r="N138" s="441">
        <v>5.4224000000000001E-2</v>
      </c>
      <c r="O138" s="441">
        <v>0.28141100000000002</v>
      </c>
      <c r="P138" s="452">
        <f t="shared" si="76"/>
        <v>419</v>
      </c>
      <c r="Q138" s="440"/>
      <c r="R138" s="441"/>
      <c r="S138" s="452"/>
      <c r="T138" s="440"/>
      <c r="U138" s="441"/>
      <c r="V138" s="452"/>
      <c r="W138" s="440"/>
      <c r="X138" s="441"/>
      <c r="Y138" s="452"/>
      <c r="Z138" s="440"/>
      <c r="AA138" s="441"/>
      <c r="AB138" s="452"/>
      <c r="AC138" s="441"/>
      <c r="AD138" s="441"/>
      <c r="AE138" s="441"/>
      <c r="AF138" s="441">
        <f t="shared" si="81"/>
        <v>5.4224000000000001E-2</v>
      </c>
      <c r="AG138" s="441">
        <f t="shared" si="81"/>
        <v>0.28141100000000002</v>
      </c>
      <c r="AH138" s="452">
        <f t="shared" si="26"/>
        <v>419</v>
      </c>
      <c r="AI138" s="435">
        <f t="shared" si="82"/>
        <v>5.4224000000000001E-2</v>
      </c>
      <c r="AJ138" s="435">
        <f t="shared" si="82"/>
        <v>0.28141100000000002</v>
      </c>
      <c r="AK138" s="452">
        <f t="shared" si="27"/>
        <v>419</v>
      </c>
      <c r="AL138" s="552"/>
      <c r="AM138" s="552"/>
      <c r="AN138" s="552"/>
      <c r="AO138" s="552"/>
    </row>
    <row r="139" spans="1:41" ht="18.75" customHeight="1" x14ac:dyDescent="0.35">
      <c r="A139" s="421" t="s">
        <v>310</v>
      </c>
      <c r="B139" s="700"/>
      <c r="C139" s="441"/>
      <c r="D139" s="452"/>
      <c r="E139" s="440"/>
      <c r="F139" s="441"/>
      <c r="G139" s="452"/>
      <c r="H139" s="440"/>
      <c r="I139" s="441"/>
      <c r="J139" s="452"/>
      <c r="K139" s="440"/>
      <c r="L139" s="441"/>
      <c r="M139" s="441"/>
      <c r="N139" s="441">
        <v>2.2980216732078378</v>
      </c>
      <c r="O139" s="441">
        <v>1.999743</v>
      </c>
      <c r="P139" s="452">
        <f t="shared" si="76"/>
        <v>-13</v>
      </c>
      <c r="Q139" s="440"/>
      <c r="R139" s="441"/>
      <c r="S139" s="452"/>
      <c r="T139" s="440"/>
      <c r="U139" s="441"/>
      <c r="V139" s="452"/>
      <c r="W139" s="440"/>
      <c r="X139" s="441"/>
      <c r="Y139" s="452"/>
      <c r="Z139" s="440"/>
      <c r="AA139" s="441"/>
      <c r="AB139" s="452"/>
      <c r="AC139" s="441"/>
      <c r="AD139" s="441"/>
      <c r="AE139" s="441"/>
      <c r="AF139" s="441">
        <f t="shared" si="81"/>
        <v>2.2980216732078378</v>
      </c>
      <c r="AG139" s="441">
        <f t="shared" si="81"/>
        <v>1.999743</v>
      </c>
      <c r="AH139" s="452">
        <f t="shared" si="26"/>
        <v>-13</v>
      </c>
      <c r="AI139" s="435">
        <f t="shared" si="82"/>
        <v>2.2980216732078378</v>
      </c>
      <c r="AJ139" s="435">
        <f t="shared" si="82"/>
        <v>1.999743</v>
      </c>
      <c r="AK139" s="452">
        <f t="shared" si="27"/>
        <v>-13</v>
      </c>
      <c r="AL139" s="552"/>
      <c r="AM139" s="552"/>
      <c r="AN139" s="552"/>
      <c r="AO139" s="552"/>
    </row>
    <row r="140" spans="1:41" ht="18.75" customHeight="1" x14ac:dyDescent="0.35">
      <c r="A140" s="421" t="s">
        <v>311</v>
      </c>
      <c r="B140" s="700"/>
      <c r="C140" s="441"/>
      <c r="D140" s="452"/>
      <c r="E140" s="440"/>
      <c r="F140" s="441"/>
      <c r="G140" s="452"/>
      <c r="H140" s="440"/>
      <c r="I140" s="441"/>
      <c r="J140" s="452"/>
      <c r="K140" s="440"/>
      <c r="L140" s="441"/>
      <c r="M140" s="441"/>
      <c r="N140" s="441">
        <v>2.298022</v>
      </c>
      <c r="O140" s="441">
        <v>1.8883479399999998</v>
      </c>
      <c r="P140" s="452">
        <f t="shared" si="76"/>
        <v>-17.8</v>
      </c>
      <c r="Q140" s="440"/>
      <c r="R140" s="441"/>
      <c r="S140" s="452"/>
      <c r="T140" s="440"/>
      <c r="U140" s="441"/>
      <c r="V140" s="452"/>
      <c r="W140" s="440"/>
      <c r="X140" s="441"/>
      <c r="Y140" s="452"/>
      <c r="Z140" s="440"/>
      <c r="AA140" s="441"/>
      <c r="AB140" s="452"/>
      <c r="AC140" s="441"/>
      <c r="AD140" s="441"/>
      <c r="AE140" s="441"/>
      <c r="AF140" s="441">
        <f t="shared" si="81"/>
        <v>2.298022</v>
      </c>
      <c r="AG140" s="441">
        <f t="shared" si="81"/>
        <v>1.8883479399999998</v>
      </c>
      <c r="AH140" s="452">
        <f t="shared" si="26"/>
        <v>-17.8</v>
      </c>
      <c r="AI140" s="435">
        <f t="shared" si="82"/>
        <v>2.298022</v>
      </c>
      <c r="AJ140" s="435">
        <f t="shared" si="82"/>
        <v>1.8883479399999998</v>
      </c>
      <c r="AK140" s="452">
        <f t="shared" si="27"/>
        <v>-17.8</v>
      </c>
      <c r="AL140" s="552"/>
      <c r="AM140" s="552"/>
      <c r="AN140" s="552"/>
      <c r="AO140" s="552"/>
    </row>
    <row r="141" spans="1:41" ht="18.75" customHeight="1" x14ac:dyDescent="0.35">
      <c r="A141" s="421" t="s">
        <v>312</v>
      </c>
      <c r="B141" s="700"/>
      <c r="C141" s="441"/>
      <c r="D141" s="452"/>
      <c r="E141" s="440"/>
      <c r="F141" s="441"/>
      <c r="G141" s="452"/>
      <c r="H141" s="440"/>
      <c r="I141" s="441"/>
      <c r="J141" s="452"/>
      <c r="K141" s="440"/>
      <c r="L141" s="441"/>
      <c r="M141" s="441"/>
      <c r="N141" s="441"/>
      <c r="O141" s="441"/>
      <c r="P141" s="452"/>
      <c r="Q141" s="440"/>
      <c r="R141" s="441"/>
      <c r="S141" s="452"/>
      <c r="T141" s="440"/>
      <c r="U141" s="441"/>
      <c r="V141" s="452"/>
      <c r="W141" s="440"/>
      <c r="X141" s="441"/>
      <c r="Y141" s="452"/>
      <c r="Z141" s="440"/>
      <c r="AA141" s="441"/>
      <c r="AB141" s="452"/>
      <c r="AC141" s="441"/>
      <c r="AD141" s="441"/>
      <c r="AE141" s="441"/>
      <c r="AF141" s="441">
        <f t="shared" si="81"/>
        <v>0</v>
      </c>
      <c r="AG141" s="441">
        <f t="shared" si="81"/>
        <v>0</v>
      </c>
      <c r="AH141" s="452" t="str">
        <f t="shared" si="26"/>
        <v xml:space="preserve">    ---- </v>
      </c>
      <c r="AI141" s="435">
        <f t="shared" si="82"/>
        <v>0</v>
      </c>
      <c r="AJ141" s="435">
        <f t="shared" si="82"/>
        <v>0</v>
      </c>
      <c r="AK141" s="452" t="str">
        <f t="shared" si="27"/>
        <v xml:space="preserve">    ---- </v>
      </c>
      <c r="AL141" s="552"/>
      <c r="AM141" s="552"/>
      <c r="AN141" s="552"/>
      <c r="AO141" s="552"/>
    </row>
    <row r="142" spans="1:41" s="568" customFormat="1" ht="18.75" customHeight="1" x14ac:dyDescent="0.3">
      <c r="A142" s="535" t="s">
        <v>313</v>
      </c>
      <c r="B142" s="702"/>
      <c r="C142" s="443"/>
      <c r="D142" s="453"/>
      <c r="E142" s="442"/>
      <c r="F142" s="443"/>
      <c r="G142" s="453"/>
      <c r="H142" s="442"/>
      <c r="I142" s="443"/>
      <c r="J142" s="453"/>
      <c r="K142" s="442"/>
      <c r="L142" s="443"/>
      <c r="M142" s="443"/>
      <c r="N142" s="443">
        <v>249.00682988817456</v>
      </c>
      <c r="O142" s="443">
        <v>219.62924299999997</v>
      </c>
      <c r="P142" s="453">
        <f t="shared" si="76"/>
        <v>-11.8</v>
      </c>
      <c r="Q142" s="442"/>
      <c r="R142" s="443"/>
      <c r="S142" s="453"/>
      <c r="T142" s="442"/>
      <c r="U142" s="443"/>
      <c r="V142" s="453"/>
      <c r="W142" s="442"/>
      <c r="X142" s="443"/>
      <c r="Y142" s="453"/>
      <c r="Z142" s="442"/>
      <c r="AA142" s="443"/>
      <c r="AB142" s="453"/>
      <c r="AC142" s="443"/>
      <c r="AD142" s="443"/>
      <c r="AE142" s="443"/>
      <c r="AF142" s="443">
        <f t="shared" si="81"/>
        <v>249.00682988817456</v>
      </c>
      <c r="AG142" s="443">
        <f t="shared" si="81"/>
        <v>219.62924299999997</v>
      </c>
      <c r="AH142" s="453">
        <f t="shared" si="26"/>
        <v>-11.8</v>
      </c>
      <c r="AI142" s="433">
        <f t="shared" si="82"/>
        <v>249.00682988817456</v>
      </c>
      <c r="AJ142" s="433">
        <f t="shared" si="82"/>
        <v>219.62924299999997</v>
      </c>
      <c r="AK142" s="453">
        <f t="shared" si="27"/>
        <v>-11.8</v>
      </c>
      <c r="AL142" s="555"/>
      <c r="AM142" s="555"/>
      <c r="AN142" s="555"/>
      <c r="AO142" s="555"/>
    </row>
    <row r="143" spans="1:41" ht="18.75" customHeight="1" x14ac:dyDescent="0.35">
      <c r="A143" s="421" t="s">
        <v>314</v>
      </c>
      <c r="B143" s="700"/>
      <c r="C143" s="441"/>
      <c r="D143" s="452"/>
      <c r="E143" s="440"/>
      <c r="F143" s="441"/>
      <c r="G143" s="452"/>
      <c r="H143" s="440"/>
      <c r="I143" s="441"/>
      <c r="J143" s="452"/>
      <c r="K143" s="440"/>
      <c r="L143" s="441"/>
      <c r="M143" s="441"/>
      <c r="N143" s="441">
        <v>248.6870776732074</v>
      </c>
      <c r="O143" s="441">
        <v>219.30298994</v>
      </c>
      <c r="P143" s="452">
        <f t="shared" si="76"/>
        <v>-11.8</v>
      </c>
      <c r="Q143" s="440"/>
      <c r="R143" s="441"/>
      <c r="S143" s="452"/>
      <c r="T143" s="440"/>
      <c r="U143" s="441"/>
      <c r="V143" s="452"/>
      <c r="W143" s="440"/>
      <c r="X143" s="441"/>
      <c r="Y143" s="452"/>
      <c r="Z143" s="440"/>
      <c r="AA143" s="441"/>
      <c r="AB143" s="452"/>
      <c r="AC143" s="441"/>
      <c r="AD143" s="441"/>
      <c r="AE143" s="441"/>
      <c r="AF143" s="441">
        <f t="shared" si="81"/>
        <v>248.6870776732074</v>
      </c>
      <c r="AG143" s="441">
        <f t="shared" si="81"/>
        <v>219.30298994</v>
      </c>
      <c r="AH143" s="452">
        <f t="shared" si="26"/>
        <v>-11.8</v>
      </c>
      <c r="AI143" s="435">
        <f t="shared" si="82"/>
        <v>248.6870776732074</v>
      </c>
      <c r="AJ143" s="435">
        <f t="shared" si="82"/>
        <v>219.30298994</v>
      </c>
      <c r="AK143" s="452">
        <f t="shared" si="27"/>
        <v>-11.8</v>
      </c>
      <c r="AL143" s="552"/>
      <c r="AM143" s="552"/>
      <c r="AN143" s="552"/>
      <c r="AO143" s="552"/>
    </row>
    <row r="144" spans="1:41" s="552" customFormat="1" ht="18.75" customHeight="1" x14ac:dyDescent="0.35">
      <c r="A144" s="423" t="s">
        <v>315</v>
      </c>
      <c r="B144" s="704"/>
      <c r="C144" s="445"/>
      <c r="D144" s="448"/>
      <c r="E144" s="444"/>
      <c r="F144" s="445"/>
      <c r="G144" s="448"/>
      <c r="H144" s="444"/>
      <c r="I144" s="445"/>
      <c r="J144" s="448"/>
      <c r="K144" s="444"/>
      <c r="L144" s="445"/>
      <c r="M144" s="445"/>
      <c r="N144" s="445">
        <v>0.31975221496713163</v>
      </c>
      <c r="O144" s="445">
        <v>0.32625300000000002</v>
      </c>
      <c r="P144" s="448">
        <f t="shared" si="76"/>
        <v>2</v>
      </c>
      <c r="Q144" s="444"/>
      <c r="R144" s="445"/>
      <c r="S144" s="448"/>
      <c r="T144" s="444"/>
      <c r="U144" s="445"/>
      <c r="V144" s="448"/>
      <c r="W144" s="444"/>
      <c r="X144" s="445"/>
      <c r="Y144" s="448"/>
      <c r="Z144" s="444"/>
      <c r="AA144" s="445"/>
      <c r="AB144" s="448"/>
      <c r="AC144" s="448"/>
      <c r="AD144" s="448"/>
      <c r="AE144" s="448"/>
      <c r="AF144" s="448">
        <f t="shared" si="81"/>
        <v>0.31975221496713163</v>
      </c>
      <c r="AG144" s="448">
        <f t="shared" si="81"/>
        <v>0.32625300000000002</v>
      </c>
      <c r="AH144" s="448">
        <f t="shared" si="26"/>
        <v>2</v>
      </c>
      <c r="AI144" s="451">
        <f t="shared" si="82"/>
        <v>0.31975221496713163</v>
      </c>
      <c r="AJ144" s="451">
        <f t="shared" si="82"/>
        <v>0.32625300000000002</v>
      </c>
      <c r="AK144" s="448">
        <f t="shared" si="27"/>
        <v>2</v>
      </c>
    </row>
    <row r="145" spans="1:41" s="574" customFormat="1" ht="18.75" customHeight="1" x14ac:dyDescent="0.35">
      <c r="A145" s="552" t="s">
        <v>298</v>
      </c>
      <c r="B145" s="573"/>
      <c r="C145" s="573"/>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575"/>
      <c r="AM145" s="575"/>
      <c r="AN145" s="575"/>
      <c r="AO145" s="575"/>
    </row>
    <row r="146" spans="1:41" ht="18" x14ac:dyDescent="0.35">
      <c r="A146" s="552"/>
    </row>
    <row r="147" spans="1:41" ht="18" x14ac:dyDescent="0.35">
      <c r="A147" s="552"/>
    </row>
    <row r="148" spans="1:41" ht="18" x14ac:dyDescent="0.35">
      <c r="A148" s="552"/>
    </row>
    <row r="149" spans="1:41" ht="18" x14ac:dyDescent="0.35">
      <c r="A149" s="552"/>
    </row>
    <row r="150" spans="1:41" ht="18" x14ac:dyDescent="0.35">
      <c r="A150" s="552"/>
    </row>
    <row r="151" spans="1:41" ht="18" x14ac:dyDescent="0.35">
      <c r="A151" s="552"/>
    </row>
    <row r="152" spans="1:41" ht="18" x14ac:dyDescent="0.35">
      <c r="A152" s="552"/>
    </row>
    <row r="153" spans="1:41" ht="18" x14ac:dyDescent="0.35">
      <c r="A153" s="552"/>
    </row>
    <row r="154" spans="1:41" ht="18" x14ac:dyDescent="0.35">
      <c r="A154" s="552"/>
    </row>
    <row r="155" spans="1:41" ht="18" x14ac:dyDescent="0.35">
      <c r="A155" s="552"/>
    </row>
    <row r="156" spans="1:41" ht="18" x14ac:dyDescent="0.35">
      <c r="A156" s="552"/>
    </row>
    <row r="157" spans="1:41" ht="18" x14ac:dyDescent="0.35">
      <c r="A157" s="552"/>
    </row>
    <row r="158" spans="1:41" ht="18" x14ac:dyDescent="0.35">
      <c r="A158" s="552"/>
    </row>
    <row r="159" spans="1:41" ht="18" x14ac:dyDescent="0.35">
      <c r="A159" s="552"/>
    </row>
    <row r="160" spans="1:41" ht="18" x14ac:dyDescent="0.35">
      <c r="A160" s="552"/>
    </row>
    <row r="161" spans="1:1" ht="18" x14ac:dyDescent="0.35">
      <c r="A161" s="552"/>
    </row>
    <row r="162" spans="1:1" ht="18" x14ac:dyDescent="0.35">
      <c r="A162" s="552"/>
    </row>
    <row r="163" spans="1:1" ht="18" x14ac:dyDescent="0.35">
      <c r="A163" s="552"/>
    </row>
    <row r="164" spans="1:1" ht="18" x14ac:dyDescent="0.35">
      <c r="A164" s="552"/>
    </row>
    <row r="165" spans="1:1" ht="18" x14ac:dyDescent="0.35">
      <c r="A165" s="552"/>
    </row>
    <row r="166" spans="1:1" ht="18" x14ac:dyDescent="0.35">
      <c r="A166" s="552"/>
    </row>
    <row r="167" spans="1:1" ht="18" x14ac:dyDescent="0.35">
      <c r="A167" s="552"/>
    </row>
    <row r="168" spans="1:1" ht="18" x14ac:dyDescent="0.35">
      <c r="A168" s="552"/>
    </row>
    <row r="169" spans="1:1" ht="18" x14ac:dyDescent="0.35">
      <c r="A169" s="552"/>
    </row>
    <row r="170" spans="1:1" ht="18" x14ac:dyDescent="0.35">
      <c r="A170" s="552"/>
    </row>
    <row r="171" spans="1:1" ht="18" x14ac:dyDescent="0.35">
      <c r="A171" s="552"/>
    </row>
    <row r="172" spans="1:1" ht="18" x14ac:dyDescent="0.35">
      <c r="A172" s="552"/>
    </row>
    <row r="173" spans="1:1" ht="18" x14ac:dyDescent="0.35">
      <c r="A173" s="552"/>
    </row>
    <row r="174" spans="1:1" ht="18" x14ac:dyDescent="0.35">
      <c r="A174" s="552"/>
    </row>
    <row r="175" spans="1:1" ht="18" x14ac:dyDescent="0.35">
      <c r="A175" s="552"/>
    </row>
    <row r="176" spans="1:1" ht="18" x14ac:dyDescent="0.35">
      <c r="A176" s="552"/>
    </row>
    <row r="177" spans="1:1" ht="18" x14ac:dyDescent="0.35">
      <c r="A177" s="552"/>
    </row>
    <row r="178" spans="1:1" ht="18" x14ac:dyDescent="0.35">
      <c r="A178" s="552"/>
    </row>
    <row r="179" spans="1:1" ht="18" x14ac:dyDescent="0.35">
      <c r="A179" s="552"/>
    </row>
    <row r="180" spans="1:1" ht="18" x14ac:dyDescent="0.35">
      <c r="A180" s="552"/>
    </row>
    <row r="181" spans="1:1" ht="18" x14ac:dyDescent="0.35">
      <c r="A181" s="552"/>
    </row>
    <row r="182" spans="1:1" ht="18" x14ac:dyDescent="0.35">
      <c r="A182" s="552"/>
    </row>
    <row r="183" spans="1:1" ht="18" x14ac:dyDescent="0.35">
      <c r="A183" s="552"/>
    </row>
    <row r="184" spans="1:1" ht="18" x14ac:dyDescent="0.35">
      <c r="A184" s="552"/>
    </row>
    <row r="185" spans="1:1" ht="18" x14ac:dyDescent="0.35">
      <c r="A185" s="552"/>
    </row>
    <row r="186" spans="1:1" ht="18" x14ac:dyDescent="0.35">
      <c r="A186" s="552"/>
    </row>
    <row r="187" spans="1:1" ht="18" x14ac:dyDescent="0.35">
      <c r="A187" s="552"/>
    </row>
    <row r="188" spans="1:1" ht="18" x14ac:dyDescent="0.35">
      <c r="A188" s="552"/>
    </row>
    <row r="189" spans="1:1" ht="18" x14ac:dyDescent="0.35">
      <c r="A189" s="552"/>
    </row>
    <row r="190" spans="1:1" ht="18" x14ac:dyDescent="0.35">
      <c r="A190" s="552"/>
    </row>
    <row r="191" spans="1:1" ht="18" x14ac:dyDescent="0.35">
      <c r="A191" s="552"/>
    </row>
    <row r="192" spans="1:1" ht="18" x14ac:dyDescent="0.35">
      <c r="A192" s="552"/>
    </row>
    <row r="193" spans="1:1" ht="18" x14ac:dyDescent="0.35">
      <c r="A193" s="552"/>
    </row>
    <row r="194" spans="1:1" ht="18" x14ac:dyDescent="0.35">
      <c r="A194" s="552"/>
    </row>
    <row r="195" spans="1:1" ht="18" x14ac:dyDescent="0.35">
      <c r="A195" s="552"/>
    </row>
    <row r="196" spans="1:1" ht="18" x14ac:dyDescent="0.35">
      <c r="A196" s="552"/>
    </row>
    <row r="197" spans="1:1" ht="18" x14ac:dyDescent="0.35">
      <c r="A197" s="552"/>
    </row>
    <row r="198" spans="1:1" ht="18" x14ac:dyDescent="0.35">
      <c r="A198" s="552"/>
    </row>
    <row r="199" spans="1:1" ht="18" x14ac:dyDescent="0.35">
      <c r="A199" s="552"/>
    </row>
    <row r="200" spans="1:1" ht="18" x14ac:dyDescent="0.35">
      <c r="A200" s="552"/>
    </row>
    <row r="201" spans="1:1" ht="18" x14ac:dyDescent="0.35">
      <c r="A201" s="552"/>
    </row>
    <row r="202" spans="1:1" ht="18" x14ac:dyDescent="0.35">
      <c r="A202" s="552"/>
    </row>
    <row r="203" spans="1:1" ht="18" x14ac:dyDescent="0.35">
      <c r="A203" s="552"/>
    </row>
    <row r="204" spans="1:1" ht="18" x14ac:dyDescent="0.35">
      <c r="A204" s="552"/>
    </row>
    <row r="205" spans="1:1" ht="18" x14ac:dyDescent="0.35">
      <c r="A205" s="552"/>
    </row>
    <row r="206" spans="1:1" ht="18" x14ac:dyDescent="0.35">
      <c r="A206" s="552"/>
    </row>
    <row r="207" spans="1:1" ht="18" x14ac:dyDescent="0.35">
      <c r="A207" s="552"/>
    </row>
    <row r="208" spans="1:1" ht="18" x14ac:dyDescent="0.35">
      <c r="A208" s="552"/>
    </row>
    <row r="209" spans="1:1" ht="18" x14ac:dyDescent="0.35">
      <c r="A209" s="552"/>
    </row>
    <row r="210" spans="1:1" ht="18" x14ac:dyDescent="0.35">
      <c r="A210" s="552"/>
    </row>
    <row r="211" spans="1:1" ht="18" x14ac:dyDescent="0.35">
      <c r="A211" s="552"/>
    </row>
    <row r="212" spans="1:1" ht="18" x14ac:dyDescent="0.35">
      <c r="A212" s="552"/>
    </row>
    <row r="213" spans="1:1" ht="18" x14ac:dyDescent="0.35">
      <c r="A213" s="552"/>
    </row>
    <row r="214" spans="1:1" ht="18" x14ac:dyDescent="0.35">
      <c r="A214" s="552"/>
    </row>
  </sheetData>
  <mergeCells count="22">
    <mergeCell ref="AI7:AK7"/>
    <mergeCell ref="Z6:AB6"/>
    <mergeCell ref="AC6:AE6"/>
    <mergeCell ref="AF6:AH6"/>
    <mergeCell ref="AI6:AK6"/>
    <mergeCell ref="Z7:AB7"/>
    <mergeCell ref="AC7:AE7"/>
    <mergeCell ref="AF7:AH7"/>
    <mergeCell ref="T6:V6"/>
    <mergeCell ref="W6:Y6"/>
    <mergeCell ref="Q7:S7"/>
    <mergeCell ref="B6:D6"/>
    <mergeCell ref="E6:G6"/>
    <mergeCell ref="H6:J6"/>
    <mergeCell ref="K6:M6"/>
    <mergeCell ref="B7:D7"/>
    <mergeCell ref="E7:G7"/>
    <mergeCell ref="H7:J7"/>
    <mergeCell ref="K7:M7"/>
    <mergeCell ref="N7:P7"/>
    <mergeCell ref="T7:V7"/>
    <mergeCell ref="W7:Y7"/>
  </mergeCells>
  <conditionalFormatting sqref="B13:C13 B25:C25 B37:C37 B49:C49 B61:C61 B73:C73 B85:C85 B97:C97 B109:C109 B123:C123 B135:C135">
    <cfRule type="expression" dxfId="476" priority="203">
      <formula>kvartal &lt; 4</formula>
    </cfRule>
  </conditionalFormatting>
  <conditionalFormatting sqref="B20:C20">
    <cfRule type="expression" dxfId="475" priority="202">
      <formula>#REF!="20≠12+13+14+15+16+17+19"</formula>
    </cfRule>
    <cfRule type="expression" dxfId="474" priority="181">
      <formula>#REF!="20≠21+22"</formula>
    </cfRule>
  </conditionalFormatting>
  <conditionalFormatting sqref="B32:C32">
    <cfRule type="expression" dxfId="473" priority="182">
      <formula>#REF!="32≠24+25+26+27+28+29+31"</formula>
    </cfRule>
    <cfRule type="expression" dxfId="472" priority="183">
      <formula>#REF!="32≠33+34"</formula>
    </cfRule>
  </conditionalFormatting>
  <conditionalFormatting sqref="B44:C44">
    <cfRule type="expression" dxfId="471" priority="184">
      <formula>#REF!="44≠36+37+38+39+40+41+43"</formula>
    </cfRule>
    <cfRule type="expression" dxfId="470" priority="185">
      <formula>#REF!="44≠45+46"</formula>
    </cfRule>
  </conditionalFormatting>
  <conditionalFormatting sqref="B56:C56">
    <cfRule type="expression" dxfId="469" priority="187">
      <formula>#REF!="56≠57+58"</formula>
    </cfRule>
    <cfRule type="expression" dxfId="468" priority="186">
      <formula>#REF!="56≠48+49+50+51+52+53+55"</formula>
    </cfRule>
  </conditionalFormatting>
  <conditionalFormatting sqref="B68:C68">
    <cfRule type="expression" dxfId="467" priority="188">
      <formula>#REF!="68≠60+61+62+63+64+65+67"</formula>
    </cfRule>
    <cfRule type="expression" dxfId="466" priority="189">
      <formula>#REF!="68≠69+70"</formula>
    </cfRule>
  </conditionalFormatting>
  <conditionalFormatting sqref="B80:C80">
    <cfRule type="expression" dxfId="465" priority="191">
      <formula>#REF!="80≠81+82"</formula>
    </cfRule>
    <cfRule type="expression" dxfId="464" priority="190">
      <formula>#REF!="80≠72+73+74+75+76+77+79"</formula>
    </cfRule>
  </conditionalFormatting>
  <conditionalFormatting sqref="B92:C92">
    <cfRule type="expression" dxfId="463" priority="193">
      <formula>#REF!="92≠93+94"</formula>
    </cfRule>
    <cfRule type="expression" dxfId="462" priority="192">
      <formula>#REF!="92≠84+85+86+87+88+89+91"</formula>
    </cfRule>
  </conditionalFormatting>
  <conditionalFormatting sqref="B104:C104">
    <cfRule type="expression" dxfId="461" priority="195">
      <formula>#REF!="104≠105+106"</formula>
    </cfRule>
    <cfRule type="expression" dxfId="460" priority="194">
      <formula>#REF!="104≠96+97+98+99+100+101+103"</formula>
    </cfRule>
  </conditionalFormatting>
  <conditionalFormatting sqref="B116:C116">
    <cfRule type="expression" dxfId="459" priority="197">
      <formula>#REF!="116≠117+118"</formula>
    </cfRule>
    <cfRule type="expression" dxfId="458" priority="196">
      <formula>#REF!="116≠108+109+110+111+112+113+115"</formula>
    </cfRule>
  </conditionalFormatting>
  <conditionalFormatting sqref="B130:C130">
    <cfRule type="expression" dxfId="457" priority="198">
      <formula>#REF!="130≠122+123+124+125+126+127+129"</formula>
    </cfRule>
    <cfRule type="expression" dxfId="456" priority="199">
      <formula>#REF!="130≠131+132"</formula>
    </cfRule>
  </conditionalFormatting>
  <conditionalFormatting sqref="B142:C142">
    <cfRule type="expression" dxfId="455" priority="201">
      <formula>#REF!="142≠143+144"</formula>
    </cfRule>
    <cfRule type="expression" dxfId="454" priority="200">
      <formula>#REF!="142≠134+135+136+137+138+139+141"</formula>
    </cfRule>
  </conditionalFormatting>
  <conditionalFormatting sqref="E20:F20">
    <cfRule type="expression" dxfId="453" priority="590">
      <formula>#REF!="20≠21+22"</formula>
    </cfRule>
    <cfRule type="expression" dxfId="452" priority="589">
      <formula>#REF!="20≠12+13+14+15+16+17+19"</formula>
    </cfRule>
  </conditionalFormatting>
  <conditionalFormatting sqref="E32:F32">
    <cfRule type="expression" dxfId="451" priority="591">
      <formula>#REF!="32≠24+25+26+27+28+29+31"</formula>
    </cfRule>
    <cfRule type="expression" dxfId="450" priority="592">
      <formula>#REF!="32≠33+34"</formula>
    </cfRule>
  </conditionalFormatting>
  <conditionalFormatting sqref="E44:F44">
    <cfRule type="expression" dxfId="449" priority="594">
      <formula>#REF!="44≠45+46"</formula>
    </cfRule>
    <cfRule type="expression" dxfId="448" priority="593">
      <formula>#REF!="44≠36+37+38+39+40+41+43"</formula>
    </cfRule>
  </conditionalFormatting>
  <conditionalFormatting sqref="E56:F56">
    <cfRule type="expression" dxfId="447" priority="595">
      <formula>#REF!="56≠48+49+50+51+52+53+55"</formula>
    </cfRule>
    <cfRule type="expression" dxfId="446" priority="596">
      <formula>#REF!="56≠57+58"</formula>
    </cfRule>
  </conditionalFormatting>
  <conditionalFormatting sqref="E68:F68">
    <cfRule type="expression" dxfId="445" priority="597">
      <formula>#REF!="68≠60+61+62+63+64+65+67"</formula>
    </cfRule>
    <cfRule type="expression" dxfId="444" priority="598">
      <formula>#REF!="68≠69+70"</formula>
    </cfRule>
  </conditionalFormatting>
  <conditionalFormatting sqref="E80:F80">
    <cfRule type="expression" dxfId="443" priority="599">
      <formula>#REF!="80≠72+73+74+75+76+77+79"</formula>
    </cfRule>
    <cfRule type="expression" dxfId="442" priority="600">
      <formula>#REF!="80≠81+82"</formula>
    </cfRule>
  </conditionalFormatting>
  <conditionalFormatting sqref="E92:F92">
    <cfRule type="expression" dxfId="441" priority="601">
      <formula>#REF!="92≠84+85+86+87+88+89+91"</formula>
    </cfRule>
    <cfRule type="expression" dxfId="440" priority="602">
      <formula>#REF!="92≠93+94"</formula>
    </cfRule>
  </conditionalFormatting>
  <conditionalFormatting sqref="E104:F104">
    <cfRule type="expression" dxfId="439" priority="603">
      <formula>#REF!="104≠96+97+98+99+100+101+103"</formula>
    </cfRule>
    <cfRule type="expression" dxfId="438" priority="604">
      <formula>#REF!="104≠105+106"</formula>
    </cfRule>
  </conditionalFormatting>
  <conditionalFormatting sqref="E116:F116">
    <cfRule type="expression" dxfId="437" priority="584">
      <formula>#REF!="116≠117+118"</formula>
    </cfRule>
    <cfRule type="expression" dxfId="436" priority="583">
      <formula>#REF!="116≠108+109+110+111+112+113+115"</formula>
    </cfRule>
  </conditionalFormatting>
  <conditionalFormatting sqref="E130:F130">
    <cfRule type="expression" dxfId="435" priority="586">
      <formula>#REF!="130≠131+132"</formula>
    </cfRule>
    <cfRule type="expression" dxfId="434" priority="585">
      <formula>#REF!="130≠122+123+124+125+126+127+129"</formula>
    </cfRule>
  </conditionalFormatting>
  <conditionalFormatting sqref="E142:F142">
    <cfRule type="expression" dxfId="433" priority="588">
      <formula>#REF!="142≠143+144"</formula>
    </cfRule>
    <cfRule type="expression" dxfId="432" priority="587">
      <formula>#REF!="142≠134+135+136+137+138+139+141"</formula>
    </cfRule>
  </conditionalFormatting>
  <conditionalFormatting sqref="H20:I20">
    <cfRule type="expression" dxfId="431" priority="158">
      <formula>#REF!="20≠12+13+14+15+16+17+19"</formula>
    </cfRule>
    <cfRule type="expression" dxfId="430" priority="137">
      <formula>#REF!="20≠21+22"</formula>
    </cfRule>
  </conditionalFormatting>
  <conditionalFormatting sqref="H32:I32">
    <cfRule type="expression" dxfId="429" priority="139">
      <formula>#REF!="32≠33+34"</formula>
    </cfRule>
    <cfRule type="expression" dxfId="428" priority="138">
      <formula>#REF!="32≠24+25+26+27+28+29+31"</formula>
    </cfRule>
  </conditionalFormatting>
  <conditionalFormatting sqref="H44:I44">
    <cfRule type="expression" dxfId="427" priority="140">
      <formula>#REF!="44≠36+37+38+39+40+41+43"</formula>
    </cfRule>
    <cfRule type="expression" dxfId="426" priority="141">
      <formula>#REF!="44≠45+46"</formula>
    </cfRule>
  </conditionalFormatting>
  <conditionalFormatting sqref="H56:I56">
    <cfRule type="expression" dxfId="425" priority="142">
      <formula>#REF!="56≠48+49+50+51+52+53+55"</formula>
    </cfRule>
    <cfRule type="expression" dxfId="424" priority="143">
      <formula>#REF!="56≠57+58"</formula>
    </cfRule>
  </conditionalFormatting>
  <conditionalFormatting sqref="H68:I68">
    <cfRule type="expression" dxfId="423" priority="144">
      <formula>#REF!="68≠60+61+62+63+64+65+67"</formula>
    </cfRule>
    <cfRule type="expression" dxfId="422" priority="145">
      <formula>#REF!="68≠69+70"</formula>
    </cfRule>
  </conditionalFormatting>
  <conditionalFormatting sqref="H80:I80">
    <cfRule type="expression" dxfId="421" priority="147">
      <formula>#REF!="80≠81+82"</formula>
    </cfRule>
    <cfRule type="expression" dxfId="420" priority="146">
      <formula>#REF!="80≠72+73+74+75+76+77+79"</formula>
    </cfRule>
  </conditionalFormatting>
  <conditionalFormatting sqref="H92:I92">
    <cfRule type="expression" dxfId="419" priority="148">
      <formula>#REF!="92≠84+85+86+87+88+89+91"</formula>
    </cfRule>
    <cfRule type="expression" dxfId="418" priority="149">
      <formula>#REF!="92≠93+94"</formula>
    </cfRule>
  </conditionalFormatting>
  <conditionalFormatting sqref="H104:I104">
    <cfRule type="expression" dxfId="417" priority="150">
      <formula>#REF!="104≠96+97+98+99+100+101+103"</formula>
    </cfRule>
    <cfRule type="expression" dxfId="416" priority="151">
      <formula>#REF!="104≠105+106"</formula>
    </cfRule>
  </conditionalFormatting>
  <conditionalFormatting sqref="H116:I116">
    <cfRule type="expression" dxfId="415" priority="152">
      <formula>#REF!="116≠108+109+110+111+112+113+115"</formula>
    </cfRule>
    <cfRule type="expression" dxfId="414" priority="153">
      <formula>#REF!="116≠117+118"</formula>
    </cfRule>
  </conditionalFormatting>
  <conditionalFormatting sqref="H130:I130">
    <cfRule type="expression" dxfId="413" priority="154">
      <formula>#REF!="130≠122+123+124+125+126+127+129"</formula>
    </cfRule>
    <cfRule type="expression" dxfId="412" priority="155">
      <formula>#REF!="130≠131+132"</formula>
    </cfRule>
  </conditionalFormatting>
  <conditionalFormatting sqref="H142:I142">
    <cfRule type="expression" dxfId="411" priority="157">
      <formula>#REF!="142≠143+144"</formula>
    </cfRule>
    <cfRule type="expression" dxfId="410" priority="156">
      <formula>#REF!="142≠134+135+136+137+138+139+141"</formula>
    </cfRule>
  </conditionalFormatting>
  <conditionalFormatting sqref="K20:L20">
    <cfRule type="expression" dxfId="409" priority="26">
      <formula>#REF!="20≠12+13+14+15+16+17+19"</formula>
    </cfRule>
    <cfRule type="expression" dxfId="408" priority="5">
      <formula>#REF!="20≠21+22"</formula>
    </cfRule>
  </conditionalFormatting>
  <conditionalFormatting sqref="K32:L32">
    <cfRule type="expression" dxfId="407" priority="6">
      <formula>#REF!="32≠24+25+26+27+28+29+31"</formula>
    </cfRule>
    <cfRule type="expression" dxfId="406" priority="7">
      <formula>#REF!="32≠33+34"</formula>
    </cfRule>
  </conditionalFormatting>
  <conditionalFormatting sqref="K44:L44">
    <cfRule type="expression" dxfId="405" priority="8">
      <formula>#REF!="44≠36+37+38+39+40+41+43"</formula>
    </cfRule>
    <cfRule type="expression" dxfId="404" priority="9">
      <formula>#REF!="44≠45+46"</formula>
    </cfRule>
  </conditionalFormatting>
  <conditionalFormatting sqref="K56:L56">
    <cfRule type="expression" dxfId="403" priority="10">
      <formula>#REF!="56≠48+49+50+51+52+53+55"</formula>
    </cfRule>
    <cfRule type="expression" dxfId="402" priority="11">
      <formula>#REF!="56≠57+58"</formula>
    </cfRule>
  </conditionalFormatting>
  <conditionalFormatting sqref="K68:L68">
    <cfRule type="expression" dxfId="401" priority="12">
      <formula>#REF!="68≠60+61+62+63+64+65+67"</formula>
    </cfRule>
    <cfRule type="expression" dxfId="400" priority="13">
      <formula>#REF!="68≠69+70"</formula>
    </cfRule>
  </conditionalFormatting>
  <conditionalFormatting sqref="K80:L80">
    <cfRule type="expression" dxfId="399" priority="14">
      <formula>#REF!="80≠72+73+74+75+76+77+79"</formula>
    </cfRule>
    <cfRule type="expression" dxfId="398" priority="15">
      <formula>#REF!="80≠81+82"</formula>
    </cfRule>
  </conditionalFormatting>
  <conditionalFormatting sqref="K92:L92">
    <cfRule type="expression" dxfId="397" priority="16">
      <formula>#REF!="92≠84+85+86+87+88+89+91"</formula>
    </cfRule>
    <cfRule type="expression" dxfId="396" priority="17">
      <formula>#REF!="92≠93+94"</formula>
    </cfRule>
  </conditionalFormatting>
  <conditionalFormatting sqref="K104:L104">
    <cfRule type="expression" dxfId="395" priority="19">
      <formula>#REF!="104≠105+106"</formula>
    </cfRule>
    <cfRule type="expression" dxfId="394" priority="18">
      <formula>#REF!="104≠96+97+98+99+100+101+103"</formula>
    </cfRule>
  </conditionalFormatting>
  <conditionalFormatting sqref="K116:L116">
    <cfRule type="expression" dxfId="393" priority="20">
      <formula>#REF!="116≠108+109+110+111+112+113+115"</formula>
    </cfRule>
    <cfRule type="expression" dxfId="392" priority="21">
      <formula>#REF!="116≠117+118"</formula>
    </cfRule>
  </conditionalFormatting>
  <conditionalFormatting sqref="K130:L130">
    <cfRule type="expression" dxfId="391" priority="23">
      <formula>#REF!="130≠131+132"</formula>
    </cfRule>
    <cfRule type="expression" dxfId="390" priority="22">
      <formula>#REF!="130≠122+123+124+125+126+127+129"</formula>
    </cfRule>
  </conditionalFormatting>
  <conditionalFormatting sqref="K142:L142">
    <cfRule type="expression" dxfId="389" priority="25">
      <formula>#REF!="142≠143+144"</formula>
    </cfRule>
    <cfRule type="expression" dxfId="388" priority="24">
      <formula>#REF!="142≠134+135+136+137+138+139+141"</formula>
    </cfRule>
  </conditionalFormatting>
  <conditionalFormatting sqref="N20:O20">
    <cfRule type="expression" dxfId="387" priority="387">
      <formula>#REF!="20≠21+22"</formula>
    </cfRule>
    <cfRule type="expression" dxfId="386" priority="408">
      <formula>#REF!="20≠12+13+14+15+16+17+19"</formula>
    </cfRule>
  </conditionalFormatting>
  <conditionalFormatting sqref="N32:O32">
    <cfRule type="expression" dxfId="385" priority="389">
      <formula>#REF!="32≠33+34"</formula>
    </cfRule>
    <cfRule type="expression" dxfId="384" priority="388">
      <formula>#REF!="32≠24+25+26+27+28+29+31"</formula>
    </cfRule>
  </conditionalFormatting>
  <conditionalFormatting sqref="N44:O44">
    <cfRule type="expression" dxfId="383" priority="390">
      <formula>#REF!="44≠36+37+38+39+40+41+43"</formula>
    </cfRule>
    <cfRule type="expression" dxfId="382" priority="391">
      <formula>#REF!="44≠45+46"</formula>
    </cfRule>
  </conditionalFormatting>
  <conditionalFormatting sqref="N56:O56">
    <cfRule type="expression" dxfId="381" priority="392">
      <formula>#REF!="56≠48+49+50+51+52+53+55"</formula>
    </cfRule>
    <cfRule type="expression" dxfId="380" priority="393">
      <formula>#REF!="56≠57+58"</formula>
    </cfRule>
  </conditionalFormatting>
  <conditionalFormatting sqref="N68:O68">
    <cfRule type="expression" dxfId="379" priority="395">
      <formula>#REF!="68≠69+70"</formula>
    </cfRule>
    <cfRule type="expression" dxfId="378" priority="394">
      <formula>#REF!="68≠60+61+62+63+64+65+67"</formula>
    </cfRule>
  </conditionalFormatting>
  <conditionalFormatting sqref="N80:O80">
    <cfRule type="expression" dxfId="377" priority="396">
      <formula>#REF!="80≠72+73+74+75+76+77+79"</formula>
    </cfRule>
    <cfRule type="expression" dxfId="376" priority="397">
      <formula>#REF!="80≠81+82"</formula>
    </cfRule>
  </conditionalFormatting>
  <conditionalFormatting sqref="N92:O92">
    <cfRule type="expression" dxfId="375" priority="398">
      <formula>#REF!="92≠84+85+86+87+88+89+91"</formula>
    </cfRule>
    <cfRule type="expression" dxfId="374" priority="399">
      <formula>#REF!="92≠93+94"</formula>
    </cfRule>
  </conditionalFormatting>
  <conditionalFormatting sqref="N104:O104">
    <cfRule type="expression" dxfId="373" priority="400">
      <formula>#REF!="104≠96+97+98+99+100+101+103"</formula>
    </cfRule>
    <cfRule type="expression" dxfId="372" priority="401">
      <formula>#REF!="104≠105+106"</formula>
    </cfRule>
  </conditionalFormatting>
  <conditionalFormatting sqref="N116:O116">
    <cfRule type="expression" dxfId="371" priority="403">
      <formula>#REF!="116≠117+118"</formula>
    </cfRule>
    <cfRule type="expression" dxfId="370" priority="402">
      <formula>#REF!="116≠108+109+110+111+112+113+115"</formula>
    </cfRule>
  </conditionalFormatting>
  <conditionalFormatting sqref="N130:O130">
    <cfRule type="expression" dxfId="369" priority="405">
      <formula>#REF!="130≠131+132"</formula>
    </cfRule>
    <cfRule type="expression" dxfId="368" priority="404">
      <formula>#REF!="130≠122+123+124+125+126+127+129"</formula>
    </cfRule>
  </conditionalFormatting>
  <conditionalFormatting sqref="N142:O142">
    <cfRule type="expression" dxfId="367" priority="406">
      <formula>#REF!="142≠134+135+136+137+138+139+141"</formula>
    </cfRule>
    <cfRule type="expression" dxfId="366" priority="407">
      <formula>#REF!="142≠143+144"</formula>
    </cfRule>
  </conditionalFormatting>
  <conditionalFormatting sqref="Q20:R20">
    <cfRule type="expression" dxfId="365" priority="210">
      <formula>#REF!="20≠21+22"</formula>
    </cfRule>
    <cfRule type="expression" dxfId="364" priority="231">
      <formula>#REF!="20≠12+13+14+15+16+17+19"</formula>
    </cfRule>
  </conditionalFormatting>
  <conditionalFormatting sqref="Q32:R32">
    <cfRule type="expression" dxfId="363" priority="211">
      <formula>#REF!="32≠24+25+26+27+28+29+31"</formula>
    </cfRule>
    <cfRule type="expression" dxfId="362" priority="212">
      <formula>#REF!="32≠33+34"</formula>
    </cfRule>
  </conditionalFormatting>
  <conditionalFormatting sqref="Q44:R44">
    <cfRule type="expression" dxfId="361" priority="213">
      <formula>#REF!="44≠36+37+38+39+40+41+43"</formula>
    </cfRule>
    <cfRule type="expression" dxfId="360" priority="214">
      <formula>#REF!="44≠45+46"</formula>
    </cfRule>
  </conditionalFormatting>
  <conditionalFormatting sqref="Q56:R56">
    <cfRule type="expression" dxfId="359" priority="215">
      <formula>#REF!="56≠48+49+50+51+52+53+55"</formula>
    </cfRule>
    <cfRule type="expression" dxfId="358" priority="216">
      <formula>#REF!="56≠57+58"</formula>
    </cfRule>
  </conditionalFormatting>
  <conditionalFormatting sqref="Q68:R68">
    <cfRule type="expression" dxfId="357" priority="217">
      <formula>#REF!="68≠60+61+62+63+64+65+67"</formula>
    </cfRule>
    <cfRule type="expression" dxfId="356" priority="218">
      <formula>#REF!="68≠69+70"</formula>
    </cfRule>
  </conditionalFormatting>
  <conditionalFormatting sqref="Q80:R80">
    <cfRule type="expression" dxfId="355" priority="219">
      <formula>#REF!="80≠72+73+74+75+76+77+79"</formula>
    </cfRule>
    <cfRule type="expression" dxfId="354" priority="220">
      <formula>#REF!="80≠81+82"</formula>
    </cfRule>
  </conditionalFormatting>
  <conditionalFormatting sqref="Q92:R92">
    <cfRule type="expression" dxfId="353" priority="221">
      <formula>#REF!="92≠84+85+86+87+88+89+91"</formula>
    </cfRule>
    <cfRule type="expression" dxfId="352" priority="222">
      <formula>#REF!="92≠93+94"</formula>
    </cfRule>
  </conditionalFormatting>
  <conditionalFormatting sqref="Q104:R104">
    <cfRule type="expression" dxfId="351" priority="223">
      <formula>#REF!="104≠96+97+98+99+100+101+103"</formula>
    </cfRule>
    <cfRule type="expression" dxfId="350" priority="224">
      <formula>#REF!="104≠105+106"</formula>
    </cfRule>
  </conditionalFormatting>
  <conditionalFormatting sqref="Q116:R116">
    <cfRule type="expression" dxfId="349" priority="225">
      <formula>#REF!="116≠108+109+110+111+112+113+115"</formula>
    </cfRule>
    <cfRule type="expression" dxfId="348" priority="226">
      <formula>#REF!="116≠117+118"</formula>
    </cfRule>
  </conditionalFormatting>
  <conditionalFormatting sqref="Q130:R130">
    <cfRule type="expression" dxfId="347" priority="227">
      <formula>#REF!="130≠122+123+124+125+126+127+129"</formula>
    </cfRule>
    <cfRule type="expression" dxfId="346" priority="228">
      <formula>#REF!="130≠131+132"</formula>
    </cfRule>
  </conditionalFormatting>
  <conditionalFormatting sqref="Q142:R142">
    <cfRule type="expression" dxfId="345" priority="229">
      <formula>#REF!="142≠134+135+136+137+138+139+141"</formula>
    </cfRule>
    <cfRule type="expression" dxfId="344" priority="230">
      <formula>#REF!="142≠143+144"</formula>
    </cfRule>
  </conditionalFormatting>
  <conditionalFormatting sqref="T20:U20">
    <cfRule type="expression" dxfId="343" priority="254">
      <formula>#REF!="20≠21+22"</formula>
    </cfRule>
    <cfRule type="expression" dxfId="342" priority="275">
      <formula>#REF!="20≠12+13+14+15+16+17+19"</formula>
    </cfRule>
  </conditionalFormatting>
  <conditionalFormatting sqref="T32:U32">
    <cfRule type="expression" dxfId="341" priority="255">
      <formula>#REF!="32≠24+25+26+27+28+29+31"</formula>
    </cfRule>
    <cfRule type="expression" dxfId="340" priority="256">
      <formula>#REF!="32≠33+34"</formula>
    </cfRule>
  </conditionalFormatting>
  <conditionalFormatting sqref="T44:U44">
    <cfRule type="expression" dxfId="339" priority="258">
      <formula>#REF!="44≠45+46"</formula>
    </cfRule>
    <cfRule type="expression" dxfId="338" priority="257">
      <formula>#REF!="44≠36+37+38+39+40+41+43"</formula>
    </cfRule>
  </conditionalFormatting>
  <conditionalFormatting sqref="T56:U56">
    <cfRule type="expression" dxfId="337" priority="260">
      <formula>#REF!="56≠57+58"</formula>
    </cfRule>
    <cfRule type="expression" dxfId="336" priority="259">
      <formula>#REF!="56≠48+49+50+51+52+53+55"</formula>
    </cfRule>
  </conditionalFormatting>
  <conditionalFormatting sqref="T68:U68">
    <cfRule type="expression" dxfId="335" priority="261">
      <formula>#REF!="68≠60+61+62+63+64+65+67"</formula>
    </cfRule>
    <cfRule type="expression" dxfId="334" priority="262">
      <formula>#REF!="68≠69+70"</formula>
    </cfRule>
  </conditionalFormatting>
  <conditionalFormatting sqref="T80:U80">
    <cfRule type="expression" dxfId="333" priority="263">
      <formula>#REF!="80≠72+73+74+75+76+77+79"</formula>
    </cfRule>
    <cfRule type="expression" dxfId="332" priority="264">
      <formula>#REF!="80≠81+82"</formula>
    </cfRule>
  </conditionalFormatting>
  <conditionalFormatting sqref="T92:U92">
    <cfRule type="expression" dxfId="331" priority="265">
      <formula>#REF!="92≠84+85+86+87+88+89+91"</formula>
    </cfRule>
    <cfRule type="expression" dxfId="330" priority="266">
      <formula>#REF!="92≠93+94"</formula>
    </cfRule>
  </conditionalFormatting>
  <conditionalFormatting sqref="T104:U104">
    <cfRule type="expression" dxfId="329" priority="267">
      <formula>#REF!="104≠96+97+98+99+100+101+103"</formula>
    </cfRule>
    <cfRule type="expression" dxfId="328" priority="268">
      <formula>#REF!="104≠105+106"</formula>
    </cfRule>
  </conditionalFormatting>
  <conditionalFormatting sqref="T116:U116">
    <cfRule type="expression" dxfId="327" priority="270">
      <formula>#REF!="116≠117+118"</formula>
    </cfRule>
    <cfRule type="expression" dxfId="326" priority="269">
      <formula>#REF!="116≠108+109+110+111+112+113+115"</formula>
    </cfRule>
  </conditionalFormatting>
  <conditionalFormatting sqref="T130:U130">
    <cfRule type="expression" dxfId="325" priority="272">
      <formula>#REF!="130≠131+132"</formula>
    </cfRule>
    <cfRule type="expression" dxfId="324" priority="271">
      <formula>#REF!="130≠122+123+124+125+126+127+129"</formula>
    </cfRule>
  </conditionalFormatting>
  <conditionalFormatting sqref="T142:U142">
    <cfRule type="expression" dxfId="323" priority="273">
      <formula>#REF!="142≠134+135+136+137+138+139+141"</formula>
    </cfRule>
    <cfRule type="expression" dxfId="322" priority="274">
      <formula>#REF!="142≠143+144"</formula>
    </cfRule>
  </conditionalFormatting>
  <conditionalFormatting sqref="W20:X20">
    <cfRule type="expression" dxfId="321" priority="70">
      <formula>#REF!="20≠12+13+14+15+16+17+19"</formula>
    </cfRule>
    <cfRule type="expression" dxfId="320" priority="51">
      <formula>#REF!="20≠21+22"</formula>
    </cfRule>
  </conditionalFormatting>
  <conditionalFormatting sqref="W32:X32">
    <cfRule type="expression" dxfId="319" priority="53">
      <formula>#REF!="32≠33+34"</formula>
    </cfRule>
    <cfRule type="expression" dxfId="318" priority="52">
      <formula>#REF!="32≠24+25+26+27+28+29+31"</formula>
    </cfRule>
  </conditionalFormatting>
  <conditionalFormatting sqref="W44:X44">
    <cfRule type="expression" dxfId="317" priority="55">
      <formula>#REF!="44≠45+46"</formula>
    </cfRule>
    <cfRule type="expression" dxfId="316" priority="54">
      <formula>#REF!="44≠36+37+38+39+40+41+43"</formula>
    </cfRule>
  </conditionalFormatting>
  <conditionalFormatting sqref="W56:X56">
    <cfRule type="expression" dxfId="315" priority="49">
      <formula>#REF!="56≠48+49+50+51+52+53+55"</formula>
    </cfRule>
    <cfRule type="expression" dxfId="314" priority="50">
      <formula>#REF!="56≠57+58"</formula>
    </cfRule>
  </conditionalFormatting>
  <conditionalFormatting sqref="W68:X68">
    <cfRule type="expression" dxfId="313" priority="56">
      <formula>#REF!="68≠60+61+62+63+64+65+67"</formula>
    </cfRule>
    <cfRule type="expression" dxfId="312" priority="57">
      <formula>#REF!="68≠69+70"</formula>
    </cfRule>
  </conditionalFormatting>
  <conditionalFormatting sqref="W80:X80">
    <cfRule type="expression" dxfId="311" priority="58">
      <formula>#REF!="80≠72+73+74+75+76+77+79"</formula>
    </cfRule>
    <cfRule type="expression" dxfId="310" priority="59">
      <formula>#REF!="80≠81+82"</formula>
    </cfRule>
  </conditionalFormatting>
  <conditionalFormatting sqref="W92:X92">
    <cfRule type="expression" dxfId="309" priority="61">
      <formula>#REF!="92≠93+94"</formula>
    </cfRule>
    <cfRule type="expression" dxfId="308" priority="60">
      <formula>#REF!="92≠84+85+86+87+88+89+91"</formula>
    </cfRule>
  </conditionalFormatting>
  <conditionalFormatting sqref="W104:X104">
    <cfRule type="expression" dxfId="307" priority="63">
      <formula>#REF!="104≠105+106"</formula>
    </cfRule>
    <cfRule type="expression" dxfId="306" priority="62">
      <formula>#REF!="104≠96+97+98+99+100+101+103"</formula>
    </cfRule>
  </conditionalFormatting>
  <conditionalFormatting sqref="W116:X116">
    <cfRule type="expression" dxfId="305" priority="65">
      <formula>#REF!="116≠117+118"</formula>
    </cfRule>
    <cfRule type="expression" dxfId="304" priority="64">
      <formula>#REF!="116≠108+109+110+111+112+113+115"</formula>
    </cfRule>
  </conditionalFormatting>
  <conditionalFormatting sqref="W130:X130">
    <cfRule type="expression" dxfId="303" priority="67">
      <formula>#REF!="130≠131+132"</formula>
    </cfRule>
    <cfRule type="expression" dxfId="302" priority="66">
      <formula>#REF!="130≠122+123+124+125+126+127+129"</formula>
    </cfRule>
  </conditionalFormatting>
  <conditionalFormatting sqref="W142:X142">
    <cfRule type="expression" dxfId="301" priority="68">
      <formula>#REF!="142≠134+135+136+137+138+139+141"</formula>
    </cfRule>
    <cfRule type="expression" dxfId="300" priority="69">
      <formula>#REF!="142≠143+144"</formula>
    </cfRule>
  </conditionalFormatting>
  <conditionalFormatting sqref="Z20:AA20">
    <cfRule type="expression" dxfId="299" priority="93">
      <formula>#REF!="20≠21+22"</formula>
    </cfRule>
    <cfRule type="expression" dxfId="298" priority="114">
      <formula>#REF!="20≠12+13+14+15+16+17+19"</formula>
    </cfRule>
  </conditionalFormatting>
  <conditionalFormatting sqref="Z32:AA32">
    <cfRule type="expression" dxfId="297" priority="95">
      <formula>#REF!="32≠33+34"</formula>
    </cfRule>
    <cfRule type="expression" dxfId="296" priority="94">
      <formula>#REF!="32≠24+25+26+27+28+29+31"</formula>
    </cfRule>
  </conditionalFormatting>
  <conditionalFormatting sqref="Z44:AA44">
    <cfRule type="expression" dxfId="295" priority="97">
      <formula>#REF!="44≠45+46"</formula>
    </cfRule>
    <cfRule type="expression" dxfId="294" priority="96">
      <formula>#REF!="44≠36+37+38+39+40+41+43"</formula>
    </cfRule>
  </conditionalFormatting>
  <conditionalFormatting sqref="Z56:AA56">
    <cfRule type="expression" dxfId="293" priority="99">
      <formula>#REF!="56≠57+58"</formula>
    </cfRule>
    <cfRule type="expression" dxfId="292" priority="98">
      <formula>#REF!="56≠48+49+50+51+52+53+55"</formula>
    </cfRule>
  </conditionalFormatting>
  <conditionalFormatting sqref="Z68:AA68">
    <cfRule type="expression" dxfId="291" priority="101">
      <formula>#REF!="68≠69+70"</formula>
    </cfRule>
    <cfRule type="expression" dxfId="290" priority="100">
      <formula>#REF!="68≠60+61+62+63+64+65+67"</formula>
    </cfRule>
  </conditionalFormatting>
  <conditionalFormatting sqref="Z80:AA80">
    <cfRule type="expression" dxfId="289" priority="103">
      <formula>#REF!="80≠81+82"</formula>
    </cfRule>
    <cfRule type="expression" dxfId="288" priority="102">
      <formula>#REF!="80≠72+73+74+75+76+77+79"</formula>
    </cfRule>
  </conditionalFormatting>
  <conditionalFormatting sqref="Z92:AA92">
    <cfRule type="expression" dxfId="287" priority="105">
      <formula>#REF!="92≠93+94"</formula>
    </cfRule>
    <cfRule type="expression" dxfId="286" priority="104">
      <formula>#REF!="92≠84+85+86+87+88+89+91"</formula>
    </cfRule>
  </conditionalFormatting>
  <conditionalFormatting sqref="Z104:AA104">
    <cfRule type="expression" dxfId="285" priority="107">
      <formula>#REF!="104≠105+106"</formula>
    </cfRule>
    <cfRule type="expression" dxfId="284" priority="106">
      <formula>#REF!="104≠96+97+98+99+100+101+103"</formula>
    </cfRule>
  </conditionalFormatting>
  <conditionalFormatting sqref="Z116:AA116">
    <cfRule type="expression" dxfId="283" priority="109">
      <formula>#REF!="116≠117+118"</formula>
    </cfRule>
    <cfRule type="expression" dxfId="282" priority="108">
      <formula>#REF!="116≠108+109+110+111+112+113+115"</formula>
    </cfRule>
  </conditionalFormatting>
  <conditionalFormatting sqref="Z130:AA130">
    <cfRule type="expression" dxfId="281" priority="111">
      <formula>#REF!="130≠131+132"</formula>
    </cfRule>
    <cfRule type="expression" dxfId="280" priority="110">
      <formula>#REF!="130≠122+123+124+125+126+127+129"</formula>
    </cfRule>
  </conditionalFormatting>
  <conditionalFormatting sqref="Z142:AA142">
    <cfRule type="expression" dxfId="279" priority="113">
      <formula>#REF!="142≠143+144"</formula>
    </cfRule>
    <cfRule type="expression" dxfId="278" priority="112">
      <formula>#REF!="142≠134+135+136+137+138+139+141"</formula>
    </cfRule>
  </conditionalFormatting>
  <printOptions headings="1"/>
  <pageMargins left="0.78740157480314965" right="0.78740157480314965" top="1.5748031496062993" bottom="0.98425196850393704" header="0.51181102362204722" footer="0.51181102362204722"/>
  <pageSetup paperSize="9" scale="40" fitToWidth="5" orientation="portrait" r:id="rId1"/>
  <headerFooter alignWithMargins="0"/>
  <rowBreaks count="1" manualBreakCount="1">
    <brk id="119" max="39" man="1"/>
  </rowBreaks>
  <colBreaks count="2" manualBreakCount="2">
    <brk id="10" min="1" max="108" man="1"/>
    <brk id="25" min="1" max="108"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D9DF3-3110-45B4-8A8F-53F0E4F4D6B7}">
  <sheetPr codeName="Ark38"/>
  <dimension ref="A1:AO131"/>
  <sheetViews>
    <sheetView showGridLines="0" zoomScale="70" zoomScaleNormal="70" workbookViewId="0">
      <pane xSplit="1" ySplit="9" topLeftCell="B10" activePane="bottomRight" state="frozen"/>
      <selection activeCell="X52" sqref="X52"/>
      <selection pane="topRight" activeCell="X52" sqref="X52"/>
      <selection pane="bottomLeft" activeCell="X52" sqref="X52"/>
      <selection pane="bottomRight" activeCell="A5" sqref="A5"/>
    </sheetView>
  </sheetViews>
  <sheetFormatPr baseColWidth="10" defaultColWidth="12.5546875" defaultRowHeight="15.6" x14ac:dyDescent="0.3"/>
  <cols>
    <col min="1" max="1" width="55.5546875" style="553" customWidth="1"/>
    <col min="2" max="37" width="11.6640625" style="553" customWidth="1"/>
    <col min="38" max="16384" width="12.5546875" style="553"/>
  </cols>
  <sheetData>
    <row r="1" spans="1:41" ht="20.25" customHeight="1" x14ac:dyDescent="0.35">
      <c r="A1" s="401" t="s">
        <v>301</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c r="AN1" s="552"/>
      <c r="AO1" s="552"/>
    </row>
    <row r="2" spans="1:41" ht="20.100000000000001" customHeight="1" x14ac:dyDescent="0.35">
      <c r="A2" s="554" t="s">
        <v>33</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row>
    <row r="3" spans="1:41" ht="20.100000000000001" customHeight="1" x14ac:dyDescent="0.35">
      <c r="A3" s="555" t="s">
        <v>336</v>
      </c>
      <c r="B3" s="552"/>
      <c r="C3" s="515"/>
      <c r="D3" s="516"/>
      <c r="E3" s="516"/>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row>
    <row r="4" spans="1:41" ht="20.100000000000001" customHeight="1" x14ac:dyDescent="0.35">
      <c r="A4" s="577" t="s">
        <v>337</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row>
    <row r="5" spans="1:41" ht="18.75" customHeight="1" x14ac:dyDescent="0.35">
      <c r="A5" s="578" t="s">
        <v>235</v>
      </c>
      <c r="B5" s="558"/>
      <c r="C5" s="559"/>
      <c r="D5" s="560"/>
      <c r="E5" s="558"/>
      <c r="F5" s="559"/>
      <c r="G5" s="560"/>
      <c r="H5" s="558"/>
      <c r="I5" s="559"/>
      <c r="J5" s="560"/>
      <c r="K5" s="558"/>
      <c r="L5" s="559"/>
      <c r="M5" s="560"/>
      <c r="N5" s="558"/>
      <c r="O5" s="559"/>
      <c r="P5" s="560"/>
      <c r="Q5" s="558"/>
      <c r="R5" s="559"/>
      <c r="S5" s="560"/>
      <c r="T5" s="558"/>
      <c r="U5" s="559"/>
      <c r="V5" s="560"/>
      <c r="W5" s="558"/>
      <c r="X5" s="559"/>
      <c r="Y5" s="560"/>
      <c r="Z5" s="558"/>
      <c r="AA5" s="559"/>
      <c r="AB5" s="560"/>
      <c r="AC5" s="559"/>
      <c r="AD5" s="559"/>
      <c r="AE5" s="559"/>
      <c r="AF5" s="558"/>
      <c r="AG5" s="559"/>
      <c r="AH5" s="560"/>
      <c r="AI5" s="558"/>
      <c r="AJ5" s="559"/>
      <c r="AK5" s="560"/>
      <c r="AL5" s="552"/>
      <c r="AM5" s="552"/>
      <c r="AN5" s="552"/>
      <c r="AO5" s="552"/>
    </row>
    <row r="6" spans="1:41" ht="18.75" customHeight="1" x14ac:dyDescent="0.35">
      <c r="A6" s="561" t="s">
        <v>120</v>
      </c>
      <c r="B6" s="787" t="s">
        <v>236</v>
      </c>
      <c r="C6" s="788"/>
      <c r="D6" s="789"/>
      <c r="E6" s="787"/>
      <c r="F6" s="788"/>
      <c r="G6" s="789"/>
      <c r="H6" s="787" t="s">
        <v>237</v>
      </c>
      <c r="I6" s="788"/>
      <c r="J6" s="789"/>
      <c r="K6" s="787" t="s">
        <v>238</v>
      </c>
      <c r="L6" s="788"/>
      <c r="M6" s="789"/>
      <c r="N6" s="641" t="s">
        <v>304</v>
      </c>
      <c r="O6" s="642"/>
      <c r="P6" s="643"/>
      <c r="Q6" s="641"/>
      <c r="R6" s="642"/>
      <c r="S6" s="643"/>
      <c r="T6" s="787" t="s">
        <v>239</v>
      </c>
      <c r="U6" s="788"/>
      <c r="V6" s="789"/>
      <c r="W6" s="787" t="s">
        <v>247</v>
      </c>
      <c r="X6" s="788"/>
      <c r="Y6" s="789"/>
      <c r="Z6" s="787" t="s">
        <v>240</v>
      </c>
      <c r="AA6" s="788"/>
      <c r="AB6" s="789"/>
      <c r="AC6" s="787" t="s">
        <v>241</v>
      </c>
      <c r="AD6" s="788"/>
      <c r="AE6" s="789"/>
      <c r="AF6" s="787" t="s">
        <v>121</v>
      </c>
      <c r="AG6" s="788"/>
      <c r="AH6" s="789"/>
      <c r="AI6" s="787" t="s">
        <v>121</v>
      </c>
      <c r="AJ6" s="788"/>
      <c r="AK6" s="789"/>
      <c r="AL6" s="552"/>
      <c r="AM6" s="552"/>
      <c r="AN6" s="552"/>
      <c r="AO6" s="552"/>
    </row>
    <row r="7" spans="1:41" ht="18.75" customHeight="1" x14ac:dyDescent="0.35">
      <c r="A7" s="562"/>
      <c r="B7" s="790" t="s">
        <v>243</v>
      </c>
      <c r="C7" s="791"/>
      <c r="D7" s="792"/>
      <c r="E7" s="790" t="s">
        <v>244</v>
      </c>
      <c r="F7" s="791"/>
      <c r="G7" s="792"/>
      <c r="H7" s="790" t="s">
        <v>243</v>
      </c>
      <c r="I7" s="791"/>
      <c r="J7" s="792"/>
      <c r="K7" s="790" t="s">
        <v>245</v>
      </c>
      <c r="L7" s="791"/>
      <c r="M7" s="792"/>
      <c r="N7" s="790" t="s">
        <v>55</v>
      </c>
      <c r="O7" s="791"/>
      <c r="P7" s="792"/>
      <c r="Q7" s="790" t="s">
        <v>60</v>
      </c>
      <c r="R7" s="791"/>
      <c r="S7" s="792"/>
      <c r="T7" s="790" t="s">
        <v>246</v>
      </c>
      <c r="U7" s="791"/>
      <c r="V7" s="792"/>
      <c r="W7" s="790" t="s">
        <v>305</v>
      </c>
      <c r="X7" s="791"/>
      <c r="Y7" s="792"/>
      <c r="Z7" s="790" t="s">
        <v>243</v>
      </c>
      <c r="AA7" s="791"/>
      <c r="AB7" s="792"/>
      <c r="AC7" s="790" t="s">
        <v>243</v>
      </c>
      <c r="AD7" s="791"/>
      <c r="AE7" s="792"/>
      <c r="AF7" s="790" t="s">
        <v>248</v>
      </c>
      <c r="AG7" s="791"/>
      <c r="AH7" s="792"/>
      <c r="AI7" s="793" t="s">
        <v>249</v>
      </c>
      <c r="AJ7" s="794"/>
      <c r="AK7" s="795"/>
      <c r="AL7" s="552"/>
      <c r="AM7" s="552"/>
      <c r="AN7" s="552"/>
      <c r="AO7" s="552"/>
    </row>
    <row r="8" spans="1:41" ht="18.75" customHeight="1" x14ac:dyDescent="0.35">
      <c r="A8" s="562"/>
      <c r="B8" s="412"/>
      <c r="C8" s="412"/>
      <c r="D8" s="413" t="s">
        <v>85</v>
      </c>
      <c r="E8" s="412"/>
      <c r="F8" s="412"/>
      <c r="G8" s="413" t="s">
        <v>85</v>
      </c>
      <c r="H8" s="412"/>
      <c r="I8" s="412"/>
      <c r="J8" s="413" t="s">
        <v>85</v>
      </c>
      <c r="K8" s="412"/>
      <c r="L8" s="412"/>
      <c r="M8" s="413" t="s">
        <v>85</v>
      </c>
      <c r="N8" s="412"/>
      <c r="O8" s="412"/>
      <c r="P8" s="413" t="s">
        <v>85</v>
      </c>
      <c r="Q8" s="412"/>
      <c r="R8" s="412"/>
      <c r="S8" s="413" t="s">
        <v>85</v>
      </c>
      <c r="T8" s="412"/>
      <c r="U8" s="412"/>
      <c r="V8" s="413" t="s">
        <v>85</v>
      </c>
      <c r="W8" s="412"/>
      <c r="X8" s="412"/>
      <c r="Y8" s="413" t="s">
        <v>85</v>
      </c>
      <c r="Z8" s="412"/>
      <c r="AA8" s="412"/>
      <c r="AB8" s="413" t="s">
        <v>85</v>
      </c>
      <c r="AC8" s="412"/>
      <c r="AD8" s="412"/>
      <c r="AE8" s="413" t="s">
        <v>85</v>
      </c>
      <c r="AF8" s="412"/>
      <c r="AG8" s="412"/>
      <c r="AH8" s="413" t="s">
        <v>85</v>
      </c>
      <c r="AI8" s="412"/>
      <c r="AJ8" s="412"/>
      <c r="AK8" s="413" t="s">
        <v>85</v>
      </c>
      <c r="AL8" s="552"/>
      <c r="AM8" s="552"/>
      <c r="AN8" s="552"/>
      <c r="AO8" s="552"/>
    </row>
    <row r="9" spans="1:41" ht="18.75" customHeight="1" x14ac:dyDescent="0.35">
      <c r="A9" s="563" t="s">
        <v>250</v>
      </c>
      <c r="B9" s="415">
        <v>2024</v>
      </c>
      <c r="C9" s="415">
        <v>2025</v>
      </c>
      <c r="D9" s="416" t="s">
        <v>88</v>
      </c>
      <c r="E9" s="415">
        <f>$B$9</f>
        <v>2024</v>
      </c>
      <c r="F9" s="415">
        <f>$C$9</f>
        <v>2025</v>
      </c>
      <c r="G9" s="416" t="s">
        <v>88</v>
      </c>
      <c r="H9" s="415">
        <f>$B$9</f>
        <v>2024</v>
      </c>
      <c r="I9" s="415">
        <f>$C$9</f>
        <v>2025</v>
      </c>
      <c r="J9" s="416" t="s">
        <v>88</v>
      </c>
      <c r="K9" s="415">
        <f>$B$9</f>
        <v>2024</v>
      </c>
      <c r="L9" s="415">
        <f>$C$9</f>
        <v>2025</v>
      </c>
      <c r="M9" s="416" t="s">
        <v>88</v>
      </c>
      <c r="N9" s="415">
        <f>$B$9</f>
        <v>2024</v>
      </c>
      <c r="O9" s="415">
        <f>$C$9</f>
        <v>2025</v>
      </c>
      <c r="P9" s="416" t="s">
        <v>88</v>
      </c>
      <c r="Q9" s="415">
        <f>$B$9</f>
        <v>2024</v>
      </c>
      <c r="R9" s="415">
        <f>$C$9</f>
        <v>2025</v>
      </c>
      <c r="S9" s="416" t="s">
        <v>88</v>
      </c>
      <c r="T9" s="415">
        <f>$B$9</f>
        <v>2024</v>
      </c>
      <c r="U9" s="415">
        <f>$C$9</f>
        <v>2025</v>
      </c>
      <c r="V9" s="416" t="s">
        <v>88</v>
      </c>
      <c r="W9" s="415">
        <f>$B$9</f>
        <v>2024</v>
      </c>
      <c r="X9" s="415">
        <f>$C$9</f>
        <v>2025</v>
      </c>
      <c r="Y9" s="416" t="s">
        <v>88</v>
      </c>
      <c r="Z9" s="415">
        <f>$B$9</f>
        <v>2024</v>
      </c>
      <c r="AA9" s="415">
        <f>$C$9</f>
        <v>2025</v>
      </c>
      <c r="AB9" s="416" t="s">
        <v>88</v>
      </c>
      <c r="AC9" s="415">
        <f t="shared" ref="AC9:AI9" si="0">$B$9</f>
        <v>2024</v>
      </c>
      <c r="AD9" s="415">
        <f t="shared" ref="AD9:AJ9" si="1">$C$9</f>
        <v>2025</v>
      </c>
      <c r="AE9" s="416" t="s">
        <v>88</v>
      </c>
      <c r="AF9" s="415">
        <f t="shared" si="0"/>
        <v>2024</v>
      </c>
      <c r="AG9" s="415">
        <f t="shared" si="1"/>
        <v>2025</v>
      </c>
      <c r="AH9" s="416" t="s">
        <v>88</v>
      </c>
      <c r="AI9" s="415">
        <f t="shared" si="0"/>
        <v>2024</v>
      </c>
      <c r="AJ9" s="415">
        <f t="shared" si="1"/>
        <v>2025</v>
      </c>
      <c r="AK9" s="416" t="s">
        <v>88</v>
      </c>
      <c r="AL9" s="552"/>
      <c r="AM9" s="552"/>
      <c r="AN9" s="552"/>
      <c r="AO9" s="552"/>
    </row>
    <row r="10" spans="1:41" ht="18.75" customHeight="1" x14ac:dyDescent="0.35">
      <c r="A10" s="564"/>
      <c r="B10" s="697"/>
      <c r="C10" s="698"/>
      <c r="D10" s="565"/>
      <c r="E10" s="438"/>
      <c r="F10" s="439"/>
      <c r="G10" s="566"/>
      <c r="H10" s="438"/>
      <c r="I10" s="439"/>
      <c r="J10" s="566"/>
      <c r="K10" s="438"/>
      <c r="L10" s="439"/>
      <c r="M10" s="567"/>
      <c r="N10" s="438"/>
      <c r="O10" s="439"/>
      <c r="P10" s="565"/>
      <c r="Q10" s="438"/>
      <c r="R10" s="439"/>
      <c r="S10" s="565"/>
      <c r="T10" s="579"/>
      <c r="U10" s="439"/>
      <c r="V10" s="565"/>
      <c r="W10" s="438"/>
      <c r="X10" s="439"/>
      <c r="Y10" s="565"/>
      <c r="Z10" s="438"/>
      <c r="AA10" s="439"/>
      <c r="AB10" s="565"/>
      <c r="AC10" s="567"/>
      <c r="AD10" s="567"/>
      <c r="AE10" s="567"/>
      <c r="AF10" s="579"/>
      <c r="AG10" s="579"/>
      <c r="AH10" s="565"/>
      <c r="AI10" s="439"/>
      <c r="AJ10" s="439"/>
      <c r="AK10" s="565"/>
      <c r="AL10" s="552"/>
      <c r="AM10" s="552"/>
      <c r="AN10" s="552"/>
      <c r="AO10" s="552"/>
    </row>
    <row r="11" spans="1:41" ht="18.75" customHeight="1" x14ac:dyDescent="0.35">
      <c r="A11" s="580" t="s">
        <v>338</v>
      </c>
      <c r="B11" s="705"/>
      <c r="C11" s="706"/>
      <c r="D11" s="581"/>
      <c r="E11" s="446"/>
      <c r="F11" s="447"/>
      <c r="G11" s="581"/>
      <c r="H11" s="446"/>
      <c r="I11" s="447"/>
      <c r="J11" s="581"/>
      <c r="K11" s="446"/>
      <c r="L11" s="447"/>
      <c r="M11" s="582"/>
      <c r="N11" s="446"/>
      <c r="O11" s="447"/>
      <c r="P11" s="581"/>
      <c r="Q11" s="446"/>
      <c r="R11" s="447"/>
      <c r="S11" s="581"/>
      <c r="T11" s="446"/>
      <c r="U11" s="447"/>
      <c r="V11" s="581"/>
      <c r="W11" s="446"/>
      <c r="X11" s="447"/>
      <c r="Y11" s="581"/>
      <c r="Z11" s="446"/>
      <c r="AA11" s="447"/>
      <c r="AB11" s="581"/>
      <c r="AC11" s="582"/>
      <c r="AD11" s="582"/>
      <c r="AE11" s="582"/>
      <c r="AF11" s="582"/>
      <c r="AG11" s="582"/>
      <c r="AH11" s="581"/>
      <c r="AI11" s="447"/>
      <c r="AJ11" s="447"/>
      <c r="AK11" s="581"/>
      <c r="AL11" s="552"/>
      <c r="AM11" s="552"/>
      <c r="AN11" s="552"/>
      <c r="AO11" s="552"/>
    </row>
    <row r="12" spans="1:41" ht="18" x14ac:dyDescent="0.35">
      <c r="A12" s="750" t="s">
        <v>497</v>
      </c>
      <c r="B12" s="691">
        <v>0.35699999999999998</v>
      </c>
      <c r="C12" s="692">
        <v>0.47296661453046906</v>
      </c>
      <c r="D12" s="452">
        <f>IF(B12=0, "    ---- ", IF(ABS(ROUND(100/B12*C12-100,1))&lt;999,ROUND(100/B12*C12-100,1),IF(ROUND(100/B12*C12-100,1)&gt;999,999,-999)))</f>
        <v>32.5</v>
      </c>
      <c r="E12" s="434">
        <v>185.16755207</v>
      </c>
      <c r="F12" s="435">
        <v>161.86114733000002</v>
      </c>
      <c r="G12" s="452">
        <f>IF(E12=0, "    ---- ", IF(ABS(ROUND(100/E12*F12-100,1))&lt;999,ROUND(100/E12*F12-100,1),IF(ROUND(100/E12*F12-100,1)&gt;999,999,-999)))</f>
        <v>-12.6</v>
      </c>
      <c r="H12" s="434">
        <v>3.5779999999999998</v>
      </c>
      <c r="I12" s="435">
        <v>4.9370000000000003</v>
      </c>
      <c r="J12" s="452">
        <f t="shared" ref="J12:J34" si="2">IF(H12=0, "    ---- ", IF(ABS(ROUND(100/H12*I12-100,1))&lt;999,ROUND(100/H12*I12-100,1),IF(ROUND(100/H12*I12-100,1)&gt;999,999,-999)))</f>
        <v>38</v>
      </c>
      <c r="K12" s="434"/>
      <c r="L12" s="435"/>
      <c r="M12" s="441"/>
      <c r="N12" s="434"/>
      <c r="O12" s="435"/>
      <c r="P12" s="452"/>
      <c r="Q12" s="434"/>
      <c r="R12" s="435"/>
      <c r="S12" s="452"/>
      <c r="T12" s="434"/>
      <c r="U12" s="435"/>
      <c r="V12" s="452"/>
      <c r="W12" s="434">
        <v>2</v>
      </c>
      <c r="X12" s="435">
        <v>1</v>
      </c>
      <c r="Y12" s="452">
        <f t="shared" ref="Y12:Y22" si="3">IF(W12=0, "    ---- ", IF(ABS(ROUND(100/W12*X12-100,1))&lt;999,ROUND(100/W12*X12-100,1),IF(ROUND(100/W12*X12-100,1)&gt;999,999,-999)))</f>
        <v>-50</v>
      </c>
      <c r="Z12" s="434">
        <v>79.989725959999902</v>
      </c>
      <c r="AA12" s="435">
        <v>77.937720170000119</v>
      </c>
      <c r="AB12" s="452">
        <f>IF(Z12=0, "    ---- ", IF(ABS(ROUND(100/Z12*AA12-100,1))&lt;999,ROUND(100/Z12*AA12-100,1),IF(ROUND(100/Z12*AA12-100,1)&gt;999,999,-999)))</f>
        <v>-2.6</v>
      </c>
      <c r="AC12" s="441"/>
      <c r="AD12" s="441"/>
      <c r="AE12" s="441"/>
      <c r="AF12" s="441">
        <f>B12+E12+H12+K12+N12+Q12+T12+W12+Z12</f>
        <v>271.09227802999987</v>
      </c>
      <c r="AG12" s="441">
        <f>C12+F12+I12+L12+O12+R12+U12+X12+AA12</f>
        <v>246.20883411453062</v>
      </c>
      <c r="AH12" s="452">
        <f t="shared" ref="AH12:AH22" si="4">IF(AF12=0, "    ---- ", IF(ABS(ROUND(100/AF12*AG12-100,1))&lt;999,ROUND(100/AF12*AG12-100,1),IF(ROUND(100/AF12*AG12-100,1)&gt;999,999,-999)))</f>
        <v>-9.1999999999999993</v>
      </c>
      <c r="AI12" s="435">
        <f>B12+E12+H12+K12+N12+Q12+T12+W12+Z12</f>
        <v>271.09227802999987</v>
      </c>
      <c r="AJ12" s="435">
        <f t="shared" ref="AJ12:AJ22" si="5">C12+F12+I12+L12+O12+R12+U12+X12+AA12</f>
        <v>246.20883411453062</v>
      </c>
      <c r="AK12" s="452">
        <f t="shared" ref="AK12:AK22" si="6">IF(AI12=0, "    ---- ", IF(ABS(ROUND(100/AI12*AJ12-100,1))&lt;999,ROUND(100/AI12*AJ12-100,1),IF(ROUND(100/AI12*AJ12-100,1)&gt;999,999,-999)))</f>
        <v>-9.1999999999999993</v>
      </c>
      <c r="AL12" s="552"/>
      <c r="AM12" s="552"/>
      <c r="AN12" s="552"/>
      <c r="AO12" s="552"/>
    </row>
    <row r="13" spans="1:41" ht="18.75" customHeight="1" x14ac:dyDescent="0.35">
      <c r="A13" s="421" t="s">
        <v>498</v>
      </c>
      <c r="B13" s="694"/>
      <c r="C13" s="699"/>
      <c r="D13" s="452"/>
      <c r="E13" s="76"/>
      <c r="F13" s="400"/>
      <c r="G13" s="452"/>
      <c r="H13" s="76"/>
      <c r="I13" s="400"/>
      <c r="J13" s="452"/>
      <c r="K13" s="434"/>
      <c r="L13" s="435"/>
      <c r="M13" s="441"/>
      <c r="N13" s="434"/>
      <c r="O13" s="435"/>
      <c r="P13" s="452"/>
      <c r="Q13" s="434"/>
      <c r="R13" s="435"/>
      <c r="S13" s="452"/>
      <c r="T13" s="434"/>
      <c r="U13" s="435"/>
      <c r="V13" s="452"/>
      <c r="W13" s="434">
        <v>-1</v>
      </c>
      <c r="X13" s="435">
        <v>-1</v>
      </c>
      <c r="Y13" s="452">
        <f t="shared" si="3"/>
        <v>0</v>
      </c>
      <c r="Z13" s="434"/>
      <c r="AA13" s="435"/>
      <c r="AB13" s="452"/>
      <c r="AC13" s="441"/>
      <c r="AD13" s="441"/>
      <c r="AE13" s="441"/>
      <c r="AF13" s="441">
        <f t="shared" ref="AF13:AG22" si="7">B13+E13+H13+K13+N13+Q13+T13+W13+Z13</f>
        <v>-1</v>
      </c>
      <c r="AG13" s="441">
        <f t="shared" si="7"/>
        <v>-1</v>
      </c>
      <c r="AH13" s="452">
        <f t="shared" si="4"/>
        <v>0</v>
      </c>
      <c r="AI13" s="435">
        <f t="shared" ref="AI13:AI22" si="8">B13+E13+H13+K13+N13+Q13+T13+W13+Z13</f>
        <v>-1</v>
      </c>
      <c r="AJ13" s="435">
        <f t="shared" si="5"/>
        <v>-1</v>
      </c>
      <c r="AK13" s="452">
        <f t="shared" si="6"/>
        <v>0</v>
      </c>
      <c r="AL13" s="552"/>
      <c r="AM13" s="552"/>
      <c r="AN13" s="552"/>
      <c r="AO13" s="552"/>
    </row>
    <row r="14" spans="1:41" ht="18.75" customHeight="1" x14ac:dyDescent="0.35">
      <c r="A14" s="421" t="s">
        <v>307</v>
      </c>
      <c r="B14" s="691">
        <v>17.465</v>
      </c>
      <c r="C14" s="692">
        <v>19.717540505343742</v>
      </c>
      <c r="D14" s="452">
        <f>IF(B14=0, "    ---- ", IF(ABS(ROUND(100/B14*C14-100,1))&lt;999,ROUND(100/B14*C14-100,1),IF(ROUND(100/B14*C14-100,1)&gt;999,999,-999)))</f>
        <v>12.9</v>
      </c>
      <c r="E14" s="434">
        <v>42.760874539999975</v>
      </c>
      <c r="F14" s="435">
        <v>-190.59093145000003</v>
      </c>
      <c r="G14" s="452">
        <f>IF(E14=0, "    ---- ", IF(ABS(ROUND(100/E14*F14-100,1))&lt;999,ROUND(100/E14*F14-100,1),IF(ROUND(100/E14*F14-100,1)&gt;999,999,-999)))</f>
        <v>-545.70000000000005</v>
      </c>
      <c r="H14" s="434">
        <v>-18.422999999999998</v>
      </c>
      <c r="I14" s="435">
        <v>-16.631</v>
      </c>
      <c r="J14" s="452">
        <f t="shared" si="2"/>
        <v>-9.6999999999999993</v>
      </c>
      <c r="K14" s="434"/>
      <c r="L14" s="435"/>
      <c r="M14" s="441"/>
      <c r="N14" s="434"/>
      <c r="O14" s="435"/>
      <c r="P14" s="452" t="str">
        <f t="shared" ref="P14:P22" si="9">IF(N14=0, "    ---- ", IF(ABS(ROUND(100/N14*O14-100,1))&lt;999,ROUND(100/N14*O14-100,1),IF(ROUND(100/N14*O14-100,1)&gt;999,999,-999)))</f>
        <v xml:space="preserve">    ---- </v>
      </c>
      <c r="Q14" s="434"/>
      <c r="R14" s="435"/>
      <c r="S14" s="452"/>
      <c r="T14" s="434"/>
      <c r="U14" s="435"/>
      <c r="V14" s="452"/>
      <c r="W14" s="434">
        <v>1</v>
      </c>
      <c r="X14" s="435">
        <v>1</v>
      </c>
      <c r="Y14" s="452">
        <f t="shared" si="3"/>
        <v>0</v>
      </c>
      <c r="Z14" s="434">
        <v>-28.00179056</v>
      </c>
      <c r="AA14" s="435">
        <v>-34.642346710000027</v>
      </c>
      <c r="AB14" s="452">
        <f>IF(Z14=0, "    ---- ", IF(ABS(ROUND(100/Z14*AA14-100,1))&lt;999,ROUND(100/Z14*AA14-100,1),IF(ROUND(100/Z14*AA14-100,1)&gt;999,999,-999)))</f>
        <v>23.7</v>
      </c>
      <c r="AC14" s="441"/>
      <c r="AD14" s="441"/>
      <c r="AE14" s="441"/>
      <c r="AF14" s="441">
        <f t="shared" si="7"/>
        <v>14.801083979999976</v>
      </c>
      <c r="AG14" s="441">
        <f t="shared" si="7"/>
        <v>-221.14673765465631</v>
      </c>
      <c r="AH14" s="452">
        <f t="shared" si="4"/>
        <v>-999</v>
      </c>
      <c r="AI14" s="435">
        <f t="shared" si="8"/>
        <v>14.801083979999976</v>
      </c>
      <c r="AJ14" s="435">
        <f t="shared" si="5"/>
        <v>-221.14673765465631</v>
      </c>
      <c r="AK14" s="452">
        <f t="shared" si="6"/>
        <v>-999</v>
      </c>
      <c r="AL14" s="552"/>
      <c r="AM14" s="552"/>
      <c r="AN14" s="552"/>
      <c r="AO14" s="552"/>
    </row>
    <row r="15" spans="1:41" ht="18.75" customHeight="1" x14ac:dyDescent="0.35">
      <c r="A15" s="421" t="s">
        <v>308</v>
      </c>
      <c r="B15" s="691"/>
      <c r="C15" s="692"/>
      <c r="D15" s="452"/>
      <c r="E15" s="434"/>
      <c r="F15" s="435"/>
      <c r="G15" s="452"/>
      <c r="H15" s="434"/>
      <c r="I15" s="435"/>
      <c r="J15" s="452"/>
      <c r="K15" s="434"/>
      <c r="L15" s="435"/>
      <c r="M15" s="441"/>
      <c r="N15" s="434"/>
      <c r="O15" s="435"/>
      <c r="P15" s="452"/>
      <c r="Q15" s="434"/>
      <c r="R15" s="435"/>
      <c r="S15" s="452"/>
      <c r="T15" s="434"/>
      <c r="U15" s="435"/>
      <c r="V15" s="452"/>
      <c r="W15" s="434"/>
      <c r="X15" s="435"/>
      <c r="Y15" s="452"/>
      <c r="Z15" s="434"/>
      <c r="AA15" s="435"/>
      <c r="AB15" s="452"/>
      <c r="AC15" s="441"/>
      <c r="AD15" s="441"/>
      <c r="AE15" s="441"/>
      <c r="AF15" s="441">
        <f t="shared" si="7"/>
        <v>0</v>
      </c>
      <c r="AG15" s="441">
        <f t="shared" si="7"/>
        <v>0</v>
      </c>
      <c r="AH15" s="452" t="str">
        <f t="shared" si="4"/>
        <v xml:space="preserve">    ---- </v>
      </c>
      <c r="AI15" s="435">
        <f t="shared" si="8"/>
        <v>0</v>
      </c>
      <c r="AJ15" s="435">
        <f t="shared" si="5"/>
        <v>0</v>
      </c>
      <c r="AK15" s="452" t="str">
        <f t="shared" si="6"/>
        <v xml:space="preserve">    ---- </v>
      </c>
      <c r="AL15" s="552"/>
      <c r="AM15" s="552"/>
      <c r="AN15" s="552"/>
      <c r="AO15" s="552"/>
    </row>
    <row r="16" spans="1:41" ht="18.75" customHeight="1" x14ac:dyDescent="0.35">
      <c r="A16" s="421" t="s">
        <v>309</v>
      </c>
      <c r="B16" s="691"/>
      <c r="C16" s="692"/>
      <c r="D16" s="452"/>
      <c r="E16" s="434"/>
      <c r="F16" s="435"/>
      <c r="G16" s="452"/>
      <c r="H16" s="434"/>
      <c r="I16" s="435"/>
      <c r="J16" s="452"/>
      <c r="K16" s="434"/>
      <c r="L16" s="435"/>
      <c r="M16" s="441"/>
      <c r="N16" s="434"/>
      <c r="O16" s="435"/>
      <c r="P16" s="452"/>
      <c r="Q16" s="434"/>
      <c r="R16" s="435"/>
      <c r="S16" s="452"/>
      <c r="T16" s="434"/>
      <c r="U16" s="435"/>
      <c r="V16" s="452"/>
      <c r="W16" s="434"/>
      <c r="X16" s="435"/>
      <c r="Y16" s="452"/>
      <c r="Z16" s="434"/>
      <c r="AA16" s="435"/>
      <c r="AB16" s="452"/>
      <c r="AC16" s="441"/>
      <c r="AD16" s="441"/>
      <c r="AE16" s="441"/>
      <c r="AF16" s="441">
        <f t="shared" si="7"/>
        <v>0</v>
      </c>
      <c r="AG16" s="441">
        <f t="shared" si="7"/>
        <v>0</v>
      </c>
      <c r="AH16" s="452" t="str">
        <f t="shared" si="4"/>
        <v xml:space="preserve">    ---- </v>
      </c>
      <c r="AI16" s="435">
        <f t="shared" si="8"/>
        <v>0</v>
      </c>
      <c r="AJ16" s="435">
        <f t="shared" si="5"/>
        <v>0</v>
      </c>
      <c r="AK16" s="452" t="str">
        <f t="shared" si="6"/>
        <v xml:space="preserve">    ---- </v>
      </c>
      <c r="AL16" s="552"/>
      <c r="AM16" s="552"/>
      <c r="AN16" s="552"/>
      <c r="AO16" s="552"/>
    </row>
    <row r="17" spans="1:41" ht="18.75" customHeight="1" x14ac:dyDescent="0.35">
      <c r="A17" s="421" t="s">
        <v>310</v>
      </c>
      <c r="B17" s="691">
        <v>7.367</v>
      </c>
      <c r="C17" s="692">
        <v>85.784446753200029</v>
      </c>
      <c r="D17" s="452">
        <f>IF(B17=0, "    ---- ", IF(ABS(ROUND(100/B17*C17-100,1))&lt;999,ROUND(100/B17*C17-100,1),IF(ROUND(100/B17*C17-100,1)&gt;999,999,-999)))</f>
        <v>999</v>
      </c>
      <c r="E17" s="434">
        <v>112.60479724999996</v>
      </c>
      <c r="F17" s="435">
        <v>166.99967913999996</v>
      </c>
      <c r="G17" s="452">
        <f>IF(E17=0, "    ---- ", IF(ABS(ROUND(100/E17*F17-100,1))&lt;999,ROUND(100/E17*F17-100,1),IF(ROUND(100/E17*F17-100,1)&gt;999,999,-999)))</f>
        <v>48.3</v>
      </c>
      <c r="H17" s="434">
        <v>-1.306</v>
      </c>
      <c r="I17" s="435">
        <v>8.02</v>
      </c>
      <c r="J17" s="452">
        <f t="shared" si="2"/>
        <v>-714.1</v>
      </c>
      <c r="K17" s="434"/>
      <c r="L17" s="435"/>
      <c r="M17" s="441"/>
      <c r="N17" s="434">
        <v>1</v>
      </c>
      <c r="O17" s="435"/>
      <c r="P17" s="452">
        <f t="shared" si="9"/>
        <v>-100</v>
      </c>
      <c r="Q17" s="434"/>
      <c r="R17" s="435"/>
      <c r="S17" s="452"/>
      <c r="T17" s="434"/>
      <c r="U17" s="435"/>
      <c r="V17" s="452"/>
      <c r="W17" s="434">
        <v>2</v>
      </c>
      <c r="X17" s="435">
        <v>2</v>
      </c>
      <c r="Y17" s="452">
        <f t="shared" si="3"/>
        <v>0</v>
      </c>
      <c r="Z17" s="434">
        <v>25.355905109999899</v>
      </c>
      <c r="AA17" s="435">
        <v>-110.31340628999978</v>
      </c>
      <c r="AB17" s="452">
        <f>IF(Z17=0, "    ---- ", IF(ABS(ROUND(100/Z17*AA17-100,1))&lt;999,ROUND(100/Z17*AA17-100,1),IF(ROUND(100/Z17*AA17-100,1)&gt;999,999,-999)))</f>
        <v>-535.1</v>
      </c>
      <c r="AC17" s="441"/>
      <c r="AD17" s="441"/>
      <c r="AE17" s="441"/>
      <c r="AF17" s="441">
        <f t="shared" si="7"/>
        <v>147.02170235999986</v>
      </c>
      <c r="AG17" s="441">
        <f t="shared" si="7"/>
        <v>152.4907196032002</v>
      </c>
      <c r="AH17" s="452">
        <f t="shared" si="4"/>
        <v>3.7</v>
      </c>
      <c r="AI17" s="435">
        <f t="shared" si="8"/>
        <v>147.02170235999986</v>
      </c>
      <c r="AJ17" s="435">
        <f t="shared" si="5"/>
        <v>152.4907196032002</v>
      </c>
      <c r="AK17" s="452">
        <f t="shared" si="6"/>
        <v>3.7</v>
      </c>
      <c r="AL17" s="552"/>
      <c r="AM17" s="552"/>
      <c r="AN17" s="552"/>
      <c r="AO17" s="552"/>
    </row>
    <row r="18" spans="1:41" ht="18.75" customHeight="1" x14ac:dyDescent="0.35">
      <c r="A18" s="421" t="s">
        <v>311</v>
      </c>
      <c r="B18" s="691"/>
      <c r="C18" s="692"/>
      <c r="D18" s="452"/>
      <c r="E18" s="434"/>
      <c r="F18" s="435"/>
      <c r="G18" s="452"/>
      <c r="H18" s="434"/>
      <c r="I18" s="435"/>
      <c r="J18" s="452"/>
      <c r="K18" s="434"/>
      <c r="L18" s="435"/>
      <c r="M18" s="441"/>
      <c r="N18" s="434"/>
      <c r="O18" s="435"/>
      <c r="P18" s="452"/>
      <c r="Q18" s="434"/>
      <c r="R18" s="435"/>
      <c r="S18" s="452"/>
      <c r="T18" s="434"/>
      <c r="U18" s="435"/>
      <c r="V18" s="452"/>
      <c r="W18" s="434"/>
      <c r="X18" s="435"/>
      <c r="Y18" s="452"/>
      <c r="Z18" s="434"/>
      <c r="AA18" s="435"/>
      <c r="AB18" s="452"/>
      <c r="AC18" s="441"/>
      <c r="AD18" s="441"/>
      <c r="AE18" s="441"/>
      <c r="AF18" s="441">
        <f t="shared" si="7"/>
        <v>0</v>
      </c>
      <c r="AG18" s="441">
        <f t="shared" si="7"/>
        <v>0</v>
      </c>
      <c r="AH18" s="452" t="str">
        <f t="shared" si="4"/>
        <v xml:space="preserve">    ---- </v>
      </c>
      <c r="AI18" s="435">
        <f t="shared" si="8"/>
        <v>0</v>
      </c>
      <c r="AJ18" s="435">
        <f t="shared" si="5"/>
        <v>0</v>
      </c>
      <c r="AK18" s="452" t="str">
        <f t="shared" si="6"/>
        <v xml:space="preserve">    ---- </v>
      </c>
      <c r="AL18" s="552"/>
      <c r="AM18" s="552"/>
      <c r="AN18" s="552"/>
      <c r="AO18" s="552"/>
    </row>
    <row r="19" spans="1:41" ht="18.75" customHeight="1" x14ac:dyDescent="0.35">
      <c r="A19" s="421" t="s">
        <v>312</v>
      </c>
      <c r="B19" s="691"/>
      <c r="C19" s="692"/>
      <c r="D19" s="452"/>
      <c r="E19" s="434"/>
      <c r="F19" s="435"/>
      <c r="G19" s="452"/>
      <c r="H19" s="434"/>
      <c r="I19" s="435"/>
      <c r="J19" s="452" t="str">
        <f t="shared" si="2"/>
        <v xml:space="preserve">    ---- </v>
      </c>
      <c r="K19" s="434"/>
      <c r="L19" s="435"/>
      <c r="M19" s="441"/>
      <c r="N19" s="434"/>
      <c r="O19" s="435"/>
      <c r="P19" s="452"/>
      <c r="Q19" s="434"/>
      <c r="R19" s="435"/>
      <c r="S19" s="452"/>
      <c r="T19" s="434"/>
      <c r="U19" s="435"/>
      <c r="V19" s="452"/>
      <c r="W19" s="434"/>
      <c r="X19" s="435"/>
      <c r="Y19" s="452"/>
      <c r="Z19" s="434"/>
      <c r="AA19" s="435"/>
      <c r="AB19" s="452"/>
      <c r="AC19" s="441"/>
      <c r="AD19" s="441"/>
      <c r="AE19" s="441"/>
      <c r="AF19" s="441">
        <f t="shared" si="7"/>
        <v>0</v>
      </c>
      <c r="AG19" s="441">
        <f t="shared" si="7"/>
        <v>0</v>
      </c>
      <c r="AH19" s="452" t="str">
        <f t="shared" si="4"/>
        <v xml:space="preserve">    ---- </v>
      </c>
      <c r="AI19" s="435">
        <f t="shared" si="8"/>
        <v>0</v>
      </c>
      <c r="AJ19" s="435">
        <f t="shared" si="5"/>
        <v>0</v>
      </c>
      <c r="AK19" s="452" t="str">
        <f t="shared" si="6"/>
        <v xml:space="preserve">    ---- </v>
      </c>
      <c r="AL19" s="552"/>
      <c r="AM19" s="552"/>
      <c r="AN19" s="552"/>
      <c r="AO19" s="552"/>
    </row>
    <row r="20" spans="1:41" s="568" customFormat="1" ht="18.75" customHeight="1" x14ac:dyDescent="0.3">
      <c r="A20" s="535" t="s">
        <v>313</v>
      </c>
      <c r="B20" s="690">
        <f>SUM(B12:B17)+B19</f>
        <v>25.189</v>
      </c>
      <c r="C20" s="693">
        <f>SUM(C12:C17)+C19</f>
        <v>105.97495387307424</v>
      </c>
      <c r="D20" s="453">
        <f>IF(B20=0, "    ---- ", IF(ABS(ROUND(100/B20*C20-100,1))&lt;999,ROUND(100/B20*C20-100,1),IF(ROUND(100/B20*C20-100,1)&gt;999,999,-999)))</f>
        <v>320.7</v>
      </c>
      <c r="E20" s="432">
        <f>SUM(E12:E17)+E19</f>
        <v>340.53322385999991</v>
      </c>
      <c r="F20" s="433">
        <f>SUM(F12:F17)+F19</f>
        <v>138.26989501999995</v>
      </c>
      <c r="G20" s="453">
        <f>IF(E20=0, "    ---- ", IF(ABS(ROUND(100/E20*F20-100,1))&lt;999,ROUND(100/E20*F20-100,1),IF(ROUND(100/E20*F20-100,1)&gt;999,999,-999)))</f>
        <v>-59.4</v>
      </c>
      <c r="H20" s="432">
        <f>SUM(H12:H17)+H19</f>
        <v>-16.151</v>
      </c>
      <c r="I20" s="433">
        <f>SUM(I12:I17)+I19</f>
        <v>-3.6739999999999995</v>
      </c>
      <c r="J20" s="453">
        <f t="shared" si="2"/>
        <v>-77.3</v>
      </c>
      <c r="K20" s="432"/>
      <c r="L20" s="433"/>
      <c r="M20" s="443"/>
      <c r="N20" s="432">
        <f>SUM(N12:N17)+N19</f>
        <v>1</v>
      </c>
      <c r="O20" s="433"/>
      <c r="P20" s="453">
        <f t="shared" si="9"/>
        <v>-100</v>
      </c>
      <c r="Q20" s="432"/>
      <c r="R20" s="433"/>
      <c r="S20" s="453"/>
      <c r="T20" s="432"/>
      <c r="U20" s="433"/>
      <c r="V20" s="453"/>
      <c r="W20" s="432">
        <f>SUM(W12:W17)+W19</f>
        <v>4</v>
      </c>
      <c r="X20" s="433">
        <f>SUM(X12:X17)+X19</f>
        <v>3</v>
      </c>
      <c r="Y20" s="453">
        <f t="shared" si="3"/>
        <v>-25</v>
      </c>
      <c r="Z20" s="432">
        <f>SUM(Z12:Z17)+Z19</f>
        <v>77.343840509999794</v>
      </c>
      <c r="AA20" s="433">
        <f>SUM(AA12:AA17)+AA19</f>
        <v>-67.018032829999683</v>
      </c>
      <c r="AB20" s="453">
        <f>IF(Z20=0, "    ---- ", IF(ABS(ROUND(100/Z20*AA20-100,1))&lt;999,ROUND(100/Z20*AA20-100,1),IF(ROUND(100/Z20*AA20-100,1)&gt;999,999,-999)))</f>
        <v>-186.6</v>
      </c>
      <c r="AC20" s="443"/>
      <c r="AD20" s="443"/>
      <c r="AE20" s="443"/>
      <c r="AF20" s="443">
        <f t="shared" si="7"/>
        <v>431.9150643699997</v>
      </c>
      <c r="AG20" s="443">
        <f t="shared" si="7"/>
        <v>176.55281606307449</v>
      </c>
      <c r="AH20" s="453">
        <f t="shared" si="4"/>
        <v>-59.1</v>
      </c>
      <c r="AI20" s="433">
        <f t="shared" si="8"/>
        <v>431.9150643699997</v>
      </c>
      <c r="AJ20" s="433">
        <f t="shared" si="5"/>
        <v>176.55281606307449</v>
      </c>
      <c r="AK20" s="453">
        <f t="shared" si="6"/>
        <v>-59.1</v>
      </c>
      <c r="AL20" s="555"/>
      <c r="AM20" s="555"/>
      <c r="AN20" s="555"/>
      <c r="AO20" s="555"/>
    </row>
    <row r="21" spans="1:41" ht="18.75" customHeight="1" x14ac:dyDescent="0.35">
      <c r="A21" s="421" t="s">
        <v>314</v>
      </c>
      <c r="B21" s="691"/>
      <c r="C21" s="692"/>
      <c r="D21" s="452"/>
      <c r="E21" s="434"/>
      <c r="F21" s="435"/>
      <c r="G21" s="452"/>
      <c r="H21" s="434"/>
      <c r="I21" s="435"/>
      <c r="J21" s="452"/>
      <c r="K21" s="434"/>
      <c r="L21" s="435"/>
      <c r="M21" s="441"/>
      <c r="N21" s="434"/>
      <c r="O21" s="435"/>
      <c r="P21" s="452"/>
      <c r="Q21" s="434"/>
      <c r="R21" s="435"/>
      <c r="S21" s="452"/>
      <c r="T21" s="434"/>
      <c r="U21" s="435"/>
      <c r="V21" s="452"/>
      <c r="W21" s="434"/>
      <c r="X21" s="435"/>
      <c r="Y21" s="452"/>
      <c r="Z21" s="434"/>
      <c r="AA21" s="435"/>
      <c r="AB21" s="452"/>
      <c r="AC21" s="441"/>
      <c r="AD21" s="441"/>
      <c r="AE21" s="441"/>
      <c r="AF21" s="441">
        <f t="shared" si="7"/>
        <v>0</v>
      </c>
      <c r="AG21" s="441">
        <f t="shared" si="7"/>
        <v>0</v>
      </c>
      <c r="AH21" s="452" t="str">
        <f t="shared" si="4"/>
        <v xml:space="preserve">    ---- </v>
      </c>
      <c r="AI21" s="435">
        <f t="shared" si="8"/>
        <v>0</v>
      </c>
      <c r="AJ21" s="435">
        <f t="shared" si="5"/>
        <v>0</v>
      </c>
      <c r="AK21" s="452" t="str">
        <f t="shared" si="6"/>
        <v xml:space="preserve">    ---- </v>
      </c>
      <c r="AL21" s="552"/>
      <c r="AM21" s="552"/>
      <c r="AN21" s="552"/>
      <c r="AO21" s="552"/>
    </row>
    <row r="22" spans="1:41" ht="18.75" customHeight="1" x14ac:dyDescent="0.35">
      <c r="A22" s="421" t="s">
        <v>315</v>
      </c>
      <c r="B22" s="691">
        <v>25</v>
      </c>
      <c r="C22" s="692">
        <v>105.97495387307424</v>
      </c>
      <c r="D22" s="452">
        <f>IF(B22=0, "    ---- ", IF(ABS(ROUND(100/B22*C22-100,1))&lt;999,ROUND(100/B22*C22-100,1),IF(ROUND(100/B22*C22-100,1)&gt;999,999,-999)))</f>
        <v>323.89999999999998</v>
      </c>
      <c r="E22" s="434">
        <v>340.53322385999991</v>
      </c>
      <c r="F22" s="435">
        <f>+F20</f>
        <v>138.26989501999995</v>
      </c>
      <c r="G22" s="452">
        <f>IF(E22=0, "    ---- ", IF(ABS(ROUND(100/E22*F22-100,1))&lt;999,ROUND(100/E22*F22-100,1),IF(ROUND(100/E22*F22-100,1)&gt;999,999,-999)))</f>
        <v>-59.4</v>
      </c>
      <c r="H22" s="434">
        <v>-16.152000000000001</v>
      </c>
      <c r="I22" s="435">
        <f>--16.631</f>
        <v>16.631</v>
      </c>
      <c r="J22" s="452">
        <f t="shared" si="2"/>
        <v>-203</v>
      </c>
      <c r="K22" s="434"/>
      <c r="L22" s="435"/>
      <c r="M22" s="441"/>
      <c r="N22" s="434">
        <v>1</v>
      </c>
      <c r="O22" s="435"/>
      <c r="P22" s="452">
        <f t="shared" si="9"/>
        <v>-100</v>
      </c>
      <c r="Q22" s="434"/>
      <c r="R22" s="435"/>
      <c r="S22" s="452"/>
      <c r="T22" s="434"/>
      <c r="U22" s="435"/>
      <c r="V22" s="452"/>
      <c r="W22" s="434">
        <v>4</v>
      </c>
      <c r="X22" s="435">
        <v>3</v>
      </c>
      <c r="Y22" s="452">
        <f t="shared" si="3"/>
        <v>-25</v>
      </c>
      <c r="Z22" s="434">
        <v>77.343840509999794</v>
      </c>
      <c r="AA22" s="435">
        <v>-67.018032829999683</v>
      </c>
      <c r="AB22" s="452">
        <f>IF(Z22=0, "    ---- ", IF(ABS(ROUND(100/Z22*AA22-100,1))&lt;999,ROUND(100/Z22*AA22-100,1),IF(ROUND(100/Z22*AA22-100,1)&gt;999,999,-999)))</f>
        <v>-186.6</v>
      </c>
      <c r="AC22" s="441"/>
      <c r="AD22" s="441"/>
      <c r="AE22" s="441"/>
      <c r="AF22" s="441">
        <f t="shared" si="7"/>
        <v>431.7250643699997</v>
      </c>
      <c r="AG22" s="441">
        <f t="shared" si="7"/>
        <v>196.85781606307449</v>
      </c>
      <c r="AH22" s="452">
        <f t="shared" si="4"/>
        <v>-54.4</v>
      </c>
      <c r="AI22" s="435">
        <f t="shared" si="8"/>
        <v>431.7250643699997</v>
      </c>
      <c r="AJ22" s="435">
        <f t="shared" si="5"/>
        <v>196.85781606307449</v>
      </c>
      <c r="AK22" s="452">
        <f t="shared" si="6"/>
        <v>-54.4</v>
      </c>
      <c r="AL22" s="552"/>
      <c r="AM22" s="552"/>
      <c r="AN22" s="552"/>
      <c r="AO22" s="552"/>
    </row>
    <row r="23" spans="1:41" ht="18.75" customHeight="1" x14ac:dyDescent="0.35">
      <c r="A23" s="535" t="s">
        <v>339</v>
      </c>
      <c r="B23" s="702"/>
      <c r="C23" s="703"/>
      <c r="D23" s="452"/>
      <c r="E23" s="442"/>
      <c r="F23" s="443"/>
      <c r="G23" s="452"/>
      <c r="H23" s="442"/>
      <c r="I23" s="443"/>
      <c r="J23" s="452"/>
      <c r="K23" s="442"/>
      <c r="L23" s="443"/>
      <c r="M23" s="441"/>
      <c r="N23" s="442"/>
      <c r="O23" s="443"/>
      <c r="P23" s="452"/>
      <c r="Q23" s="442"/>
      <c r="R23" s="443"/>
      <c r="S23" s="452"/>
      <c r="T23" s="442"/>
      <c r="U23" s="443"/>
      <c r="V23" s="452"/>
      <c r="W23" s="442"/>
      <c r="X23" s="443"/>
      <c r="Y23" s="452"/>
      <c r="Z23" s="442"/>
      <c r="AA23" s="443"/>
      <c r="AB23" s="452"/>
      <c r="AC23" s="441"/>
      <c r="AD23" s="441"/>
      <c r="AE23" s="441"/>
      <c r="AF23" s="441"/>
      <c r="AG23" s="441"/>
      <c r="AH23" s="452"/>
      <c r="AI23" s="435"/>
      <c r="AJ23" s="435"/>
      <c r="AK23" s="452"/>
      <c r="AL23" s="552"/>
      <c r="AM23" s="552"/>
      <c r="AN23" s="552"/>
      <c r="AO23" s="552"/>
    </row>
    <row r="24" spans="1:41" ht="18" x14ac:dyDescent="0.35">
      <c r="A24" s="750" t="s">
        <v>497</v>
      </c>
      <c r="B24" s="700">
        <v>62.81</v>
      </c>
      <c r="C24" s="701">
        <v>79.282145453441984</v>
      </c>
      <c r="D24" s="452">
        <f>IF(B24=0, "    ---- ", IF(ABS(ROUND(100/B24*C24-100,1))&lt;999,ROUND(100/B24*C24-100,1),IF(ROUND(100/B24*C24-100,1)&gt;999,999,-999)))</f>
        <v>26.2</v>
      </c>
      <c r="E24" s="440">
        <v>46.291074960000003</v>
      </c>
      <c r="F24" s="441">
        <v>42.020470909999993</v>
      </c>
      <c r="G24" s="452">
        <f>IF(E24=0, "    ---- ", IF(ABS(ROUND(100/E24*F24-100,1))&lt;999,ROUND(100/E24*F24-100,1),IF(ROUND(100/E24*F24-100,1)&gt;999,999,-999)))</f>
        <v>-9.1999999999999993</v>
      </c>
      <c r="H24" s="440">
        <v>8.6359999999999992</v>
      </c>
      <c r="I24" s="441">
        <v>12.090999999999999</v>
      </c>
      <c r="J24" s="452">
        <f t="shared" si="2"/>
        <v>40</v>
      </c>
      <c r="K24" s="440"/>
      <c r="L24" s="441"/>
      <c r="M24" s="452"/>
      <c r="N24" s="440"/>
      <c r="O24" s="441"/>
      <c r="P24" s="452"/>
      <c r="Q24" s="440">
        <v>1.7156307104021589</v>
      </c>
      <c r="R24" s="441">
        <v>2.0606797584098904</v>
      </c>
      <c r="S24" s="452">
        <f t="shared" ref="S24:S34" si="10">IF(Q24=0, "    ---- ", IF(ABS(ROUND(100/Q24*R24-100,1))&lt;999,ROUND(100/Q24*R24-100,1),IF(ROUND(100/Q24*R24-100,1)&gt;999,999,-999)))</f>
        <v>20.100000000000001</v>
      </c>
      <c r="T24" s="440"/>
      <c r="U24" s="441"/>
      <c r="V24" s="452"/>
      <c r="W24" s="440"/>
      <c r="X24" s="441"/>
      <c r="Y24" s="452"/>
      <c r="Z24" s="440">
        <v>28.545264039999999</v>
      </c>
      <c r="AA24" s="441">
        <v>29.81038136999992</v>
      </c>
      <c r="AB24" s="452">
        <f>IF(Z24=0, "    ---- ", IF(ABS(ROUND(100/Z24*AA24-100,1))&lt;999,ROUND(100/Z24*AA24-100,1),IF(ROUND(100/Z24*AA24-100,1)&gt;999,999,-999)))</f>
        <v>4.4000000000000004</v>
      </c>
      <c r="AC24" s="441"/>
      <c r="AD24" s="441"/>
      <c r="AE24" s="441"/>
      <c r="AF24" s="441">
        <f t="shared" ref="AF24:AG34" si="11">B24+E24+H24+K24+N24+Q24+T24+W24+Z24</f>
        <v>147.99796971040215</v>
      </c>
      <c r="AG24" s="441">
        <f t="shared" si="11"/>
        <v>165.26467749185181</v>
      </c>
      <c r="AH24" s="452">
        <f>IF(AF24=0, "    ---- ", IF(ABS(ROUND(100/AF24*AG24-100,1))&lt;999,ROUND(100/AF24*AG24-100,1),IF(ROUND(100/AF24*AG24-100,1)&gt;999,999,-999)))</f>
        <v>11.7</v>
      </c>
      <c r="AI24" s="435">
        <f t="shared" ref="AI24:AJ34" si="12">B24+E24+H24+K24+N24+Q24+T24+W24+Z24</f>
        <v>147.99796971040215</v>
      </c>
      <c r="AJ24" s="435">
        <f t="shared" si="12"/>
        <v>165.26467749185181</v>
      </c>
      <c r="AK24" s="452">
        <f>IF(AI24=0, "    ---- ", IF(ABS(ROUND(100/AI24*AJ24-100,1))&lt;999,ROUND(100/AI24*AJ24-100,1),IF(ROUND(100/AI24*AJ24-100,1)&gt;999,999,-999)))</f>
        <v>11.7</v>
      </c>
      <c r="AL24" s="552"/>
      <c r="AM24" s="552"/>
      <c r="AN24" s="552"/>
      <c r="AO24" s="552"/>
    </row>
    <row r="25" spans="1:41" ht="18.75" customHeight="1" x14ac:dyDescent="0.35">
      <c r="A25" s="421" t="s">
        <v>498</v>
      </c>
      <c r="B25" s="694"/>
      <c r="C25" s="699"/>
      <c r="D25" s="452"/>
      <c r="E25" s="440"/>
      <c r="F25" s="441"/>
      <c r="G25" s="452"/>
      <c r="H25" s="440"/>
      <c r="I25" s="441"/>
      <c r="J25" s="452"/>
      <c r="K25" s="440"/>
      <c r="L25" s="441"/>
      <c r="M25" s="441"/>
      <c r="N25" s="440"/>
      <c r="O25" s="441"/>
      <c r="P25" s="452"/>
      <c r="Q25" s="440"/>
      <c r="R25" s="441"/>
      <c r="S25" s="452"/>
      <c r="T25" s="440"/>
      <c r="U25" s="441"/>
      <c r="V25" s="452"/>
      <c r="W25" s="440"/>
      <c r="X25" s="441"/>
      <c r="Y25" s="452"/>
      <c r="Z25" s="440"/>
      <c r="AA25" s="441"/>
      <c r="AB25" s="452"/>
      <c r="AC25" s="441"/>
      <c r="AD25" s="441"/>
      <c r="AE25" s="441"/>
      <c r="AF25" s="441">
        <f t="shared" si="11"/>
        <v>0</v>
      </c>
      <c r="AG25" s="441">
        <f t="shared" si="11"/>
        <v>0</v>
      </c>
      <c r="AH25" s="452" t="str">
        <f t="shared" ref="AH25:AH34" si="13">IF(AF25=0, "    ---- ", IF(ABS(ROUND(100/AF25*AG25-100,1))&lt;999,ROUND(100/AF25*AG25-100,1),IF(ROUND(100/AF25*AG25-100,1)&gt;999,999,-999)))</f>
        <v xml:space="preserve">    ---- </v>
      </c>
      <c r="AI25" s="435">
        <f t="shared" si="12"/>
        <v>0</v>
      </c>
      <c r="AJ25" s="435">
        <f t="shared" si="12"/>
        <v>0</v>
      </c>
      <c r="AK25" s="452" t="str">
        <f t="shared" ref="AK25:AK34" si="14">IF(AI25=0, "    ---- ", IF(ABS(ROUND(100/AI25*AJ25-100,1))&lt;999,ROUND(100/AI25*AJ25-100,1),IF(ROUND(100/AI25*AJ25-100,1)&gt;999,999,-999)))</f>
        <v xml:space="preserve">    ---- </v>
      </c>
      <c r="AL25" s="552"/>
      <c r="AM25" s="552"/>
      <c r="AN25" s="552"/>
      <c r="AO25" s="552"/>
    </row>
    <row r="26" spans="1:41" ht="18.75" customHeight="1" x14ac:dyDescent="0.35">
      <c r="A26" s="421" t="s">
        <v>307</v>
      </c>
      <c r="B26" s="700">
        <v>-25.92</v>
      </c>
      <c r="C26" s="701">
        <v>-17.350831740971188</v>
      </c>
      <c r="D26" s="452">
        <f>IF(B26=0, "    ---- ", IF(ABS(ROUND(100/B26*C26-100,1))&lt;999,ROUND(100/B26*C26-100,1),IF(ROUND(100/B26*C26-100,1)&gt;999,999,-999)))</f>
        <v>-33.1</v>
      </c>
      <c r="E26" s="440">
        <v>-4.286727679999923</v>
      </c>
      <c r="F26" s="441">
        <v>1.4055146099999296</v>
      </c>
      <c r="G26" s="452">
        <f>IF(E26=0, "    ---- ", IF(ABS(ROUND(100/E26*F26-100,1))&lt;999,ROUND(100/E26*F26-100,1),IF(ROUND(100/E26*F26-100,1)&gt;999,999,-999)))</f>
        <v>-132.80000000000001</v>
      </c>
      <c r="H26" s="440">
        <v>-3.6789999999999998</v>
      </c>
      <c r="I26" s="441">
        <v>-9.1639999999999997</v>
      </c>
      <c r="J26" s="452">
        <f t="shared" si="2"/>
        <v>149.1</v>
      </c>
      <c r="K26" s="440"/>
      <c r="L26" s="441"/>
      <c r="M26" s="441"/>
      <c r="N26" s="440"/>
      <c r="O26" s="441"/>
      <c r="P26" s="452"/>
      <c r="Q26" s="440">
        <v>29.619991903306932</v>
      </c>
      <c r="R26" s="441">
        <v>26.901301124558636</v>
      </c>
      <c r="S26" s="452">
        <f t="shared" si="10"/>
        <v>-9.1999999999999993</v>
      </c>
      <c r="T26" s="440"/>
      <c r="U26" s="441"/>
      <c r="V26" s="452"/>
      <c r="W26" s="440"/>
      <c r="X26" s="441"/>
      <c r="Y26" s="452"/>
      <c r="Z26" s="440">
        <v>0.767756859999977</v>
      </c>
      <c r="AA26" s="441">
        <v>2.2522251800000248</v>
      </c>
      <c r="AB26" s="452">
        <f>IF(Z26=0, "    ---- ", IF(ABS(ROUND(100/Z26*AA26-100,1))&lt;999,ROUND(100/Z26*AA26-100,1),IF(ROUND(100/Z26*AA26-100,1)&gt;999,999,-999)))</f>
        <v>193.4</v>
      </c>
      <c r="AC26" s="441"/>
      <c r="AD26" s="441"/>
      <c r="AE26" s="441"/>
      <c r="AF26" s="441">
        <f t="shared" si="11"/>
        <v>-3.4979789166930151</v>
      </c>
      <c r="AG26" s="441">
        <f t="shared" si="11"/>
        <v>4.0442091735874044</v>
      </c>
      <c r="AH26" s="452">
        <f t="shared" si="13"/>
        <v>-215.6</v>
      </c>
      <c r="AI26" s="435">
        <f t="shared" si="12"/>
        <v>-3.4979789166930151</v>
      </c>
      <c r="AJ26" s="435">
        <f t="shared" si="12"/>
        <v>4.0442091735874044</v>
      </c>
      <c r="AK26" s="452">
        <f t="shared" si="14"/>
        <v>-215.6</v>
      </c>
      <c r="AL26" s="552"/>
      <c r="AM26" s="552"/>
      <c r="AN26" s="552"/>
      <c r="AO26" s="552"/>
    </row>
    <row r="27" spans="1:41" ht="18.75" customHeight="1" x14ac:dyDescent="0.35">
      <c r="A27" s="421" t="s">
        <v>308</v>
      </c>
      <c r="B27" s="700"/>
      <c r="C27" s="701"/>
      <c r="D27" s="452"/>
      <c r="E27" s="440"/>
      <c r="F27" s="441"/>
      <c r="G27" s="452"/>
      <c r="H27" s="440"/>
      <c r="I27" s="441"/>
      <c r="J27" s="452"/>
      <c r="K27" s="440"/>
      <c r="L27" s="441"/>
      <c r="M27" s="441"/>
      <c r="N27" s="440"/>
      <c r="O27" s="441"/>
      <c r="P27" s="452"/>
      <c r="Q27" s="440"/>
      <c r="R27" s="441"/>
      <c r="S27" s="452"/>
      <c r="T27" s="440"/>
      <c r="U27" s="441"/>
      <c r="V27" s="452"/>
      <c r="W27" s="440"/>
      <c r="X27" s="441"/>
      <c r="Y27" s="452"/>
      <c r="Z27" s="440"/>
      <c r="AA27" s="441"/>
      <c r="AB27" s="452"/>
      <c r="AC27" s="441"/>
      <c r="AD27" s="441"/>
      <c r="AE27" s="441"/>
      <c r="AF27" s="441">
        <f t="shared" si="11"/>
        <v>0</v>
      </c>
      <c r="AG27" s="441">
        <f t="shared" si="11"/>
        <v>0</v>
      </c>
      <c r="AH27" s="452" t="str">
        <f t="shared" si="13"/>
        <v xml:space="preserve">    ---- </v>
      </c>
      <c r="AI27" s="435">
        <f t="shared" si="12"/>
        <v>0</v>
      </c>
      <c r="AJ27" s="435">
        <f t="shared" si="12"/>
        <v>0</v>
      </c>
      <c r="AK27" s="452" t="str">
        <f t="shared" si="14"/>
        <v xml:space="preserve">    ---- </v>
      </c>
      <c r="AL27" s="552"/>
      <c r="AM27" s="552"/>
      <c r="AN27" s="552"/>
      <c r="AO27" s="552"/>
    </row>
    <row r="28" spans="1:41" ht="18.75" customHeight="1" x14ac:dyDescent="0.35">
      <c r="A28" s="421" t="s">
        <v>309</v>
      </c>
      <c r="B28" s="700"/>
      <c r="C28" s="701"/>
      <c r="D28" s="452"/>
      <c r="E28" s="440"/>
      <c r="F28" s="441"/>
      <c r="G28" s="452"/>
      <c r="H28" s="440"/>
      <c r="I28" s="441"/>
      <c r="J28" s="452"/>
      <c r="K28" s="440"/>
      <c r="L28" s="441"/>
      <c r="M28" s="441"/>
      <c r="N28" s="440"/>
      <c r="O28" s="441"/>
      <c r="P28" s="452"/>
      <c r="Q28" s="440"/>
      <c r="R28" s="441"/>
      <c r="S28" s="452"/>
      <c r="T28" s="440"/>
      <c r="U28" s="441"/>
      <c r="V28" s="452"/>
      <c r="W28" s="440"/>
      <c r="X28" s="441"/>
      <c r="Y28" s="452"/>
      <c r="Z28" s="440"/>
      <c r="AA28" s="441"/>
      <c r="AB28" s="452"/>
      <c r="AC28" s="441"/>
      <c r="AD28" s="441"/>
      <c r="AE28" s="441"/>
      <c r="AF28" s="441">
        <f t="shared" si="11"/>
        <v>0</v>
      </c>
      <c r="AG28" s="441">
        <f t="shared" si="11"/>
        <v>0</v>
      </c>
      <c r="AH28" s="452" t="str">
        <f t="shared" si="13"/>
        <v xml:space="preserve">    ---- </v>
      </c>
      <c r="AI28" s="435">
        <f t="shared" si="12"/>
        <v>0</v>
      </c>
      <c r="AJ28" s="435">
        <f t="shared" si="12"/>
        <v>0</v>
      </c>
      <c r="AK28" s="452" t="str">
        <f t="shared" si="14"/>
        <v xml:space="preserve">    ---- </v>
      </c>
      <c r="AL28" s="552"/>
      <c r="AM28" s="552"/>
      <c r="AN28" s="552"/>
      <c r="AO28" s="552"/>
    </row>
    <row r="29" spans="1:41" ht="18.75" customHeight="1" x14ac:dyDescent="0.35">
      <c r="A29" s="421" t="s">
        <v>310</v>
      </c>
      <c r="B29" s="700">
        <v>68.569999999999993</v>
      </c>
      <c r="C29" s="701">
        <v>224.05494846708598</v>
      </c>
      <c r="D29" s="452">
        <f>IF(B29=0, "    ---- ", IF(ABS(ROUND(100/B29*C29-100,1))&lt;999,ROUND(100/B29*C29-100,1),IF(ROUND(100/B29*C29-100,1)&gt;999,999,-999)))</f>
        <v>226.8</v>
      </c>
      <c r="E29" s="440">
        <v>-17.347246110000032</v>
      </c>
      <c r="F29" s="441">
        <v>-11.144736579999924</v>
      </c>
      <c r="G29" s="452">
        <f>IF(E29=0, "    ---- ", IF(ABS(ROUND(100/E29*F29-100,1))&lt;999,ROUND(100/E29*F29-100,1),IF(ROUND(100/E29*F29-100,1)&gt;999,999,-999)))</f>
        <v>-35.799999999999997</v>
      </c>
      <c r="H29" s="440">
        <v>39.222999999999999</v>
      </c>
      <c r="I29" s="441">
        <v>25.489000000000001</v>
      </c>
      <c r="J29" s="452">
        <f t="shared" si="2"/>
        <v>-35</v>
      </c>
      <c r="K29" s="440"/>
      <c r="L29" s="441"/>
      <c r="M29" s="452"/>
      <c r="N29" s="440"/>
      <c r="O29" s="441"/>
      <c r="P29" s="452"/>
      <c r="Q29" s="440">
        <v>61.999821020244703</v>
      </c>
      <c r="R29" s="441">
        <v>60.183994958187171</v>
      </c>
      <c r="S29" s="452">
        <f t="shared" si="10"/>
        <v>-2.9</v>
      </c>
      <c r="T29" s="440"/>
      <c r="U29" s="441"/>
      <c r="V29" s="452"/>
      <c r="W29" s="440"/>
      <c r="X29" s="441"/>
      <c r="Y29" s="452"/>
      <c r="Z29" s="440">
        <v>39.111516859999902</v>
      </c>
      <c r="AA29" s="441">
        <v>133.14925149000013</v>
      </c>
      <c r="AB29" s="452">
        <f>IF(Z29=0, "    ---- ", IF(ABS(ROUND(100/Z29*AA29-100,1))&lt;999,ROUND(100/Z29*AA29-100,1),IF(ROUND(100/Z29*AA29-100,1)&gt;999,999,-999)))</f>
        <v>240.4</v>
      </c>
      <c r="AC29" s="441"/>
      <c r="AD29" s="441"/>
      <c r="AE29" s="441"/>
      <c r="AF29" s="441">
        <f t="shared" si="11"/>
        <v>191.55709177024457</v>
      </c>
      <c r="AG29" s="441">
        <f t="shared" si="11"/>
        <v>431.73245833527335</v>
      </c>
      <c r="AH29" s="452">
        <f t="shared" si="13"/>
        <v>125.4</v>
      </c>
      <c r="AI29" s="435">
        <f t="shared" si="12"/>
        <v>191.55709177024457</v>
      </c>
      <c r="AJ29" s="435">
        <f t="shared" si="12"/>
        <v>431.73245833527335</v>
      </c>
      <c r="AK29" s="452">
        <f t="shared" si="14"/>
        <v>125.4</v>
      </c>
      <c r="AL29" s="552"/>
      <c r="AM29" s="552"/>
      <c r="AN29" s="552"/>
      <c r="AO29" s="552"/>
    </row>
    <row r="30" spans="1:41" ht="18.75" customHeight="1" x14ac:dyDescent="0.35">
      <c r="A30" s="421" t="s">
        <v>311</v>
      </c>
      <c r="B30" s="700"/>
      <c r="C30" s="701"/>
      <c r="D30" s="452"/>
      <c r="E30" s="440"/>
      <c r="F30" s="441"/>
      <c r="G30" s="452"/>
      <c r="H30" s="440"/>
      <c r="I30" s="441"/>
      <c r="J30" s="452"/>
      <c r="K30" s="440"/>
      <c r="L30" s="441"/>
      <c r="M30" s="441"/>
      <c r="N30" s="440"/>
      <c r="O30" s="441"/>
      <c r="P30" s="452"/>
      <c r="Q30" s="440"/>
      <c r="R30" s="441"/>
      <c r="S30" s="452"/>
      <c r="T30" s="440"/>
      <c r="U30" s="441"/>
      <c r="V30" s="452"/>
      <c r="W30" s="440"/>
      <c r="X30" s="441"/>
      <c r="Y30" s="452"/>
      <c r="Z30" s="440"/>
      <c r="AA30" s="441"/>
      <c r="AB30" s="452"/>
      <c r="AC30" s="441"/>
      <c r="AD30" s="441"/>
      <c r="AE30" s="441"/>
      <c r="AF30" s="441">
        <f t="shared" si="11"/>
        <v>0</v>
      </c>
      <c r="AG30" s="441">
        <f t="shared" si="11"/>
        <v>0</v>
      </c>
      <c r="AH30" s="452" t="str">
        <f t="shared" si="13"/>
        <v xml:space="preserve">    ---- </v>
      </c>
      <c r="AI30" s="435">
        <f t="shared" si="12"/>
        <v>0</v>
      </c>
      <c r="AJ30" s="435">
        <f t="shared" si="12"/>
        <v>0</v>
      </c>
      <c r="AK30" s="452" t="str">
        <f t="shared" si="14"/>
        <v xml:space="preserve">    ---- </v>
      </c>
      <c r="AL30" s="552"/>
      <c r="AM30" s="552"/>
      <c r="AN30" s="552"/>
      <c r="AO30" s="552"/>
    </row>
    <row r="31" spans="1:41" ht="18.75" customHeight="1" x14ac:dyDescent="0.35">
      <c r="A31" s="421" t="s">
        <v>312</v>
      </c>
      <c r="B31" s="700"/>
      <c r="C31" s="701"/>
      <c r="D31" s="452"/>
      <c r="E31" s="440"/>
      <c r="F31" s="441"/>
      <c r="G31" s="452"/>
      <c r="H31" s="440"/>
      <c r="I31" s="441"/>
      <c r="J31" s="452" t="str">
        <f t="shared" si="2"/>
        <v xml:space="preserve">    ---- </v>
      </c>
      <c r="K31" s="440"/>
      <c r="L31" s="441"/>
      <c r="M31" s="441"/>
      <c r="N31" s="440"/>
      <c r="O31" s="441"/>
      <c r="P31" s="452"/>
      <c r="Q31" s="440"/>
      <c r="R31" s="441"/>
      <c r="S31" s="452"/>
      <c r="T31" s="440"/>
      <c r="U31" s="441"/>
      <c r="V31" s="452"/>
      <c r="W31" s="440"/>
      <c r="X31" s="441"/>
      <c r="Y31" s="452"/>
      <c r="Z31" s="440"/>
      <c r="AA31" s="441"/>
      <c r="AB31" s="452"/>
      <c r="AC31" s="441"/>
      <c r="AD31" s="441"/>
      <c r="AE31" s="441"/>
      <c r="AF31" s="441">
        <f t="shared" si="11"/>
        <v>0</v>
      </c>
      <c r="AG31" s="441">
        <f t="shared" si="11"/>
        <v>0</v>
      </c>
      <c r="AH31" s="452" t="str">
        <f t="shared" si="13"/>
        <v xml:space="preserve">    ---- </v>
      </c>
      <c r="AI31" s="435">
        <f t="shared" si="12"/>
        <v>0</v>
      </c>
      <c r="AJ31" s="435">
        <f t="shared" si="12"/>
        <v>0</v>
      </c>
      <c r="AK31" s="452" t="str">
        <f t="shared" si="14"/>
        <v xml:space="preserve">    ---- </v>
      </c>
      <c r="AL31" s="552"/>
      <c r="AM31" s="552"/>
      <c r="AN31" s="552"/>
      <c r="AO31" s="552"/>
    </row>
    <row r="32" spans="1:41" s="568" customFormat="1" ht="18.75" customHeight="1" x14ac:dyDescent="0.3">
      <c r="A32" s="535" t="s">
        <v>313</v>
      </c>
      <c r="B32" s="702">
        <f>SUM(B24:B29)+B31</f>
        <v>105.46</v>
      </c>
      <c r="C32" s="703">
        <f>SUM(C24:C29)+C31</f>
        <v>285.98626217955677</v>
      </c>
      <c r="D32" s="453">
        <f>IF(B32=0, "    ---- ", IF(ABS(ROUND(100/B32*C32-100,1))&lt;999,ROUND(100/B32*C32-100,1),IF(ROUND(100/B32*C32-100,1)&gt;999,999,-999)))</f>
        <v>171.2</v>
      </c>
      <c r="E32" s="442">
        <f>SUM(E24:E29)+E31</f>
        <v>24.65710117000005</v>
      </c>
      <c r="F32" s="443">
        <f>SUM(F24:F29)+F31</f>
        <v>32.281248939999998</v>
      </c>
      <c r="G32" s="453">
        <f>IF(E32=0, "    ---- ", IF(ABS(ROUND(100/E32*F32-100,1))&lt;999,ROUND(100/E32*F32-100,1),IF(ROUND(100/E32*F32-100,1)&gt;999,999,-999)))</f>
        <v>30.9</v>
      </c>
      <c r="H32" s="442">
        <f>SUM(H24:H29)+H31</f>
        <v>44.18</v>
      </c>
      <c r="I32" s="443">
        <f>SUM(I24:I29)+I31</f>
        <v>28.416</v>
      </c>
      <c r="J32" s="453">
        <f t="shared" si="2"/>
        <v>-35.700000000000003</v>
      </c>
      <c r="K32" s="442"/>
      <c r="L32" s="443"/>
      <c r="M32" s="443"/>
      <c r="N32" s="442"/>
      <c r="O32" s="443"/>
      <c r="P32" s="453"/>
      <c r="Q32" s="442">
        <f>SUM(Q24:Q29)+Q31</f>
        <v>93.335443633953787</v>
      </c>
      <c r="R32" s="443">
        <f>SUM(R24:R29)+R31</f>
        <v>89.145975841155689</v>
      </c>
      <c r="S32" s="453">
        <f t="shared" si="10"/>
        <v>-4.5</v>
      </c>
      <c r="T32" s="442"/>
      <c r="U32" s="443"/>
      <c r="V32" s="453"/>
      <c r="W32" s="442"/>
      <c r="X32" s="443"/>
      <c r="Y32" s="453"/>
      <c r="Z32" s="442">
        <f>SUM(Z24:Z29)+Z31</f>
        <v>68.424537759999879</v>
      </c>
      <c r="AA32" s="443">
        <f>SUM(AA24:AA29)+AA31</f>
        <v>165.21185804000007</v>
      </c>
      <c r="AB32" s="453">
        <f>IF(Z32=0, "    ---- ", IF(ABS(ROUND(100/Z32*AA32-100,1))&lt;999,ROUND(100/Z32*AA32-100,1),IF(ROUND(100/Z32*AA32-100,1)&gt;999,999,-999)))</f>
        <v>141.5</v>
      </c>
      <c r="AC32" s="443"/>
      <c r="AD32" s="443"/>
      <c r="AE32" s="443"/>
      <c r="AF32" s="443">
        <f t="shared" si="11"/>
        <v>336.05708256395371</v>
      </c>
      <c r="AG32" s="443">
        <f t="shared" si="11"/>
        <v>601.04134500071257</v>
      </c>
      <c r="AH32" s="453">
        <f t="shared" si="13"/>
        <v>78.900000000000006</v>
      </c>
      <c r="AI32" s="433">
        <f t="shared" si="12"/>
        <v>336.05708256395371</v>
      </c>
      <c r="AJ32" s="433">
        <f t="shared" si="12"/>
        <v>601.04134500071257</v>
      </c>
      <c r="AK32" s="453">
        <f t="shared" si="14"/>
        <v>78.900000000000006</v>
      </c>
      <c r="AL32" s="555"/>
      <c r="AM32" s="555"/>
      <c r="AN32" s="555"/>
      <c r="AO32" s="555"/>
    </row>
    <row r="33" spans="1:41" ht="18.75" customHeight="1" x14ac:dyDescent="0.35">
      <c r="A33" s="421" t="s">
        <v>314</v>
      </c>
      <c r="B33" s="700"/>
      <c r="C33" s="701"/>
      <c r="D33" s="452"/>
      <c r="E33" s="440"/>
      <c r="F33" s="441"/>
      <c r="G33" s="452"/>
      <c r="H33" s="440"/>
      <c r="I33" s="441"/>
      <c r="J33" s="452"/>
      <c r="K33" s="440"/>
      <c r="L33" s="441"/>
      <c r="M33" s="441"/>
      <c r="N33" s="440"/>
      <c r="O33" s="441"/>
      <c r="P33" s="452"/>
      <c r="Q33" s="440"/>
      <c r="R33" s="441"/>
      <c r="S33" s="452"/>
      <c r="T33" s="440"/>
      <c r="U33" s="441"/>
      <c r="V33" s="452"/>
      <c r="W33" s="440"/>
      <c r="X33" s="441"/>
      <c r="Y33" s="452"/>
      <c r="Z33" s="440"/>
      <c r="AA33" s="441"/>
      <c r="AB33" s="452"/>
      <c r="AC33" s="441"/>
      <c r="AD33" s="441"/>
      <c r="AE33" s="441"/>
      <c r="AF33" s="441">
        <f t="shared" si="11"/>
        <v>0</v>
      </c>
      <c r="AG33" s="441">
        <f t="shared" si="11"/>
        <v>0</v>
      </c>
      <c r="AH33" s="452" t="str">
        <f t="shared" si="13"/>
        <v xml:space="preserve">    ---- </v>
      </c>
      <c r="AI33" s="435">
        <f t="shared" si="12"/>
        <v>0</v>
      </c>
      <c r="AJ33" s="435">
        <f t="shared" si="12"/>
        <v>0</v>
      </c>
      <c r="AK33" s="452" t="str">
        <f t="shared" si="14"/>
        <v xml:space="preserve">    ---- </v>
      </c>
      <c r="AL33" s="552"/>
      <c r="AM33" s="552"/>
      <c r="AN33" s="552"/>
      <c r="AO33" s="552"/>
    </row>
    <row r="34" spans="1:41" ht="18.75" customHeight="1" x14ac:dyDescent="0.35">
      <c r="A34" s="421" t="s">
        <v>315</v>
      </c>
      <c r="B34" s="700">
        <v>105.46</v>
      </c>
      <c r="C34" s="701">
        <v>285.98626217955677</v>
      </c>
      <c r="D34" s="452">
        <f>IF(B34=0, "    ---- ", IF(ABS(ROUND(100/B34*C34-100,1))&lt;999,ROUND(100/B34*C34-100,1),IF(ROUND(100/B34*C34-100,1)&gt;999,999,-999)))</f>
        <v>171.2</v>
      </c>
      <c r="E34" s="440">
        <v>24.65710117000005</v>
      </c>
      <c r="F34" s="441">
        <f>+F32</f>
        <v>32.281248939999998</v>
      </c>
      <c r="G34" s="452">
        <f>IF(E34=0, "    ---- ", IF(ABS(ROUND(100/E34*F34-100,1))&lt;999,ROUND(100/E34*F34-100,1),IF(ROUND(100/E34*F34-100,1)&gt;999,999,-999)))</f>
        <v>30.9</v>
      </c>
      <c r="H34" s="440">
        <v>44.18</v>
      </c>
      <c r="I34" s="441">
        <v>28.414999999999999</v>
      </c>
      <c r="J34" s="452">
        <f t="shared" si="2"/>
        <v>-35.700000000000003</v>
      </c>
      <c r="K34" s="440"/>
      <c r="L34" s="441"/>
      <c r="M34" s="441"/>
      <c r="N34" s="440"/>
      <c r="O34" s="441"/>
      <c r="P34" s="452"/>
      <c r="Q34" s="440">
        <v>93.335443633953787</v>
      </c>
      <c r="R34" s="441">
        <v>89.145975841155689</v>
      </c>
      <c r="S34" s="452">
        <f t="shared" si="10"/>
        <v>-4.5</v>
      </c>
      <c r="T34" s="440"/>
      <c r="U34" s="441"/>
      <c r="V34" s="452"/>
      <c r="W34" s="440"/>
      <c r="X34" s="441"/>
      <c r="Y34" s="452"/>
      <c r="Z34" s="440">
        <v>68.424537759999893</v>
      </c>
      <c r="AA34" s="441">
        <v>165.2118580400001</v>
      </c>
      <c r="AB34" s="452">
        <f>IF(Z34=0, "    ---- ", IF(ABS(ROUND(100/Z34*AA34-100,1))&lt;999,ROUND(100/Z34*AA34-100,1),IF(ROUND(100/Z34*AA34-100,1)&gt;999,999,-999)))</f>
        <v>141.5</v>
      </c>
      <c r="AC34" s="441"/>
      <c r="AD34" s="441"/>
      <c r="AE34" s="441"/>
      <c r="AF34" s="441">
        <f t="shared" si="11"/>
        <v>336.05708256395371</v>
      </c>
      <c r="AG34" s="441">
        <f t="shared" si="11"/>
        <v>601.04034500071259</v>
      </c>
      <c r="AH34" s="452">
        <f t="shared" si="13"/>
        <v>78.900000000000006</v>
      </c>
      <c r="AI34" s="435">
        <f t="shared" si="12"/>
        <v>336.05708256395371</v>
      </c>
      <c r="AJ34" s="435">
        <f t="shared" si="12"/>
        <v>601.04034500071259</v>
      </c>
      <c r="AK34" s="452">
        <f t="shared" si="14"/>
        <v>78.900000000000006</v>
      </c>
      <c r="AL34" s="552"/>
      <c r="AM34" s="552"/>
      <c r="AN34" s="552"/>
      <c r="AO34" s="552"/>
    </row>
    <row r="35" spans="1:41" ht="18.75" customHeight="1" x14ac:dyDescent="0.35">
      <c r="A35" s="423"/>
      <c r="B35" s="704"/>
      <c r="C35" s="707"/>
      <c r="D35" s="448"/>
      <c r="E35" s="444"/>
      <c r="F35" s="445"/>
      <c r="G35" s="448"/>
      <c r="H35" s="444"/>
      <c r="I35" s="445"/>
      <c r="J35" s="448"/>
      <c r="K35" s="444"/>
      <c r="L35" s="445"/>
      <c r="M35" s="445"/>
      <c r="N35" s="444"/>
      <c r="O35" s="445"/>
      <c r="P35" s="448"/>
      <c r="Q35" s="444"/>
      <c r="R35" s="445"/>
      <c r="S35" s="448"/>
      <c r="T35" s="444"/>
      <c r="U35" s="445"/>
      <c r="V35" s="448"/>
      <c r="W35" s="444"/>
      <c r="X35" s="445"/>
      <c r="Y35" s="448"/>
      <c r="Z35" s="444"/>
      <c r="AA35" s="445"/>
      <c r="AB35" s="448"/>
      <c r="AC35" s="445"/>
      <c r="AD35" s="445"/>
      <c r="AE35" s="445"/>
      <c r="AF35" s="445"/>
      <c r="AG35" s="445"/>
      <c r="AH35" s="448"/>
      <c r="AI35" s="445"/>
      <c r="AJ35" s="445"/>
      <c r="AK35" s="448"/>
      <c r="AL35" s="552"/>
      <c r="AM35" s="552"/>
      <c r="AN35" s="552"/>
      <c r="AO35" s="552"/>
    </row>
    <row r="36" spans="1:41" ht="18.75" customHeight="1" x14ac:dyDescent="0.35">
      <c r="A36" s="547"/>
      <c r="B36" s="440"/>
      <c r="C36" s="440"/>
      <c r="D36" s="452"/>
      <c r="E36" s="440"/>
      <c r="F36" s="440"/>
      <c r="G36" s="452"/>
      <c r="H36" s="440"/>
      <c r="I36" s="440"/>
      <c r="J36" s="452"/>
      <c r="K36" s="440"/>
      <c r="L36" s="440"/>
      <c r="M36" s="441"/>
      <c r="N36" s="441"/>
      <c r="O36" s="441"/>
      <c r="P36" s="452"/>
      <c r="Q36" s="440"/>
      <c r="R36" s="440"/>
      <c r="S36" s="452"/>
      <c r="T36" s="440"/>
      <c r="U36" s="440"/>
      <c r="V36" s="452"/>
      <c r="W36" s="440"/>
      <c r="X36" s="440"/>
      <c r="Y36" s="452"/>
      <c r="Z36" s="440"/>
      <c r="AA36" s="440"/>
      <c r="AB36" s="452"/>
      <c r="AC36" s="441"/>
      <c r="AD36" s="441"/>
      <c r="AE36" s="441"/>
      <c r="AF36" s="441"/>
      <c r="AG36" s="441"/>
      <c r="AH36" s="452"/>
      <c r="AI36" s="441"/>
      <c r="AJ36" s="441"/>
      <c r="AK36" s="452"/>
      <c r="AL36" s="552"/>
      <c r="AM36" s="552"/>
      <c r="AN36" s="552"/>
      <c r="AO36" s="552"/>
    </row>
    <row r="37" spans="1:41" ht="18.75" customHeight="1" x14ac:dyDescent="0.35">
      <c r="A37" s="535" t="s">
        <v>340</v>
      </c>
      <c r="B37" s="440"/>
      <c r="C37" s="440"/>
      <c r="D37" s="452"/>
      <c r="E37" s="440"/>
      <c r="F37" s="440"/>
      <c r="G37" s="452"/>
      <c r="H37" s="440"/>
      <c r="I37" s="440"/>
      <c r="J37" s="452"/>
      <c r="K37" s="440"/>
      <c r="L37" s="440"/>
      <c r="M37" s="441"/>
      <c r="N37" s="440"/>
      <c r="O37" s="440"/>
      <c r="P37" s="452"/>
      <c r="Q37" s="440"/>
      <c r="R37" s="440"/>
      <c r="S37" s="452"/>
      <c r="T37" s="440"/>
      <c r="U37" s="440"/>
      <c r="V37" s="452"/>
      <c r="W37" s="440"/>
      <c r="X37" s="440"/>
      <c r="Y37" s="452"/>
      <c r="Z37" s="440"/>
      <c r="AA37" s="440"/>
      <c r="AB37" s="452"/>
      <c r="AC37" s="441"/>
      <c r="AD37" s="441"/>
      <c r="AE37" s="441"/>
      <c r="AF37" s="441"/>
      <c r="AG37" s="441"/>
      <c r="AH37" s="452"/>
      <c r="AI37" s="441"/>
      <c r="AJ37" s="441"/>
      <c r="AK37" s="452"/>
      <c r="AL37" s="552"/>
      <c r="AM37" s="552"/>
      <c r="AN37" s="552"/>
      <c r="AO37" s="552"/>
    </row>
    <row r="38" spans="1:41" ht="18" x14ac:dyDescent="0.35">
      <c r="A38" s="750" t="s">
        <v>497</v>
      </c>
      <c r="B38" s="441">
        <f>'Tabell 5.1'!B12+'Tabell 5.1'!B24+'Tabell 5.1'!B36+'Tabell 5.1'!B48+'Tabell 5.1'!B62+'Tabell 5.1'!B74+'Tabell 5.1'!B86+'Tabell 5.1'!B98+'Tabell 5.2'!B12+'Tabell 5.2'!B24+'Tabell 5.2'!B48+'Tabell 5.2'!B60+'Tabell 5.2'!B72+B12+B24+'Tabell 5.2'!B84+'Tabell 5.2'!B108+'Tabell 5.2'!B134+'Tabell 5.2'!B36+'Tabell 5.2'!B96+'Tabell 5.2'!B122</f>
        <v>27248.658670000001</v>
      </c>
      <c r="C38" s="441">
        <f>'Tabell 5.1'!C12+'Tabell 5.1'!C24+'Tabell 5.1'!C36+'Tabell 5.1'!C48+'Tabell 5.1'!C62+'Tabell 5.1'!C74+'Tabell 5.1'!C86+'Tabell 5.1'!C98+'Tabell 5.2'!C12+'Tabell 5.2'!C24+'Tabell 5.2'!C48+'Tabell 5.2'!C60+'Tabell 5.2'!C72+C12+C24+'Tabell 5.2'!C84+'Tabell 5.2'!C108+'Tabell 5.2'!C134+'Tabell 5.2'!C36+'Tabell 5.2'!C96+'Tabell 5.2'!C122</f>
        <v>31942.469545302258</v>
      </c>
      <c r="D38" s="452">
        <f t="shared" ref="D38:D48" si="15">IF(B38=0, "    ---- ", IF(ABS(ROUND(100/B38*C38-100,1))&lt;999,ROUND(100/B38*C38-100,1),IF(ROUND(100/B38*C38-100,1)&gt;999,999,-999)))</f>
        <v>17.2</v>
      </c>
      <c r="E38" s="441">
        <f>'Tabell 5.1'!E12+'Tabell 5.1'!E24+'Tabell 5.1'!E36+'Tabell 5.1'!E48+'Tabell 5.1'!E62+'Tabell 5.1'!E74+'Tabell 5.1'!E86+'Tabell 5.1'!E98+'Tabell 5.2'!E12+'Tabell 5.2'!E24+'Tabell 5.2'!E48+'Tabell 5.2'!E60+'Tabell 5.2'!E72+E12+E24+'Tabell 5.2'!E84+'Tabell 5.2'!E108+'Tabell 5.2'!E134+'Tabell 5.2'!E36+'Tabell 5.2'!E96+'Tabell 5.2'!E122</f>
        <v>282.05706376000001</v>
      </c>
      <c r="F38" s="441">
        <f>'Tabell 5.1'!F12+'Tabell 5.1'!F24+'Tabell 5.1'!F36+'Tabell 5.1'!F48+'Tabell 5.1'!F62+'Tabell 5.1'!F74+'Tabell 5.1'!F86+'Tabell 5.1'!F98+'Tabell 5.2'!F12+'Tabell 5.2'!F24+'Tabell 5.2'!F48+'Tabell 5.2'!F60+'Tabell 5.2'!F72+F12+F24+'Tabell 5.2'!F84+'Tabell 5.2'!F108+'Tabell 5.2'!F134+'Tabell 5.2'!F36+'Tabell 5.2'!F96+'Tabell 5.2'!F122</f>
        <v>249.05538808000003</v>
      </c>
      <c r="G38" s="441">
        <f t="shared" ref="G38:G48" si="16">IF(E38=0, "    ---- ", IF(ABS(ROUND(100/E38*F38-100,1))&lt;999,ROUND(100/E38*F38-100,1),IF(ROUND(100/E38*F38-100,1)&gt;999,999,-999)))</f>
        <v>-11.7</v>
      </c>
      <c r="H38" s="441">
        <f>'Tabell 5.1'!H12+'Tabell 5.1'!H24+'Tabell 5.1'!H36+'Tabell 5.1'!H48+'Tabell 5.1'!H62+'Tabell 5.1'!H74+'Tabell 5.1'!H86+'Tabell 5.1'!H98+'Tabell 5.2'!H12+'Tabell 5.2'!H24+'Tabell 5.2'!H48+'Tabell 5.2'!H60+'Tabell 5.2'!H72+H12+H24+'Tabell 5.2'!H84+'Tabell 5.2'!H108+'Tabell 5.2'!H134+'Tabell 5.2'!H36+'Tabell 5.2'!H96+'Tabell 5.2'!H122</f>
        <v>76.713999999999999</v>
      </c>
      <c r="I38" s="441">
        <f>'Tabell 5.1'!I12+'Tabell 5.1'!I24+'Tabell 5.1'!I36+'Tabell 5.1'!I48+'Tabell 5.1'!I62+'Tabell 5.1'!I74+'Tabell 5.1'!I86+'Tabell 5.1'!I98+'Tabell 5.2'!I12+'Tabell 5.2'!I24+'Tabell 5.2'!I48+'Tabell 5.2'!I60+'Tabell 5.2'!I72+I12+I24+'Tabell 5.2'!I84+'Tabell 5.2'!I108+'Tabell 5.2'!I134+'Tabell 5.2'!I36+'Tabell 5.2'!I96+'Tabell 5.2'!I122</f>
        <v>96.371999999999986</v>
      </c>
      <c r="J38" s="441">
        <f t="shared" ref="J38:J48" si="17">IF(H38=0, "    ---- ", IF(ABS(ROUND(100/H38*I38-100,1))&lt;999,ROUND(100/H38*I38-100,1),IF(ROUND(100/H38*I38-100,1)&gt;999,999,-999)))</f>
        <v>25.6</v>
      </c>
      <c r="K38" s="441">
        <f>'Tabell 5.1'!K12+'Tabell 5.1'!K24+'Tabell 5.1'!K36+'Tabell 5.1'!K48+'Tabell 5.1'!K62+'Tabell 5.1'!K74+'Tabell 5.1'!K86+'Tabell 5.1'!K98+'Tabell 5.2'!K12+'Tabell 5.2'!K24+'Tabell 5.2'!K48+'Tabell 5.2'!K60+'Tabell 5.2'!K72+K12+K24+'Tabell 5.2'!K84+'Tabell 5.2'!K108+'Tabell 5.2'!K134+'Tabell 5.2'!K36+'Tabell 5.2'!K96+'Tabell 5.2'!K122</f>
        <v>117</v>
      </c>
      <c r="L38" s="441">
        <f>'Tabell 5.1'!L12+'Tabell 5.1'!L24+'Tabell 5.1'!L36+'Tabell 5.1'!L48+'Tabell 5.1'!L62+'Tabell 5.1'!L74+'Tabell 5.1'!L86+'Tabell 5.1'!L98+'Tabell 5.2'!L12+'Tabell 5.2'!L24+'Tabell 5.2'!L48+'Tabell 5.2'!L60+'Tabell 5.2'!L72+L12+L24+'Tabell 5.2'!L84+'Tabell 5.2'!L108+'Tabell 5.2'!L134+'Tabell 5.2'!L36+'Tabell 5.2'!L96+'Tabell 5.2'!L122</f>
        <v>156</v>
      </c>
      <c r="M38" s="452">
        <f t="shared" ref="M38:M48" si="18">IF(K38=0, "    ---- ", IF(ABS(ROUND(100/K38*L38-100,1))&lt;999,ROUND(100/K38*L38-100,1),IF(ROUND(100/K38*L38-100,1)&gt;999,999,-999)))</f>
        <v>33.299999999999997</v>
      </c>
      <c r="N38" s="441">
        <f>'Tabell 5.1'!N12+'Tabell 5.1'!N24+'Tabell 5.1'!N36+'Tabell 5.1'!N48+'Tabell 5.1'!N62+'Tabell 5.1'!N74+'Tabell 5.1'!N86+'Tabell 5.1'!N98+'Tabell 5.2'!N12+'Tabell 5.2'!N24+'Tabell 5.2'!N48+'Tabell 5.2'!N60+'Tabell 5.2'!N72+N12+N24+'Tabell 5.2'!N84+'Tabell 5.2'!N108+'Tabell 5.2'!N134+'Tabell 5.2'!N36+'Tabell 5.2'!N96+'Tabell 5.2'!N122</f>
        <v>51090.194876898255</v>
      </c>
      <c r="O38" s="441">
        <f>'Tabell 5.1'!O12+'Tabell 5.1'!O24+'Tabell 5.1'!O36+'Tabell 5.1'!O48+'Tabell 5.1'!O62+'Tabell 5.1'!O74+'Tabell 5.1'!O86+'Tabell 5.1'!O98+'Tabell 5.2'!O12+'Tabell 5.2'!O24+'Tabell 5.2'!O48+'Tabell 5.2'!O60+'Tabell 5.2'!O72+O12+O24+'Tabell 5.2'!O84+'Tabell 5.2'!O108+'Tabell 5.2'!O134+'Tabell 5.2'!O36+'Tabell 5.2'!O96+'Tabell 5.2'!O122</f>
        <v>48070.224044999995</v>
      </c>
      <c r="P38" s="452">
        <f t="shared" ref="P38:P48" si="19">IF(N38=0, "    ---- ", IF(ABS(ROUND(100/N38*O38-100,1))&lt;999,ROUND(100/N38*O38-100,1),IF(ROUND(100/N38*O38-100,1)&gt;999,999,-999)))</f>
        <v>-5.9</v>
      </c>
      <c r="Q38" s="441">
        <f>'Tabell 5.1'!Q12+'Tabell 5.1'!Q24+'Tabell 5.1'!Q36+'Tabell 5.1'!Q48+'Tabell 5.1'!Q62+'Tabell 5.1'!Q74+'Tabell 5.1'!Q86+'Tabell 5.1'!Q98+'Tabell 5.2'!Q12+'Tabell 5.2'!Q24+'Tabell 5.2'!Q48+'Tabell 5.2'!Q60+'Tabell 5.2'!Q72+Q12+Q24+'Tabell 5.2'!Q84+'Tabell 5.2'!Q108+'Tabell 5.2'!Q134+'Tabell 5.2'!Q36+'Tabell 5.2'!Q96+'Tabell 5.2'!Q122</f>
        <v>948.38982113812085</v>
      </c>
      <c r="R38" s="441">
        <f>'Tabell 5.1'!R12+'Tabell 5.1'!R24+'Tabell 5.1'!R36+'Tabell 5.1'!R48+'Tabell 5.1'!R62+'Tabell 5.1'!R74+'Tabell 5.1'!R86+'Tabell 5.1'!R98+'Tabell 5.2'!R12+'Tabell 5.2'!R24+'Tabell 5.2'!R48+'Tabell 5.2'!R60+'Tabell 5.2'!R72+R12+R24+'Tabell 5.2'!R84+'Tabell 5.2'!R108+'Tabell 5.2'!R134+'Tabell 5.2'!R36+'Tabell 5.2'!R96+'Tabell 5.2'!R122</f>
        <v>1790.8091507644483</v>
      </c>
      <c r="S38" s="452">
        <f t="shared" ref="S38:S48" si="20">IF(Q38=0, "    ---- ", IF(ABS(ROUND(100/Q38*R38-100,1))&lt;999,ROUND(100/Q38*R38-100,1),IF(ROUND(100/Q38*R38-100,1)&gt;999,999,-999)))</f>
        <v>88.8</v>
      </c>
      <c r="T38" s="441">
        <f>'Tabell 5.1'!T12+'Tabell 5.1'!T24+'Tabell 5.1'!T36+'Tabell 5.1'!T48+'Tabell 5.1'!T62+'Tabell 5.1'!T74+'Tabell 5.1'!T86+'Tabell 5.1'!T98+'Tabell 5.2'!T12+'Tabell 5.2'!T24+'Tabell 5.2'!T48+'Tabell 5.2'!T60+'Tabell 5.2'!T72+T12+T24+'Tabell 5.2'!T84+'Tabell 5.2'!T108+'Tabell 5.2'!T134+'Tabell 5.2'!T36+'Tabell 5.2'!T96+'Tabell 5.2'!T122</f>
        <v>899</v>
      </c>
      <c r="U38" s="441">
        <f>'Tabell 5.1'!U12+'Tabell 5.1'!U24+'Tabell 5.1'!U36+'Tabell 5.1'!U48+'Tabell 5.1'!U62+'Tabell 5.1'!U74+'Tabell 5.1'!U86+'Tabell 5.1'!U98+'Tabell 5.2'!U12+'Tabell 5.2'!U24+'Tabell 5.2'!U48+'Tabell 5.2'!U60+'Tabell 5.2'!U72+U12+U24+'Tabell 5.2'!U84+'Tabell 5.2'!U108+'Tabell 5.2'!U134+'Tabell 5.2'!U36+'Tabell 5.2'!U96+'Tabell 5.2'!U122</f>
        <v>1012</v>
      </c>
      <c r="V38" s="441">
        <f t="shared" ref="V38:V48" si="21">IF(T38=0, "    ---- ", IF(ABS(ROUND(100/T38*U38-100,1))&lt;999,ROUND(100/T38*U38-100,1),IF(ROUND(100/T38*U38-100,1)&gt;999,999,-999)))</f>
        <v>12.6</v>
      </c>
      <c r="W38" s="441">
        <f>'Tabell 5.1'!W12+'Tabell 5.1'!W24+'Tabell 5.1'!W36+'Tabell 5.1'!W48+'Tabell 5.1'!W62+'Tabell 5.1'!W74+'Tabell 5.1'!W86+'Tabell 5.1'!W98+'Tabell 5.2'!W12+'Tabell 5.2'!W24+'Tabell 5.2'!W48+'Tabell 5.2'!W60+'Tabell 5.2'!W72+W12+W24+'Tabell 5.2'!W84+'Tabell 5.2'!W108+'Tabell 5.2'!W134+'Tabell 5.2'!W36+'Tabell 5.2'!W96+'Tabell 5.2'!W122</f>
        <v>802</v>
      </c>
      <c r="X38" s="441">
        <f>'Tabell 5.1'!X12+'Tabell 5.1'!X24+'Tabell 5.1'!X36+'Tabell 5.1'!X48+'Tabell 5.1'!X62+'Tabell 5.1'!X74+'Tabell 5.1'!X86+'Tabell 5.1'!X98+'Tabell 5.2'!X12+'Tabell 5.2'!X24+'Tabell 5.2'!X48+'Tabell 5.2'!X60+'Tabell 5.2'!X72+X12+X24+'Tabell 5.2'!X84+'Tabell 5.2'!X108+'Tabell 5.2'!X134+'Tabell 5.2'!X36+'Tabell 5.2'!X96+'Tabell 5.2'!X122</f>
        <v>1046</v>
      </c>
      <c r="Y38" s="452">
        <f t="shared" ref="Y38:Y48" si="22">IF(W38=0, "    ---- ", IF(ABS(ROUND(100/W38*X38-100,1))&lt;999,ROUND(100/W38*X38-100,1),IF(ROUND(100/W38*X38-100,1)&gt;999,999,-999)))</f>
        <v>30.4</v>
      </c>
      <c r="Z38" s="441">
        <f>'Tabell 5.1'!Z12+'Tabell 5.1'!Z24+'Tabell 5.1'!Z36+'Tabell 5.1'!Z48+'Tabell 5.1'!Z62+'Tabell 5.1'!Z74+'Tabell 5.1'!Z86+'Tabell 5.1'!Z98+'Tabell 5.2'!Z12+'Tabell 5.2'!Z24+'Tabell 5.2'!Z48+'Tabell 5.2'!Z60+'Tabell 5.2'!Z72+Z12+Z24+'Tabell 5.2'!Z84+'Tabell 5.2'!Z108+'Tabell 5.2'!Z134+'Tabell 5.2'!Z36+'Tabell 5.2'!Z96+'Tabell 5.2'!Z122</f>
        <v>4689.9756847200133</v>
      </c>
      <c r="AA38" s="441">
        <f>'Tabell 5.1'!AA12+'Tabell 5.1'!AA24+'Tabell 5.1'!AA36+'Tabell 5.1'!AA48+'Tabell 5.1'!AA62+'Tabell 5.1'!AA74+'Tabell 5.1'!AA86+'Tabell 5.1'!AA98+'Tabell 5.2'!AA12+'Tabell 5.2'!AA24+'Tabell 5.2'!AA48+'Tabell 5.2'!AA60+'Tabell 5.2'!AA72+AA12+AA24+'Tabell 5.2'!AA84+'Tabell 5.2'!AA108+'Tabell 5.2'!AA134+'Tabell 5.2'!AA36+'Tabell 5.2'!AA96+'Tabell 5.2'!AA122</f>
        <v>5886.3993063299995</v>
      </c>
      <c r="AB38" s="441">
        <f t="shared" ref="AB38:AB48" si="23">IF(Z38=0, "    ---- ", IF(ABS(ROUND(100/Z38*AA38-100,1))&lt;999,ROUND(100/Z38*AA38-100,1),IF(ROUND(100/Z38*AA38-100,1)&gt;999,999,-999)))</f>
        <v>25.5</v>
      </c>
      <c r="AC38" s="441">
        <f>'Tabell 5.1'!AC12+'Tabell 5.1'!AC24+'Tabell 5.1'!AC36+'Tabell 5.1'!AC48+'Tabell 5.1'!AC62+'Tabell 5.1'!AC74+'Tabell 5.1'!AC86+'Tabell 5.1'!AC98+'Tabell 5.2'!AC12+'Tabell 5.2'!AC24+'Tabell 5.2'!AC48+'Tabell 5.2'!AC60+'Tabell 5.2'!AC72+AC12+AC24+'Tabell 5.2'!AC84+'Tabell 5.2'!AC108+'Tabell 5.2'!AC134+'Tabell 5.2'!AC36+'Tabell 5.2'!AC96+'Tabell 5.2'!AC122</f>
        <v>0</v>
      </c>
      <c r="AD38" s="441">
        <f>'Tabell 5.1'!AD12+'Tabell 5.1'!AD24+'Tabell 5.1'!AD36+'Tabell 5.1'!AD48+'Tabell 5.1'!AD62+'Tabell 5.1'!AD74+'Tabell 5.1'!AD86+'Tabell 5.1'!AD98+'Tabell 5.2'!AD12+'Tabell 5.2'!AD24+'Tabell 5.2'!AD48+'Tabell 5.2'!AD60+'Tabell 5.2'!AD72+AD12+AD24+'Tabell 5.2'!AD84+'Tabell 5.2'!AD108+'Tabell 5.2'!AD134+'Tabell 5.2'!AD36+'Tabell 5.2'!AD96+'Tabell 5.2'!AD122</f>
        <v>0</v>
      </c>
      <c r="AE38" s="441" t="str">
        <f t="shared" ref="AE38:AE48" si="24">IF(AC38=0, "    ---- ", IF(ABS(ROUND(100/AC38*AD38-100,1))&lt;999,ROUND(100/AC38*AD38-100,1),IF(ROUND(100/AC38*AD38-100,1)&gt;999,999,-999)))</f>
        <v xml:space="preserve">    ---- </v>
      </c>
      <c r="AF38" s="441">
        <f>B38+E38+H38+K38+N38+Q38+T38+W38+Z38</f>
        <v>86153.99011651639</v>
      </c>
      <c r="AG38" s="441">
        <f t="shared" ref="AF38:AG48" si="25">C38+F38+I38+L38+O38+R38+U38+X38+AA38</f>
        <v>90249.329435476699</v>
      </c>
      <c r="AH38" s="452">
        <f t="shared" ref="AH38:AH48" si="26">IF(AF38=0, "    ---- ", IF(ABS(ROUND(100/AF38*AG38-100,1))&lt;999,ROUND(100/AF38*AG38-100,1),IF(ROUND(100/AF38*AG38-100,1)&gt;999,999,-999)))</f>
        <v>4.8</v>
      </c>
      <c r="AI38" s="441">
        <f>B38+E38+H38+K38+N38+Q38+T38+W38+Z38+AC38</f>
        <v>86153.99011651639</v>
      </c>
      <c r="AJ38" s="441">
        <f>C38+F38+I38+L38+O38+R38+U38+X38+AA38+AD38</f>
        <v>90249.329435476699</v>
      </c>
      <c r="AK38" s="452">
        <f>IF(AI38=0, "    ---- ", IF(ABS(ROUND(100/AI38*AJ38-100,1))&lt;999,ROUND(100/AI38*AJ38-100,1),IF(ROUND(100/AI38*AJ38-100,1)&gt;999,999,-999)))</f>
        <v>4.8</v>
      </c>
      <c r="AL38" s="583"/>
      <c r="AM38" s="552"/>
      <c r="AN38" s="552"/>
      <c r="AO38" s="552"/>
    </row>
    <row r="39" spans="1:41" ht="18.75" customHeight="1" x14ac:dyDescent="0.35">
      <c r="A39" s="421" t="s">
        <v>498</v>
      </c>
      <c r="B39" s="441">
        <f>'Tabell 5.1'!B13+'Tabell 5.1'!B25+'Tabell 5.1'!B37+'Tabell 5.1'!B49+'Tabell 5.1'!B63+'Tabell 5.1'!B75+'Tabell 5.1'!B87+'Tabell 5.1'!B99+'Tabell 5.2'!B13+'Tabell 5.2'!B25+'Tabell 5.2'!B49+'Tabell 5.2'!B61+'Tabell 5.2'!B73+B13+B25+'Tabell 5.2'!B85+'Tabell 5.2'!B109+'Tabell 5.2'!B135+'Tabell 5.2'!B37+'Tabell 5.2'!B97+'Tabell 5.2'!B123</f>
        <v>-1837.107</v>
      </c>
      <c r="C39" s="441">
        <f>'Tabell 5.1'!C13+'Tabell 5.1'!C25+'Tabell 5.1'!C37+'Tabell 5.1'!C49+'Tabell 5.1'!C63+'Tabell 5.1'!C75+'Tabell 5.1'!C87+'Tabell 5.1'!C99+'Tabell 5.2'!C13+'Tabell 5.2'!C25+'Tabell 5.2'!C49+'Tabell 5.2'!C61+'Tabell 5.2'!C73+C13+C25+'Tabell 5.2'!C85+'Tabell 5.2'!C109+'Tabell 5.2'!C135+'Tabell 5.2'!C37+'Tabell 5.2'!C97+'Tabell 5.2'!C123</f>
        <v>-1728.4989600000001</v>
      </c>
      <c r="D39" s="452">
        <f t="shared" si="15"/>
        <v>-5.9</v>
      </c>
      <c r="E39" s="441"/>
      <c r="F39" s="441"/>
      <c r="G39" s="452"/>
      <c r="H39" s="441"/>
      <c r="I39" s="441"/>
      <c r="J39" s="452"/>
      <c r="K39" s="441"/>
      <c r="L39" s="441"/>
      <c r="M39" s="452"/>
      <c r="N39" s="441"/>
      <c r="O39" s="441"/>
      <c r="P39" s="452"/>
      <c r="Q39" s="441">
        <f>'Tabell 5.1'!Q13+'Tabell 5.1'!Q25+'Tabell 5.1'!Q37+'Tabell 5.1'!Q49+'Tabell 5.1'!Q63+'Tabell 5.1'!Q75+'Tabell 5.1'!Q87+'Tabell 5.1'!Q99+'Tabell 5.2'!Q13+'Tabell 5.2'!Q25+'Tabell 5.2'!Q49+'Tabell 5.2'!Q61+'Tabell 5.2'!Q73+Q13+Q25+'Tabell 5.2'!Q85+'Tabell 5.2'!Q109+'Tabell 5.2'!Q135+'Tabell 5.2'!Q37+'Tabell 5.2'!Q97+'Tabell 5.2'!Q123</f>
        <v>-342.95208249457664</v>
      </c>
      <c r="R39" s="441">
        <f>'Tabell 5.1'!R13+'Tabell 5.1'!R25+'Tabell 5.1'!R37+'Tabell 5.1'!R49+'Tabell 5.1'!R63+'Tabell 5.1'!R75+'Tabell 5.1'!R87+'Tabell 5.1'!R99+'Tabell 5.2'!R13+'Tabell 5.2'!R25+'Tabell 5.2'!R49+'Tabell 5.2'!R61+'Tabell 5.2'!R73+R13+R25+'Tabell 5.2'!R85+'Tabell 5.2'!R109+'Tabell 5.2'!R135+'Tabell 5.2'!R37+'Tabell 5.2'!R97+'Tabell 5.2'!R123</f>
        <v>-513.40262642617449</v>
      </c>
      <c r="S39" s="452">
        <f t="shared" si="20"/>
        <v>49.7</v>
      </c>
      <c r="T39" s="441"/>
      <c r="U39" s="441"/>
      <c r="V39" s="452"/>
      <c r="W39" s="441">
        <f>'Tabell 5.1'!W13+'Tabell 5.1'!W25+'Tabell 5.1'!W37+'Tabell 5.1'!W49+'Tabell 5.1'!W63+'Tabell 5.1'!W75+'Tabell 5.1'!W87+'Tabell 5.1'!W99+'Tabell 5.2'!W13+'Tabell 5.2'!W25+'Tabell 5.2'!W49+'Tabell 5.2'!W61+'Tabell 5.2'!W73+W13+W25+'Tabell 5.2'!W85+'Tabell 5.2'!W109+'Tabell 5.2'!W135+'Tabell 5.2'!W37+'Tabell 5.2'!W97+'Tabell 5.2'!W123</f>
        <v>-410</v>
      </c>
      <c r="X39" s="441">
        <f>'Tabell 5.1'!X13+'Tabell 5.1'!X25+'Tabell 5.1'!X37+'Tabell 5.1'!X49+'Tabell 5.1'!X63+'Tabell 5.1'!X75+'Tabell 5.1'!X87+'Tabell 5.1'!X99+'Tabell 5.2'!X13+'Tabell 5.2'!X25+'Tabell 5.2'!X49+'Tabell 5.2'!X61+'Tabell 5.2'!X73+X13+X25+'Tabell 5.2'!X85+'Tabell 5.2'!X109+'Tabell 5.2'!X135+'Tabell 5.2'!X37+'Tabell 5.2'!X97+'Tabell 5.2'!X123</f>
        <v>-401</v>
      </c>
      <c r="Y39" s="452">
        <f t="shared" si="22"/>
        <v>-2.2000000000000002</v>
      </c>
      <c r="Z39" s="441">
        <f>'Tabell 5.1'!Z13+'Tabell 5.1'!Z25+'Tabell 5.1'!Z37+'Tabell 5.1'!Z49+'Tabell 5.1'!Z63+'Tabell 5.1'!Z75+'Tabell 5.1'!Z87+'Tabell 5.1'!Z99+'Tabell 5.2'!Z13+'Tabell 5.2'!Z25+'Tabell 5.2'!Z49+'Tabell 5.2'!Z61+'Tabell 5.2'!Z73+Z13+Z25+'Tabell 5.2'!Z85+'Tabell 5.2'!Z109+'Tabell 5.2'!Z135+'Tabell 5.2'!Z37+'Tabell 5.2'!Z97+'Tabell 5.2'!Z123</f>
        <v>-2908.3144570000004</v>
      </c>
      <c r="AA39" s="441">
        <f>'Tabell 5.1'!AA13+'Tabell 5.1'!AA25+'Tabell 5.1'!AA37+'Tabell 5.1'!AA49+'Tabell 5.1'!AA63+'Tabell 5.1'!AA75+'Tabell 5.1'!AA87+'Tabell 5.1'!AA99+'Tabell 5.2'!AA13+'Tabell 5.2'!AA25+'Tabell 5.2'!AA49+'Tabell 5.2'!AA61+'Tabell 5.2'!AA73+AA13+AA25+'Tabell 5.2'!AA85+'Tabell 5.2'!AA109+'Tabell 5.2'!AA135+'Tabell 5.2'!AA37+'Tabell 5.2'!AA97+'Tabell 5.2'!AA123</f>
        <v>-2273.5356359999996</v>
      </c>
      <c r="AB39" s="452">
        <f t="shared" si="23"/>
        <v>-21.8</v>
      </c>
      <c r="AC39" s="441">
        <f>'Tabell 5.1'!AC13+'Tabell 5.1'!AC25+'Tabell 5.1'!AC37+'Tabell 5.1'!AC49+'Tabell 5.1'!AC63+'Tabell 5.1'!AC75+'Tabell 5.1'!AC87+'Tabell 5.1'!AC99+'Tabell 5.2'!AC13+'Tabell 5.2'!AC25+'Tabell 5.2'!AC49+'Tabell 5.2'!AC61+'Tabell 5.2'!AC73+AC13+AC25+'Tabell 5.2'!AC85+'Tabell 5.2'!AC109+'Tabell 5.2'!AC135+'Tabell 5.2'!AC37+'Tabell 5.2'!AC97+'Tabell 5.2'!AC123</f>
        <v>0</v>
      </c>
      <c r="AD39" s="441">
        <f>'Tabell 5.1'!AD13+'Tabell 5.1'!AD25+'Tabell 5.1'!AD37+'Tabell 5.1'!AD49+'Tabell 5.1'!AD63+'Tabell 5.1'!AD75+'Tabell 5.1'!AD87+'Tabell 5.1'!AD99+'Tabell 5.2'!AD13+'Tabell 5.2'!AD25+'Tabell 5.2'!AD49+'Tabell 5.2'!AD61+'Tabell 5.2'!AD73+AD13+AD25+'Tabell 5.2'!AD85+'Tabell 5.2'!AD109+'Tabell 5.2'!AD135+'Tabell 5.2'!AD37+'Tabell 5.2'!AD97+'Tabell 5.2'!AD123</f>
        <v>0</v>
      </c>
      <c r="AE39" s="452" t="str">
        <f t="shared" si="24"/>
        <v xml:space="preserve">    ---- </v>
      </c>
      <c r="AF39" s="441">
        <f t="shared" si="25"/>
        <v>-5498.373539494577</v>
      </c>
      <c r="AG39" s="441">
        <f t="shared" si="25"/>
        <v>-4916.4372224261742</v>
      </c>
      <c r="AH39" s="452">
        <f t="shared" si="26"/>
        <v>-10.6</v>
      </c>
      <c r="AI39" s="441">
        <f t="shared" ref="AI39:AI48" si="27">B39+E39+H39+K39+N39+Q39+T39+W39+Z39+AC39</f>
        <v>-5498.373539494577</v>
      </c>
      <c r="AJ39" s="441">
        <f t="shared" ref="AJ39:AJ48" si="28">C39+F39+I39+L39+O39+R39+U39+X39+AA39+AD39</f>
        <v>-4916.4372224261742</v>
      </c>
      <c r="AK39" s="452">
        <f t="shared" ref="AK39" si="29">IF(AI39=0, "    ---- ", IF(ABS(ROUND(100/AI39*AJ39-100,1))&lt;999,ROUND(100/AI39*AJ39-100,1),IF(ROUND(100/AI39*AJ39-100,1)&gt;999,999,-999)))</f>
        <v>-10.6</v>
      </c>
      <c r="AL39" s="583"/>
      <c r="AM39" s="552"/>
      <c r="AN39" s="552"/>
      <c r="AO39" s="552"/>
    </row>
    <row r="40" spans="1:41" ht="18.75" customHeight="1" x14ac:dyDescent="0.35">
      <c r="A40" s="421" t="s">
        <v>307</v>
      </c>
      <c r="B40" s="441">
        <f>'Tabell 5.1'!B14+'Tabell 5.1'!B26+'Tabell 5.1'!B38+'Tabell 5.1'!B50+'Tabell 5.1'!B64+'Tabell 5.1'!B76+'Tabell 5.1'!B88+'Tabell 5.1'!B100+'Tabell 5.2'!B14+'Tabell 5.2'!B26+'Tabell 5.2'!B50+'Tabell 5.2'!B62+'Tabell 5.2'!B74+B14+B26+'Tabell 5.2'!B86+'Tabell 5.2'!B110+'Tabell 5.2'!B136+'Tabell 5.2'!B38+'Tabell 5.2'!B98+'Tabell 5.2'!B124</f>
        <v>547.80251999999996</v>
      </c>
      <c r="C40" s="441">
        <f>'Tabell 5.1'!C14+'Tabell 5.1'!C26+'Tabell 5.1'!C38+'Tabell 5.1'!C50+'Tabell 5.1'!C64+'Tabell 5.1'!C76+'Tabell 5.1'!C88+'Tabell 5.1'!C100+'Tabell 5.2'!C14+'Tabell 5.2'!C26+'Tabell 5.2'!C50+'Tabell 5.2'!C62+'Tabell 5.2'!C74+C14+C26+'Tabell 5.2'!C86+'Tabell 5.2'!C110+'Tabell 5.2'!C136+'Tabell 5.2'!C38+'Tabell 5.2'!C98+'Tabell 5.2'!C124</f>
        <v>652.18657653106402</v>
      </c>
      <c r="D40" s="452">
        <f t="shared" si="15"/>
        <v>19.100000000000001</v>
      </c>
      <c r="E40" s="441">
        <f>'Tabell 5.1'!E14+'Tabell 5.1'!E26+'Tabell 5.1'!E38+'Tabell 5.1'!E50+'Tabell 5.1'!E64+'Tabell 5.1'!E76+'Tabell 5.1'!E88+'Tabell 5.1'!E100+'Tabell 5.2'!E14+'Tabell 5.2'!E26+'Tabell 5.2'!E50+'Tabell 5.2'!E62+'Tabell 5.2'!E74+E14+E26+'Tabell 5.2'!E86+'Tabell 5.2'!E110+'Tabell 5.2'!E136+'Tabell 5.2'!E38+'Tabell 5.2'!E98+'Tabell 5.2'!E124</f>
        <v>107.8983411799998</v>
      </c>
      <c r="F40" s="441">
        <f>'Tabell 5.1'!F14+'Tabell 5.1'!F26+'Tabell 5.1'!F38+'Tabell 5.1'!F50+'Tabell 5.1'!F64+'Tabell 5.1'!F76+'Tabell 5.1'!F88+'Tabell 5.1'!F100+'Tabell 5.2'!F14+'Tabell 5.2'!F26+'Tabell 5.2'!F50+'Tabell 5.2'!F62+'Tabell 5.2'!F74+F14+F26+'Tabell 5.2'!F86+'Tabell 5.2'!F110+'Tabell 5.2'!F136+'Tabell 5.2'!F38+'Tabell 5.2'!F98+'Tabell 5.2'!F124</f>
        <v>-113.12387934000024</v>
      </c>
      <c r="G40" s="441">
        <f t="shared" si="16"/>
        <v>-204.8</v>
      </c>
      <c r="H40" s="441">
        <f>'Tabell 5.1'!H14+'Tabell 5.1'!H26+'Tabell 5.1'!H38+'Tabell 5.1'!H50+'Tabell 5.1'!H64+'Tabell 5.1'!H76+'Tabell 5.1'!H88+'Tabell 5.1'!H100+'Tabell 5.2'!H14+'Tabell 5.2'!H26+'Tabell 5.2'!H50+'Tabell 5.2'!H62+'Tabell 5.2'!H74+H14+H26+'Tabell 5.2'!H86+'Tabell 5.2'!H110+'Tabell 5.2'!H136+'Tabell 5.2'!H38+'Tabell 5.2'!H98+'Tabell 5.2'!H124</f>
        <v>-54.879000000000005</v>
      </c>
      <c r="I40" s="441">
        <f>'Tabell 5.1'!I14+'Tabell 5.1'!I26+'Tabell 5.1'!I38+'Tabell 5.1'!I50+'Tabell 5.1'!I64+'Tabell 5.1'!I76+'Tabell 5.1'!I88+'Tabell 5.1'!I100+'Tabell 5.2'!I14+'Tabell 5.2'!I26+'Tabell 5.2'!I50+'Tabell 5.2'!I62+'Tabell 5.2'!I74+I14+I26+'Tabell 5.2'!I86+'Tabell 5.2'!I110+'Tabell 5.2'!I136+'Tabell 5.2'!I38+'Tabell 5.2'!I98+'Tabell 5.2'!I124</f>
        <v>-71.087000000000003</v>
      </c>
      <c r="J40" s="441">
        <f t="shared" si="17"/>
        <v>29.5</v>
      </c>
      <c r="K40" s="441">
        <f>'Tabell 5.1'!K14+'Tabell 5.1'!K26+'Tabell 5.1'!K38+'Tabell 5.1'!K50+'Tabell 5.1'!K64+'Tabell 5.1'!K76+'Tabell 5.1'!K88+'Tabell 5.1'!K100+'Tabell 5.2'!K14+'Tabell 5.2'!K26+'Tabell 5.2'!K50+'Tabell 5.2'!K62+'Tabell 5.2'!K74+K14+K26+'Tabell 5.2'!K86+'Tabell 5.2'!K110+'Tabell 5.2'!K136+'Tabell 5.2'!K38+'Tabell 5.2'!K98+'Tabell 5.2'!K124</f>
        <v>193</v>
      </c>
      <c r="L40" s="441">
        <f>'Tabell 5.1'!L14+'Tabell 5.1'!L26+'Tabell 5.1'!L38+'Tabell 5.1'!L50+'Tabell 5.1'!L64+'Tabell 5.1'!L76+'Tabell 5.1'!L88+'Tabell 5.1'!L100+'Tabell 5.2'!L14+'Tabell 5.2'!L26+'Tabell 5.2'!L50+'Tabell 5.2'!L62+'Tabell 5.2'!L74+L14+L26+'Tabell 5.2'!L86+'Tabell 5.2'!L110+'Tabell 5.2'!L136+'Tabell 5.2'!L38+'Tabell 5.2'!L98+'Tabell 5.2'!L124</f>
        <v>-230</v>
      </c>
      <c r="M40" s="452">
        <f t="shared" si="18"/>
        <v>-219.2</v>
      </c>
      <c r="N40" s="441">
        <f>'Tabell 5.1'!N14+'Tabell 5.1'!N26+'Tabell 5.1'!N38+'Tabell 5.1'!N50+'Tabell 5.1'!N64+'Tabell 5.1'!N76+'Tabell 5.1'!N88+'Tabell 5.1'!N100+'Tabell 5.2'!N14+'Tabell 5.2'!N26+'Tabell 5.2'!N50+'Tabell 5.2'!N62+'Tabell 5.2'!N74+N14+N26+'Tabell 5.2'!N86+'Tabell 5.2'!N110+'Tabell 5.2'!N136+'Tabell 5.2'!N38+'Tabell 5.2'!N98+'Tabell 5.2'!N124</f>
        <v>77.407267999999988</v>
      </c>
      <c r="O40" s="441">
        <f>'Tabell 5.1'!O14+'Tabell 5.1'!O26+'Tabell 5.1'!O38+'Tabell 5.1'!O50+'Tabell 5.1'!O64+'Tabell 5.1'!O76+'Tabell 5.1'!O88+'Tabell 5.1'!O100+'Tabell 5.2'!O14+'Tabell 5.2'!O26+'Tabell 5.2'!O50+'Tabell 5.2'!O62+'Tabell 5.2'!O74+O14+O26+'Tabell 5.2'!O86+'Tabell 5.2'!O110+'Tabell 5.2'!O136+'Tabell 5.2'!O38+'Tabell 5.2'!O98+'Tabell 5.2'!O124</f>
        <v>-13.498813999999999</v>
      </c>
      <c r="P40" s="452">
        <f t="shared" si="19"/>
        <v>-117.4</v>
      </c>
      <c r="Q40" s="441">
        <f>'Tabell 5.1'!Q14+'Tabell 5.1'!Q26+'Tabell 5.1'!Q38+'Tabell 5.1'!Q50+'Tabell 5.1'!Q64+'Tabell 5.1'!Q76+'Tabell 5.1'!Q88+'Tabell 5.1'!Q100+'Tabell 5.2'!Q14+'Tabell 5.2'!Q26+'Tabell 5.2'!Q50+'Tabell 5.2'!Q62+'Tabell 5.2'!Q74+Q14+Q26+'Tabell 5.2'!Q86+'Tabell 5.2'!Q110+'Tabell 5.2'!Q136+'Tabell 5.2'!Q38+'Tabell 5.2'!Q98+'Tabell 5.2'!Q124</f>
        <v>859.01855467029998</v>
      </c>
      <c r="R40" s="441">
        <f>'Tabell 5.1'!R14+'Tabell 5.1'!R26+'Tabell 5.1'!R38+'Tabell 5.1'!R50+'Tabell 5.1'!R64+'Tabell 5.1'!R76+'Tabell 5.1'!R88+'Tabell 5.1'!R100+'Tabell 5.2'!R14+'Tabell 5.2'!R26+'Tabell 5.2'!R50+'Tabell 5.2'!R62+'Tabell 5.2'!R74+R14+R26+'Tabell 5.2'!R86+'Tabell 5.2'!R110+'Tabell 5.2'!R136+'Tabell 5.2'!R38+'Tabell 5.2'!R98+'Tabell 5.2'!R124</f>
        <v>981.30922583718268</v>
      </c>
      <c r="S40" s="452">
        <f t="shared" si="20"/>
        <v>14.2</v>
      </c>
      <c r="T40" s="441">
        <f>'Tabell 5.1'!T14+'Tabell 5.1'!T26+'Tabell 5.1'!T38+'Tabell 5.1'!T50+'Tabell 5.1'!T64+'Tabell 5.1'!T76+'Tabell 5.1'!T88+'Tabell 5.1'!T100+'Tabell 5.2'!T14+'Tabell 5.2'!T26+'Tabell 5.2'!T50+'Tabell 5.2'!T62+'Tabell 5.2'!T74+T14+T26+'Tabell 5.2'!T86+'Tabell 5.2'!T110+'Tabell 5.2'!T136+'Tabell 5.2'!T38+'Tabell 5.2'!T98+'Tabell 5.2'!T124</f>
        <v>12</v>
      </c>
      <c r="U40" s="441">
        <f>'Tabell 5.1'!U14+'Tabell 5.1'!U26+'Tabell 5.1'!U38+'Tabell 5.1'!U50+'Tabell 5.1'!U64+'Tabell 5.1'!U76+'Tabell 5.1'!U88+'Tabell 5.1'!U100+'Tabell 5.2'!U14+'Tabell 5.2'!U26+'Tabell 5.2'!U50+'Tabell 5.2'!U62+'Tabell 5.2'!U74+U14+U26+'Tabell 5.2'!U86+'Tabell 5.2'!U110+'Tabell 5.2'!U136+'Tabell 5.2'!U38+'Tabell 5.2'!U98+'Tabell 5.2'!U124</f>
        <v>13</v>
      </c>
      <c r="V40" s="441">
        <f t="shared" si="21"/>
        <v>8.3000000000000007</v>
      </c>
      <c r="W40" s="441">
        <f>'Tabell 5.1'!W14+'Tabell 5.1'!W26+'Tabell 5.1'!W38+'Tabell 5.1'!W50+'Tabell 5.1'!W64+'Tabell 5.1'!W76+'Tabell 5.1'!W88+'Tabell 5.1'!W100+'Tabell 5.2'!W14+'Tabell 5.2'!W26+'Tabell 5.2'!W50+'Tabell 5.2'!W62+'Tabell 5.2'!W74+W14+W26+'Tabell 5.2'!W86+'Tabell 5.2'!W110+'Tabell 5.2'!W136+'Tabell 5.2'!W38+'Tabell 5.2'!W98+'Tabell 5.2'!W124</f>
        <v>-71</v>
      </c>
      <c r="X40" s="441">
        <f>'Tabell 5.1'!X14+'Tabell 5.1'!X26+'Tabell 5.1'!X38+'Tabell 5.1'!X50+'Tabell 5.1'!X64+'Tabell 5.1'!X76+'Tabell 5.1'!X88+'Tabell 5.1'!X100+'Tabell 5.2'!X14+'Tabell 5.2'!X26+'Tabell 5.2'!X50+'Tabell 5.2'!X62+'Tabell 5.2'!X74+X14+X26+'Tabell 5.2'!X86+'Tabell 5.2'!X110+'Tabell 5.2'!X136+'Tabell 5.2'!X38+'Tabell 5.2'!X98+'Tabell 5.2'!X124</f>
        <v>-98</v>
      </c>
      <c r="Y40" s="452">
        <f t="shared" si="22"/>
        <v>38</v>
      </c>
      <c r="Z40" s="441">
        <f>'Tabell 5.1'!Z14+'Tabell 5.1'!Z26+'Tabell 5.1'!Z38+'Tabell 5.1'!Z50+'Tabell 5.1'!Z64+'Tabell 5.1'!Z76+'Tabell 5.1'!Z88+'Tabell 5.1'!Z100+'Tabell 5.2'!Z14+'Tabell 5.2'!Z26+'Tabell 5.2'!Z50+'Tabell 5.2'!Z62+'Tabell 5.2'!Z74+Z14+Z26+'Tabell 5.2'!Z86+'Tabell 5.2'!Z110+'Tabell 5.2'!Z136+'Tabell 5.2'!Z38+'Tabell 5.2'!Z98+'Tabell 5.2'!Z124</f>
        <v>686.06175942999994</v>
      </c>
      <c r="AA40" s="441">
        <f>'Tabell 5.1'!AA14+'Tabell 5.1'!AA26+'Tabell 5.1'!AA38+'Tabell 5.1'!AA50+'Tabell 5.1'!AA64+'Tabell 5.1'!AA76+'Tabell 5.1'!AA88+'Tabell 5.1'!AA100+'Tabell 5.2'!AA14+'Tabell 5.2'!AA26+'Tabell 5.2'!AA50+'Tabell 5.2'!AA62+'Tabell 5.2'!AA74+AA14+AA26+'Tabell 5.2'!AA86+'Tabell 5.2'!AA110+'Tabell 5.2'!AA136+'Tabell 5.2'!AA38+'Tabell 5.2'!AA98+'Tabell 5.2'!AA124</f>
        <v>649.72911905000012</v>
      </c>
      <c r="AB40" s="441">
        <f t="shared" si="23"/>
        <v>-5.3</v>
      </c>
      <c r="AC40" s="441">
        <f>'Tabell 5.1'!AC14+'Tabell 5.1'!AC26+'Tabell 5.1'!AC38+'Tabell 5.1'!AC50+'Tabell 5.1'!AC64+'Tabell 5.1'!AC76+'Tabell 5.1'!AC88+'Tabell 5.1'!AC100+'Tabell 5.2'!AC14+'Tabell 5.2'!AC26+'Tabell 5.2'!AC50+'Tabell 5.2'!AC62+'Tabell 5.2'!AC74+AC14+AC26+'Tabell 5.2'!AC86+'Tabell 5.2'!AC110+'Tabell 5.2'!AC136+'Tabell 5.2'!AC38+'Tabell 5.2'!AC98+'Tabell 5.2'!AC124</f>
        <v>0</v>
      </c>
      <c r="AD40" s="441">
        <f>'Tabell 5.1'!AD14+'Tabell 5.1'!AD26+'Tabell 5.1'!AD38+'Tabell 5.1'!AD50+'Tabell 5.1'!AD64+'Tabell 5.1'!AD76+'Tabell 5.1'!AD88+'Tabell 5.1'!AD100+'Tabell 5.2'!AD14+'Tabell 5.2'!AD26+'Tabell 5.2'!AD50+'Tabell 5.2'!AD62+'Tabell 5.2'!AD74+AD14+AD26+'Tabell 5.2'!AD86+'Tabell 5.2'!AD110+'Tabell 5.2'!AD136+'Tabell 5.2'!AD38+'Tabell 5.2'!AD98+'Tabell 5.2'!AD124</f>
        <v>0</v>
      </c>
      <c r="AE40" s="441" t="str">
        <f t="shared" si="24"/>
        <v xml:space="preserve">    ---- </v>
      </c>
      <c r="AF40" s="441">
        <f t="shared" si="25"/>
        <v>2357.3094432803</v>
      </c>
      <c r="AG40" s="441">
        <f t="shared" si="25"/>
        <v>1770.5152280782468</v>
      </c>
      <c r="AH40" s="452">
        <f t="shared" si="26"/>
        <v>-24.9</v>
      </c>
      <c r="AI40" s="441">
        <f t="shared" si="27"/>
        <v>2357.3094432803</v>
      </c>
      <c r="AJ40" s="441">
        <f t="shared" si="28"/>
        <v>1770.5152280782468</v>
      </c>
      <c r="AK40" s="452">
        <f>IF(AI40=0, "    ---- ", IF(ABS(ROUND(100/AI40*AJ40-100,1))&lt;999,ROUND(100/AI40*AJ40-100,1),IF(ROUND(100/AI40*AJ40-100,1)&gt;999,999,-999)))</f>
        <v>-24.9</v>
      </c>
      <c r="AL40" s="583"/>
      <c r="AM40" s="552"/>
      <c r="AN40" s="552"/>
      <c r="AO40" s="552"/>
    </row>
    <row r="41" spans="1:41" ht="18.75" customHeight="1" x14ac:dyDescent="0.35">
      <c r="A41" s="421" t="s">
        <v>308</v>
      </c>
      <c r="B41" s="441">
        <f>'Tabell 5.1'!B15+'Tabell 5.1'!B27+'Tabell 5.1'!B39+'Tabell 5.1'!B51+'Tabell 5.1'!B65+'Tabell 5.1'!B77+'Tabell 5.1'!B89+'Tabell 5.1'!B101+'Tabell 5.2'!B15+'Tabell 5.2'!B27+'Tabell 5.2'!B51+'Tabell 5.2'!B63+'Tabell 5.2'!B75+B15+B27+'Tabell 5.2'!B87+'Tabell 5.2'!B111+'Tabell 5.2'!B137+'Tabell 5.2'!B39+'Tabell 5.2'!B99+'Tabell 5.2'!B125</f>
        <v>19</v>
      </c>
      <c r="C41" s="441">
        <f>'Tabell 5.1'!C15+'Tabell 5.1'!C27+'Tabell 5.1'!C39+'Tabell 5.1'!C51+'Tabell 5.1'!C65+'Tabell 5.1'!C77+'Tabell 5.1'!C89+'Tabell 5.1'!C101+'Tabell 5.2'!C15+'Tabell 5.2'!C27+'Tabell 5.2'!C51+'Tabell 5.2'!C63+'Tabell 5.2'!C75+C15+C27+'Tabell 5.2'!C87+'Tabell 5.2'!C111+'Tabell 5.2'!C137+'Tabell 5.2'!C39+'Tabell 5.2'!C99+'Tabell 5.2'!C125</f>
        <v>18.344812999999998</v>
      </c>
      <c r="D41" s="452">
        <f t="shared" si="15"/>
        <v>-3.4</v>
      </c>
      <c r="E41" s="441"/>
      <c r="F41" s="441"/>
      <c r="G41" s="441"/>
      <c r="H41" s="441"/>
      <c r="I41" s="441"/>
      <c r="J41" s="441"/>
      <c r="K41" s="441">
        <f>'Tabell 5.1'!K15+'Tabell 5.1'!K27+'Tabell 5.1'!K39+'Tabell 5.1'!K51+'Tabell 5.1'!K65+'Tabell 5.1'!K77+'Tabell 5.1'!K89+'Tabell 5.1'!K101+'Tabell 5.2'!K15+'Tabell 5.2'!K27+'Tabell 5.2'!K51+'Tabell 5.2'!K63+'Tabell 5.2'!K75+K15+K27+'Tabell 5.2'!K87+'Tabell 5.2'!K111+'Tabell 5.2'!K137+'Tabell 5.2'!K39+'Tabell 5.2'!K99+'Tabell 5.2'!K125</f>
        <v>4</v>
      </c>
      <c r="L41" s="441">
        <f>'Tabell 5.1'!L15+'Tabell 5.1'!L27+'Tabell 5.1'!L39+'Tabell 5.1'!L51+'Tabell 5.1'!L65+'Tabell 5.1'!L77+'Tabell 5.1'!L89+'Tabell 5.1'!L101+'Tabell 5.2'!L15+'Tabell 5.2'!L27+'Tabell 5.2'!L51+'Tabell 5.2'!L63+'Tabell 5.2'!L75+L15+L27+'Tabell 5.2'!L87+'Tabell 5.2'!L111+'Tabell 5.2'!L137+'Tabell 5.2'!L39+'Tabell 5.2'!L99+'Tabell 5.2'!L125</f>
        <v>6</v>
      </c>
      <c r="M41" s="452">
        <f t="shared" si="18"/>
        <v>50</v>
      </c>
      <c r="N41" s="441"/>
      <c r="O41" s="441"/>
      <c r="P41" s="452"/>
      <c r="Q41" s="441">
        <f>'Tabell 5.1'!Q15+'Tabell 5.1'!Q27+'Tabell 5.1'!Q39+'Tabell 5.1'!Q51+'Tabell 5.1'!Q65+'Tabell 5.1'!Q77+'Tabell 5.1'!Q89+'Tabell 5.1'!Q101+'Tabell 5.2'!Q15+'Tabell 5.2'!Q27+'Tabell 5.2'!Q51+'Tabell 5.2'!Q63+'Tabell 5.2'!Q75+Q15+Q27+'Tabell 5.2'!Q87+'Tabell 5.2'!Q111+'Tabell 5.2'!Q137+'Tabell 5.2'!Q39+'Tabell 5.2'!Q99+'Tabell 5.2'!Q125</f>
        <v>0.37310280000000007</v>
      </c>
      <c r="R41" s="441">
        <f>'Tabell 5.1'!R15+'Tabell 5.1'!R27+'Tabell 5.1'!R39+'Tabell 5.1'!R51+'Tabell 5.1'!R65+'Tabell 5.1'!R77+'Tabell 5.1'!R89+'Tabell 5.1'!R101+'Tabell 5.2'!R15+'Tabell 5.2'!R27+'Tabell 5.2'!R51+'Tabell 5.2'!R63+'Tabell 5.2'!R75+R15+R27+'Tabell 5.2'!R87+'Tabell 5.2'!R111+'Tabell 5.2'!R137+'Tabell 5.2'!R39+'Tabell 5.2'!R99+'Tabell 5.2'!R125</f>
        <v>0.3235672</v>
      </c>
      <c r="S41" s="452">
        <f t="shared" si="20"/>
        <v>-13.3</v>
      </c>
      <c r="T41" s="441"/>
      <c r="U41" s="441"/>
      <c r="V41" s="441"/>
      <c r="W41" s="441"/>
      <c r="X41" s="441"/>
      <c r="Y41" s="452"/>
      <c r="Z41" s="441">
        <f>'Tabell 5.1'!Z15+'Tabell 5.1'!Z27+'Tabell 5.1'!Z39+'Tabell 5.1'!Z51+'Tabell 5.1'!Z65+'Tabell 5.1'!Z77+'Tabell 5.1'!Z89+'Tabell 5.1'!Z101+'Tabell 5.2'!Z15+'Tabell 5.2'!Z27+'Tabell 5.2'!Z51+'Tabell 5.2'!Z63+'Tabell 5.2'!Z75+Z15+Z27+'Tabell 5.2'!Z87+'Tabell 5.2'!Z111+'Tabell 5.2'!Z137+'Tabell 5.2'!Z39+'Tabell 5.2'!Z99+'Tabell 5.2'!Z125</f>
        <v>52.141342000000002</v>
      </c>
      <c r="AA41" s="441">
        <f>'Tabell 5.1'!AA15+'Tabell 5.1'!AA27+'Tabell 5.1'!AA39+'Tabell 5.1'!AA51+'Tabell 5.1'!AA65+'Tabell 5.1'!AA77+'Tabell 5.1'!AA89+'Tabell 5.1'!AA101+'Tabell 5.2'!AA15+'Tabell 5.2'!AA27+'Tabell 5.2'!AA51+'Tabell 5.2'!AA63+'Tabell 5.2'!AA75+AA15+AA27+'Tabell 5.2'!AA87+'Tabell 5.2'!AA111+'Tabell 5.2'!AA137+'Tabell 5.2'!AA39+'Tabell 5.2'!AA99+'Tabell 5.2'!AA125</f>
        <v>61.09660057</v>
      </c>
      <c r="AB41" s="441">
        <f t="shared" si="23"/>
        <v>17.2</v>
      </c>
      <c r="AC41" s="441">
        <f>'Tabell 5.1'!AC15+'Tabell 5.1'!AC27+'Tabell 5.1'!AC39+'Tabell 5.1'!AC51+'Tabell 5.1'!AC65+'Tabell 5.1'!AC77+'Tabell 5.1'!AC89+'Tabell 5.1'!AC101+'Tabell 5.2'!AC15+'Tabell 5.2'!AC27+'Tabell 5.2'!AC51+'Tabell 5.2'!AC63+'Tabell 5.2'!AC75+AC15+AC27+'Tabell 5.2'!AC87+'Tabell 5.2'!AC111+'Tabell 5.2'!AC137+'Tabell 5.2'!AC39+'Tabell 5.2'!AC99+'Tabell 5.2'!AC125</f>
        <v>0</v>
      </c>
      <c r="AD41" s="441">
        <f>'Tabell 5.1'!AD15+'Tabell 5.1'!AD27+'Tabell 5.1'!AD39+'Tabell 5.1'!AD51+'Tabell 5.1'!AD65+'Tabell 5.1'!AD77+'Tabell 5.1'!AD89+'Tabell 5.1'!AD101+'Tabell 5.2'!AD15+'Tabell 5.2'!AD27+'Tabell 5.2'!AD51+'Tabell 5.2'!AD63+'Tabell 5.2'!AD75+AD15+AD27+'Tabell 5.2'!AD87+'Tabell 5.2'!AD111+'Tabell 5.2'!AD137+'Tabell 5.2'!AD39+'Tabell 5.2'!AD99+'Tabell 5.2'!AD125</f>
        <v>0</v>
      </c>
      <c r="AE41" s="441" t="str">
        <f t="shared" si="24"/>
        <v xml:space="preserve">    ---- </v>
      </c>
      <c r="AF41" s="441">
        <f t="shared" si="25"/>
        <v>75.514444800000007</v>
      </c>
      <c r="AG41" s="441">
        <f t="shared" si="25"/>
        <v>85.764980769999994</v>
      </c>
      <c r="AH41" s="452">
        <f t="shared" si="26"/>
        <v>13.6</v>
      </c>
      <c r="AI41" s="441">
        <f t="shared" si="27"/>
        <v>75.514444800000007</v>
      </c>
      <c r="AJ41" s="441">
        <f t="shared" si="28"/>
        <v>85.764980769999994</v>
      </c>
      <c r="AK41" s="452"/>
      <c r="AL41" s="583"/>
      <c r="AM41" s="552"/>
      <c r="AN41" s="552"/>
      <c r="AO41" s="552"/>
    </row>
    <row r="42" spans="1:41" ht="18.75" customHeight="1" x14ac:dyDescent="0.35">
      <c r="A42" s="421" t="s">
        <v>309</v>
      </c>
      <c r="B42" s="441">
        <f>'Tabell 5.1'!B16+'Tabell 5.1'!B28+'Tabell 5.1'!B40+'Tabell 5.1'!B52+'Tabell 5.1'!B66+'Tabell 5.1'!B78+'Tabell 5.1'!B90+'Tabell 5.1'!B102+'Tabell 5.2'!B16+'Tabell 5.2'!B28+'Tabell 5.2'!B52+'Tabell 5.2'!B64+'Tabell 5.2'!B76+B16+B28+'Tabell 5.2'!B88+'Tabell 5.2'!B112+'Tabell 5.2'!B138+'Tabell 5.2'!B40+'Tabell 5.2'!B100+'Tabell 5.2'!B126</f>
        <v>151</v>
      </c>
      <c r="C42" s="441">
        <f>'Tabell 5.1'!C16+'Tabell 5.1'!C28+'Tabell 5.1'!C40+'Tabell 5.1'!C52+'Tabell 5.1'!C66+'Tabell 5.1'!C78+'Tabell 5.1'!C90+'Tabell 5.1'!C102+'Tabell 5.2'!C16+'Tabell 5.2'!C28+'Tabell 5.2'!C52+'Tabell 5.2'!C64+'Tabell 5.2'!C76+C16+C28+'Tabell 5.2'!C88+'Tabell 5.2'!C112+'Tabell 5.2'!C138+'Tabell 5.2'!C40+'Tabell 5.2'!C100+'Tabell 5.2'!C126</f>
        <v>145.23584432000001</v>
      </c>
      <c r="D42" s="452">
        <f t="shared" si="15"/>
        <v>-3.8</v>
      </c>
      <c r="E42" s="441"/>
      <c r="F42" s="441"/>
      <c r="G42" s="441"/>
      <c r="H42" s="441"/>
      <c r="I42" s="441"/>
      <c r="J42" s="441"/>
      <c r="K42" s="441">
        <f>'Tabell 5.1'!K16+'Tabell 5.1'!K28+'Tabell 5.1'!K40+'Tabell 5.1'!K52+'Tabell 5.1'!K66+'Tabell 5.1'!K78+'Tabell 5.1'!K90+'Tabell 5.1'!K102+'Tabell 5.2'!K16+'Tabell 5.2'!K28+'Tabell 5.2'!K52+'Tabell 5.2'!K64+'Tabell 5.2'!K76+K16+K28+'Tabell 5.2'!K88+'Tabell 5.2'!K112+'Tabell 5.2'!K138+'Tabell 5.2'!K40+'Tabell 5.2'!K100+'Tabell 5.2'!K126</f>
        <v>14</v>
      </c>
      <c r="L42" s="441">
        <f>'Tabell 5.1'!L16+'Tabell 5.1'!L28+'Tabell 5.1'!L40+'Tabell 5.1'!L52+'Tabell 5.1'!L66+'Tabell 5.1'!L78+'Tabell 5.1'!L90+'Tabell 5.1'!L102+'Tabell 5.2'!L16+'Tabell 5.2'!L28+'Tabell 5.2'!L52+'Tabell 5.2'!L64+'Tabell 5.2'!L76+L16+L28+'Tabell 5.2'!L88+'Tabell 5.2'!L112+'Tabell 5.2'!L138+'Tabell 5.2'!L40+'Tabell 5.2'!L100+'Tabell 5.2'!L126</f>
        <v>17</v>
      </c>
      <c r="M42" s="452">
        <f t="shared" si="18"/>
        <v>21.4</v>
      </c>
      <c r="N42" s="441">
        <f>'Tabell 5.1'!N16+'Tabell 5.1'!N28+'Tabell 5.1'!N40+'Tabell 5.1'!N52+'Tabell 5.1'!N66+'Tabell 5.1'!N78+'Tabell 5.1'!N90+'Tabell 5.1'!N102+'Tabell 5.2'!N16+'Tabell 5.2'!N28+'Tabell 5.2'!N52+'Tabell 5.2'!N64+'Tabell 5.2'!N76+N16+N28+'Tabell 5.2'!N88+'Tabell 5.2'!N112+'Tabell 5.2'!N138+'Tabell 5.2'!N40+'Tabell 5.2'!N100+'Tabell 5.2'!N126</f>
        <v>13.700982999999999</v>
      </c>
      <c r="O42" s="441">
        <f>'Tabell 5.1'!O16+'Tabell 5.1'!O28+'Tabell 5.1'!O40+'Tabell 5.1'!O52+'Tabell 5.1'!O66+'Tabell 5.1'!O78+'Tabell 5.1'!O90+'Tabell 5.1'!O102+'Tabell 5.2'!O16+'Tabell 5.2'!O28+'Tabell 5.2'!O52+'Tabell 5.2'!O64+'Tabell 5.2'!O76+O16+O28+'Tabell 5.2'!O88+'Tabell 5.2'!O112+'Tabell 5.2'!O138+'Tabell 5.2'!O40+'Tabell 5.2'!O100+'Tabell 5.2'!O126</f>
        <v>15.483207999999999</v>
      </c>
      <c r="P42" s="452">
        <f t="shared" si="19"/>
        <v>13</v>
      </c>
      <c r="Q42" s="441">
        <f>'Tabell 5.1'!Q16+'Tabell 5.1'!Q28+'Tabell 5.1'!Q40+'Tabell 5.1'!Q52+'Tabell 5.1'!Q66+'Tabell 5.1'!Q78+'Tabell 5.1'!Q90+'Tabell 5.1'!Q102+'Tabell 5.2'!Q16+'Tabell 5.2'!Q28+'Tabell 5.2'!Q52+'Tabell 5.2'!Q64+'Tabell 5.2'!Q76+Q16+Q28+'Tabell 5.2'!Q88+'Tabell 5.2'!Q112+'Tabell 5.2'!Q138+'Tabell 5.2'!Q40+'Tabell 5.2'!Q100+'Tabell 5.2'!Q126</f>
        <v>56.842220701333332</v>
      </c>
      <c r="R42" s="441">
        <f>'Tabell 5.1'!R16+'Tabell 5.1'!R28+'Tabell 5.1'!R40+'Tabell 5.1'!R52+'Tabell 5.1'!R66+'Tabell 5.1'!R78+'Tabell 5.1'!R90+'Tabell 5.1'!R102+'Tabell 5.2'!R16+'Tabell 5.2'!R28+'Tabell 5.2'!R52+'Tabell 5.2'!R64+'Tabell 5.2'!R76+R16+R28+'Tabell 5.2'!R88+'Tabell 5.2'!R112+'Tabell 5.2'!R138+'Tabell 5.2'!R40+'Tabell 5.2'!R100+'Tabell 5.2'!R126</f>
        <v>57.242145941333334</v>
      </c>
      <c r="S42" s="452">
        <f t="shared" si="20"/>
        <v>0.7</v>
      </c>
      <c r="T42" s="441">
        <f>'Tabell 5.1'!T16+'Tabell 5.1'!T28+'Tabell 5.1'!T40+'Tabell 5.1'!T52+'Tabell 5.1'!T66+'Tabell 5.1'!T78+'Tabell 5.1'!T90+'Tabell 5.1'!T102+'Tabell 5.2'!T16+'Tabell 5.2'!T28+'Tabell 5.2'!T52+'Tabell 5.2'!T64+'Tabell 5.2'!T76+T16+T28+'Tabell 5.2'!T88+'Tabell 5.2'!T112+'Tabell 5.2'!T138+'Tabell 5.2'!T40+'Tabell 5.2'!T100+'Tabell 5.2'!T126</f>
        <v>400</v>
      </c>
      <c r="U42" s="441">
        <f>'Tabell 5.1'!U16+'Tabell 5.1'!U28+'Tabell 5.1'!U40+'Tabell 5.1'!U52+'Tabell 5.1'!U66+'Tabell 5.1'!U78+'Tabell 5.1'!U90+'Tabell 5.1'!U102+'Tabell 5.2'!U16+'Tabell 5.2'!U28+'Tabell 5.2'!U52+'Tabell 5.2'!U64+'Tabell 5.2'!U76+U16+U28+'Tabell 5.2'!U88+'Tabell 5.2'!U112+'Tabell 5.2'!U138+'Tabell 5.2'!U40+'Tabell 5.2'!U100+'Tabell 5.2'!U126</f>
        <v>292</v>
      </c>
      <c r="V42" s="441">
        <f t="shared" si="21"/>
        <v>-27</v>
      </c>
      <c r="W42" s="441">
        <f>'Tabell 5.1'!W16+'Tabell 5.1'!W28+'Tabell 5.1'!W40+'Tabell 5.1'!W52+'Tabell 5.1'!W66+'Tabell 5.1'!W78+'Tabell 5.1'!W90+'Tabell 5.1'!W102+'Tabell 5.2'!W16+'Tabell 5.2'!W28+'Tabell 5.2'!W52+'Tabell 5.2'!W64+'Tabell 5.2'!W76+W16+W28+'Tabell 5.2'!W88+'Tabell 5.2'!W112+'Tabell 5.2'!W138+'Tabell 5.2'!W40+'Tabell 5.2'!W100+'Tabell 5.2'!W126</f>
        <v>62</v>
      </c>
      <c r="X42" s="441">
        <f>'Tabell 5.1'!X16+'Tabell 5.1'!X28+'Tabell 5.1'!X40+'Tabell 5.1'!X52+'Tabell 5.1'!X66+'Tabell 5.1'!X78+'Tabell 5.1'!X90+'Tabell 5.1'!X102+'Tabell 5.2'!X16+'Tabell 5.2'!X28+'Tabell 5.2'!X52+'Tabell 5.2'!X64+'Tabell 5.2'!X76+X16+X28+'Tabell 5.2'!X88+'Tabell 5.2'!X112+'Tabell 5.2'!X138+'Tabell 5.2'!X40+'Tabell 5.2'!X100+'Tabell 5.2'!X126</f>
        <v>63</v>
      </c>
      <c r="Y42" s="452">
        <f t="shared" si="22"/>
        <v>1.6</v>
      </c>
      <c r="Z42" s="441">
        <f>'Tabell 5.1'!Z16+'Tabell 5.1'!Z28+'Tabell 5.1'!Z40+'Tabell 5.1'!Z52+'Tabell 5.1'!Z66+'Tabell 5.1'!Z78+'Tabell 5.1'!Z90+'Tabell 5.1'!Z102+'Tabell 5.2'!Z16+'Tabell 5.2'!Z28+'Tabell 5.2'!Z52+'Tabell 5.2'!Z64+'Tabell 5.2'!Z76+Z16+Z28+'Tabell 5.2'!Z88+'Tabell 5.2'!Z112+'Tabell 5.2'!Z138+'Tabell 5.2'!Z40+'Tabell 5.2'!Z100+'Tabell 5.2'!Z126</f>
        <v>314.78161102000001</v>
      </c>
      <c r="AA42" s="441">
        <f>'Tabell 5.1'!AA16+'Tabell 5.1'!AA28+'Tabell 5.1'!AA40+'Tabell 5.1'!AA52+'Tabell 5.1'!AA66+'Tabell 5.1'!AA78+'Tabell 5.1'!AA90+'Tabell 5.1'!AA102+'Tabell 5.2'!AA16+'Tabell 5.2'!AA28+'Tabell 5.2'!AA52+'Tabell 5.2'!AA64+'Tabell 5.2'!AA76+AA16+AA28+'Tabell 5.2'!AA88+'Tabell 5.2'!AA112+'Tabell 5.2'!AA138+'Tabell 5.2'!AA40+'Tabell 5.2'!AA100+'Tabell 5.2'!AA126</f>
        <v>287.38477699999999</v>
      </c>
      <c r="AB42" s="441">
        <f t="shared" si="23"/>
        <v>-8.6999999999999993</v>
      </c>
      <c r="AC42" s="441">
        <f>'Tabell 5.1'!AC16+'Tabell 5.1'!AC28+'Tabell 5.1'!AC40+'Tabell 5.1'!AC52+'Tabell 5.1'!AC66+'Tabell 5.1'!AC78+'Tabell 5.1'!AC90+'Tabell 5.1'!AC102+'Tabell 5.2'!AC16+'Tabell 5.2'!AC28+'Tabell 5.2'!AC52+'Tabell 5.2'!AC64+'Tabell 5.2'!AC76+AC16+AC28+'Tabell 5.2'!AC88+'Tabell 5.2'!AC112+'Tabell 5.2'!AC138+'Tabell 5.2'!AC40+'Tabell 5.2'!AC100+'Tabell 5.2'!AC126</f>
        <v>0</v>
      </c>
      <c r="AD42" s="441">
        <f>'Tabell 5.1'!AD16+'Tabell 5.1'!AD28+'Tabell 5.1'!AD40+'Tabell 5.1'!AD52+'Tabell 5.1'!AD66+'Tabell 5.1'!AD78+'Tabell 5.1'!AD90+'Tabell 5.1'!AD102+'Tabell 5.2'!AD16+'Tabell 5.2'!AD28+'Tabell 5.2'!AD52+'Tabell 5.2'!AD64+'Tabell 5.2'!AD76+AD16+AD28+'Tabell 5.2'!AD88+'Tabell 5.2'!AD112+'Tabell 5.2'!AD138+'Tabell 5.2'!AD40+'Tabell 5.2'!AD100+'Tabell 5.2'!AD126</f>
        <v>0</v>
      </c>
      <c r="AE42" s="441" t="str">
        <f t="shared" si="24"/>
        <v xml:space="preserve">    ---- </v>
      </c>
      <c r="AF42" s="441">
        <f t="shared" si="25"/>
        <v>1012.3248147213334</v>
      </c>
      <c r="AG42" s="441">
        <f t="shared" si="25"/>
        <v>877.34597526133325</v>
      </c>
      <c r="AH42" s="452">
        <f t="shared" si="26"/>
        <v>-13.3</v>
      </c>
      <c r="AI42" s="441">
        <f t="shared" si="27"/>
        <v>1012.3248147213334</v>
      </c>
      <c r="AJ42" s="441">
        <f t="shared" si="28"/>
        <v>877.34597526133325</v>
      </c>
      <c r="AK42" s="452">
        <f>IF(AI42=0, "    ---- ", IF(ABS(ROUND(100/AI42*AJ42-100,1))&lt;999,ROUND(100/AI42*AJ42-100,1),IF(ROUND(100/AI42*AJ42-100,1)&gt;999,999,-999)))</f>
        <v>-13.3</v>
      </c>
      <c r="AL42" s="583"/>
      <c r="AM42" s="552"/>
      <c r="AN42" s="552"/>
      <c r="AO42" s="552"/>
    </row>
    <row r="43" spans="1:41" ht="18.75" customHeight="1" x14ac:dyDescent="0.35">
      <c r="A43" s="421" t="s">
        <v>310</v>
      </c>
      <c r="B43" s="441">
        <f>'Tabell 5.1'!B17+'Tabell 5.1'!B29+'Tabell 5.1'!B41+'Tabell 5.1'!B53+'Tabell 5.1'!B67+'Tabell 5.1'!B79+'Tabell 5.1'!B91+'Tabell 5.1'!B103+'Tabell 5.2'!B17+'Tabell 5.2'!B29+'Tabell 5.2'!B53+'Tabell 5.2'!B65+'Tabell 5.2'!B77+B17+B29+'Tabell 5.2'!B89+'Tabell 5.2'!B113+'Tabell 5.2'!B139+'Tabell 5.2'!B41+'Tabell 5.2'!B101+'Tabell 5.2'!B127</f>
        <v>504.05258000000003</v>
      </c>
      <c r="C43" s="441">
        <f>'Tabell 5.1'!C17+'Tabell 5.1'!C29+'Tabell 5.1'!C41+'Tabell 5.1'!C53+'Tabell 5.1'!C67+'Tabell 5.1'!C79+'Tabell 5.1'!C91+'Tabell 5.1'!C103+'Tabell 5.2'!C17+'Tabell 5.2'!C29+'Tabell 5.2'!C53+'Tabell 5.2'!C65+'Tabell 5.2'!C77+C17+C29+'Tabell 5.2'!C89+'Tabell 5.2'!C113+'Tabell 5.2'!C139+'Tabell 5.2'!C41+'Tabell 5.2'!C101+'Tabell 5.2'!C127</f>
        <v>756.4811445149777</v>
      </c>
      <c r="D43" s="452">
        <f t="shared" si="15"/>
        <v>50.1</v>
      </c>
      <c r="E43" s="441">
        <f>'Tabell 5.1'!E17+'Tabell 5.1'!E29+'Tabell 5.1'!E41+'Tabell 5.1'!E53+'Tabell 5.1'!E67+'Tabell 5.1'!E79+'Tabell 5.1'!E91+'Tabell 5.1'!E103+'Tabell 5.2'!E17+'Tabell 5.2'!E29+'Tabell 5.2'!E53+'Tabell 5.2'!E65+'Tabell 5.2'!E77+E17+E29+'Tabell 5.2'!E89+'Tabell 5.2'!E113+'Tabell 5.2'!E139+'Tabell 5.2'!E41+'Tabell 5.2'!E101+'Tabell 5.2'!E127</f>
        <v>666.13384110000027</v>
      </c>
      <c r="F43" s="441">
        <f>'Tabell 5.1'!F17+'Tabell 5.1'!F29+'Tabell 5.1'!F41+'Tabell 5.1'!F53+'Tabell 5.1'!F67+'Tabell 5.1'!F79+'Tabell 5.1'!F91+'Tabell 5.1'!F103+'Tabell 5.2'!F17+'Tabell 5.2'!F29+'Tabell 5.2'!F53+'Tabell 5.2'!F65+'Tabell 5.2'!F77+F17+F29+'Tabell 5.2'!F89+'Tabell 5.2'!F113+'Tabell 5.2'!F139+'Tabell 5.2'!F41+'Tabell 5.2'!F101+'Tabell 5.2'!F127</f>
        <v>764.05264649000037</v>
      </c>
      <c r="G43" s="441">
        <f t="shared" si="16"/>
        <v>14.7</v>
      </c>
      <c r="H43" s="441">
        <f>'Tabell 5.1'!H17+'Tabell 5.1'!H29+'Tabell 5.1'!H41+'Tabell 5.1'!H53+'Tabell 5.1'!H67+'Tabell 5.1'!H79+'Tabell 5.1'!H91+'Tabell 5.1'!H103+'Tabell 5.2'!H17+'Tabell 5.2'!H29+'Tabell 5.2'!H53+'Tabell 5.2'!H65+'Tabell 5.2'!H77+H17+H29+'Tabell 5.2'!H89+'Tabell 5.2'!H113+'Tabell 5.2'!H139+'Tabell 5.2'!H41+'Tabell 5.2'!H101+'Tabell 5.2'!H127</f>
        <v>74.907000000000011</v>
      </c>
      <c r="I43" s="441">
        <f>'Tabell 5.1'!I17+'Tabell 5.1'!I29+'Tabell 5.1'!I41+'Tabell 5.1'!I53+'Tabell 5.1'!I67+'Tabell 5.1'!I79+'Tabell 5.1'!I91+'Tabell 5.1'!I103+'Tabell 5.2'!I17+'Tabell 5.2'!I29+'Tabell 5.2'!I53+'Tabell 5.2'!I65+'Tabell 5.2'!I77+I17+I29+'Tabell 5.2'!I89+'Tabell 5.2'!I113+'Tabell 5.2'!I139+'Tabell 5.2'!I41+'Tabell 5.2'!I101+'Tabell 5.2'!I127</f>
        <v>49.671999999999997</v>
      </c>
      <c r="J43" s="441">
        <f t="shared" si="17"/>
        <v>-33.700000000000003</v>
      </c>
      <c r="K43" s="441">
        <f>'Tabell 5.1'!K17+'Tabell 5.1'!K29+'Tabell 5.1'!K41+'Tabell 5.1'!K53+'Tabell 5.1'!K67+'Tabell 5.1'!K79+'Tabell 5.1'!K91+'Tabell 5.1'!K103+'Tabell 5.2'!K17+'Tabell 5.2'!K29+'Tabell 5.2'!K53+'Tabell 5.2'!K65+'Tabell 5.2'!K77+K17+K29+'Tabell 5.2'!K89+'Tabell 5.2'!K113+'Tabell 5.2'!K139+'Tabell 5.2'!K41+'Tabell 5.2'!K101+'Tabell 5.2'!K127</f>
        <v>1</v>
      </c>
      <c r="L43" s="441">
        <f>'Tabell 5.1'!L17+'Tabell 5.1'!L29+'Tabell 5.1'!L41+'Tabell 5.1'!L53+'Tabell 5.1'!L67+'Tabell 5.1'!L79+'Tabell 5.1'!L91+'Tabell 5.1'!L103+'Tabell 5.2'!L17+'Tabell 5.2'!L29+'Tabell 5.2'!L53+'Tabell 5.2'!L65+'Tabell 5.2'!L77+L17+L29+'Tabell 5.2'!L89+'Tabell 5.2'!L113+'Tabell 5.2'!L139+'Tabell 5.2'!L41+'Tabell 5.2'!L101+'Tabell 5.2'!L127</f>
        <v>181</v>
      </c>
      <c r="M43" s="452">
        <f t="shared" si="18"/>
        <v>999</v>
      </c>
      <c r="N43" s="441">
        <f>'Tabell 5.1'!N17+'Tabell 5.1'!N29+'Tabell 5.1'!N41+'Tabell 5.1'!N53+'Tabell 5.1'!N67+'Tabell 5.1'!N79+'Tabell 5.1'!N91+'Tabell 5.1'!N103+'Tabell 5.2'!N17+'Tabell 5.2'!N29+'Tabell 5.2'!N53+'Tabell 5.2'!N65+'Tabell 5.2'!N77+N17+N29+'Tabell 5.2'!N89+'Tabell 5.2'!N113+'Tabell 5.2'!N139+'Tabell 5.2'!N41+'Tabell 5.2'!N101+'Tabell 5.2'!N127</f>
        <v>790.9446807725692</v>
      </c>
      <c r="O43" s="441">
        <f>'Tabell 5.1'!O17+'Tabell 5.1'!O29+'Tabell 5.1'!O41+'Tabell 5.1'!O53+'Tabell 5.1'!O67+'Tabell 5.1'!O79+'Tabell 5.1'!O91+'Tabell 5.1'!O103+'Tabell 5.2'!O17+'Tabell 5.2'!O29+'Tabell 5.2'!O53+'Tabell 5.2'!O65+'Tabell 5.2'!O77+O17+O29+'Tabell 5.2'!O89+'Tabell 5.2'!O113+'Tabell 5.2'!O139+'Tabell 5.2'!O41+'Tabell 5.2'!O101+'Tabell 5.2'!O127</f>
        <v>601.79568599999993</v>
      </c>
      <c r="P43" s="452">
        <f t="shared" si="19"/>
        <v>-23.9</v>
      </c>
      <c r="Q43" s="441">
        <f>'Tabell 5.1'!Q17+'Tabell 5.1'!Q29+'Tabell 5.1'!Q41+'Tabell 5.1'!Q53+'Tabell 5.1'!Q67+'Tabell 5.1'!Q79+'Tabell 5.1'!Q91+'Tabell 5.1'!Q103+'Tabell 5.2'!Q17+'Tabell 5.2'!Q29+'Tabell 5.2'!Q53+'Tabell 5.2'!Q65+'Tabell 5.2'!Q77+Q17+Q29+'Tabell 5.2'!Q89+'Tabell 5.2'!Q113+'Tabell 5.2'!Q139+'Tabell 5.2'!Q41+'Tabell 5.2'!Q101+'Tabell 5.2'!Q127</f>
        <v>369.03026239587257</v>
      </c>
      <c r="R43" s="441">
        <f>'Tabell 5.1'!R17+'Tabell 5.1'!R29+'Tabell 5.1'!R41+'Tabell 5.1'!R53+'Tabell 5.1'!R67+'Tabell 5.1'!R79+'Tabell 5.1'!R91+'Tabell 5.1'!R103+'Tabell 5.2'!R17+'Tabell 5.2'!R29+'Tabell 5.2'!R53+'Tabell 5.2'!R65+'Tabell 5.2'!R77+R17+R29+'Tabell 5.2'!R89+'Tabell 5.2'!R113+'Tabell 5.2'!R139+'Tabell 5.2'!R41+'Tabell 5.2'!R101+'Tabell 5.2'!R127</f>
        <v>252.76708154307994</v>
      </c>
      <c r="S43" s="452">
        <f t="shared" si="20"/>
        <v>-31.5</v>
      </c>
      <c r="T43" s="441">
        <f>'Tabell 5.1'!T17+'Tabell 5.1'!T29+'Tabell 5.1'!T41+'Tabell 5.1'!T53+'Tabell 5.1'!T67+'Tabell 5.1'!T79+'Tabell 5.1'!T91+'Tabell 5.1'!T103+'Tabell 5.2'!T17+'Tabell 5.2'!T29+'Tabell 5.2'!T53+'Tabell 5.2'!T65+'Tabell 5.2'!T77+T17+T29+'Tabell 5.2'!T89+'Tabell 5.2'!T113+'Tabell 5.2'!T139+'Tabell 5.2'!T41+'Tabell 5.2'!T101+'Tabell 5.2'!T127</f>
        <v>116</v>
      </c>
      <c r="U43" s="441">
        <f>'Tabell 5.1'!U17+'Tabell 5.1'!U29+'Tabell 5.1'!U41+'Tabell 5.1'!U53+'Tabell 5.1'!U67+'Tabell 5.1'!U79+'Tabell 5.1'!U91+'Tabell 5.1'!U103+'Tabell 5.2'!U17+'Tabell 5.2'!U29+'Tabell 5.2'!U53+'Tabell 5.2'!U65+'Tabell 5.2'!U77+U17+U29+'Tabell 5.2'!U89+'Tabell 5.2'!U113+'Tabell 5.2'!U139+'Tabell 5.2'!U41+'Tabell 5.2'!U101+'Tabell 5.2'!U127</f>
        <v>227</v>
      </c>
      <c r="V43" s="441">
        <f t="shared" si="21"/>
        <v>95.7</v>
      </c>
      <c r="W43" s="441">
        <f>'Tabell 5.1'!W17+'Tabell 5.1'!W29+'Tabell 5.1'!W41+'Tabell 5.1'!W53+'Tabell 5.1'!W67+'Tabell 5.1'!W79+'Tabell 5.1'!W91+'Tabell 5.1'!W103+'Tabell 5.2'!W17+'Tabell 5.2'!W29+'Tabell 5.2'!W53+'Tabell 5.2'!W65+'Tabell 5.2'!W77+W17+W29+'Tabell 5.2'!W89+'Tabell 5.2'!W113+'Tabell 5.2'!W139+'Tabell 5.2'!W41+'Tabell 5.2'!W101+'Tabell 5.2'!W127</f>
        <v>92</v>
      </c>
      <c r="X43" s="441">
        <f>'Tabell 5.1'!X17+'Tabell 5.1'!X29+'Tabell 5.1'!X41+'Tabell 5.1'!X53+'Tabell 5.1'!X67+'Tabell 5.1'!X79+'Tabell 5.1'!X91+'Tabell 5.1'!X103+'Tabell 5.2'!X17+'Tabell 5.2'!X29+'Tabell 5.2'!X53+'Tabell 5.2'!X65+'Tabell 5.2'!X77+X17+X29+'Tabell 5.2'!X89+'Tabell 5.2'!X113+'Tabell 5.2'!X139+'Tabell 5.2'!X41+'Tabell 5.2'!X101+'Tabell 5.2'!X127</f>
        <v>69</v>
      </c>
      <c r="Y43" s="452">
        <f t="shared" si="22"/>
        <v>-25</v>
      </c>
      <c r="Z43" s="441">
        <f>'Tabell 5.1'!Z17+'Tabell 5.1'!Z29+'Tabell 5.1'!Z41+'Tabell 5.1'!Z53+'Tabell 5.1'!Z67+'Tabell 5.1'!Z79+'Tabell 5.1'!Z91+'Tabell 5.1'!Z103+'Tabell 5.2'!Z17+'Tabell 5.2'!Z29+'Tabell 5.2'!Z53+'Tabell 5.2'!Z65+'Tabell 5.2'!Z77+Z17+Z29+'Tabell 5.2'!Z89+'Tabell 5.2'!Z113+'Tabell 5.2'!Z139+'Tabell 5.2'!Z41+'Tabell 5.2'!Z101+'Tabell 5.2'!Z127</f>
        <v>735.67138074999991</v>
      </c>
      <c r="AA43" s="441">
        <f>'Tabell 5.1'!AA17+'Tabell 5.1'!AA29+'Tabell 5.1'!AA41+'Tabell 5.1'!AA53+'Tabell 5.1'!AA67+'Tabell 5.1'!AA79+'Tabell 5.1'!AA91+'Tabell 5.1'!AA103+'Tabell 5.2'!AA17+'Tabell 5.2'!AA29+'Tabell 5.2'!AA53+'Tabell 5.2'!AA65+'Tabell 5.2'!AA77+AA17+AA29+'Tabell 5.2'!AA89+'Tabell 5.2'!AA113+'Tabell 5.2'!AA139+'Tabell 5.2'!AA41+'Tabell 5.2'!AA101+'Tabell 5.2'!AA127</f>
        <v>603.62245618000054</v>
      </c>
      <c r="AB43" s="441">
        <f t="shared" si="23"/>
        <v>-17.899999999999999</v>
      </c>
      <c r="AC43" s="441">
        <f>'Tabell 5.1'!AC17+'Tabell 5.1'!AC29+'Tabell 5.1'!AC41+'Tabell 5.1'!AC53+'Tabell 5.1'!AC67+'Tabell 5.1'!AC79+'Tabell 5.1'!AC91+'Tabell 5.1'!AC103+'Tabell 5.2'!AC17+'Tabell 5.2'!AC29+'Tabell 5.2'!AC53+'Tabell 5.2'!AC65+'Tabell 5.2'!AC77+AC17+AC29+'Tabell 5.2'!AC89+'Tabell 5.2'!AC113+'Tabell 5.2'!AC139+'Tabell 5.2'!AC41+'Tabell 5.2'!AC101+'Tabell 5.2'!AC127</f>
        <v>0</v>
      </c>
      <c r="AD43" s="441">
        <f>'Tabell 5.1'!AD17+'Tabell 5.1'!AD29+'Tabell 5.1'!AD41+'Tabell 5.1'!AD53+'Tabell 5.1'!AD67+'Tabell 5.1'!AD79+'Tabell 5.1'!AD91+'Tabell 5.1'!AD103+'Tabell 5.2'!AD17+'Tabell 5.2'!AD29+'Tabell 5.2'!AD53+'Tabell 5.2'!AD65+'Tabell 5.2'!AD77+AD17+AD29+'Tabell 5.2'!AD89+'Tabell 5.2'!AD113+'Tabell 5.2'!AD139+'Tabell 5.2'!AD41+'Tabell 5.2'!AD101+'Tabell 5.2'!AD127</f>
        <v>0</v>
      </c>
      <c r="AE43" s="441" t="str">
        <f t="shared" si="24"/>
        <v xml:space="preserve">    ---- </v>
      </c>
      <c r="AF43" s="441">
        <f t="shared" si="25"/>
        <v>3349.7397450184417</v>
      </c>
      <c r="AG43" s="441">
        <f t="shared" si="25"/>
        <v>3505.3910147280581</v>
      </c>
      <c r="AH43" s="452">
        <f t="shared" si="26"/>
        <v>4.5999999999999996</v>
      </c>
      <c r="AI43" s="441">
        <f t="shared" si="27"/>
        <v>3349.7397450184417</v>
      </c>
      <c r="AJ43" s="441">
        <f t="shared" si="28"/>
        <v>3505.3910147280581</v>
      </c>
      <c r="AK43" s="452">
        <f>IF(AI43=0, "    ---- ", IF(ABS(ROUND(100/AI43*AJ43-100,1))&lt;999,ROUND(100/AI43*AJ43-100,1),IF(ROUND(100/AI43*AJ43-100,1)&gt;999,999,-999)))</f>
        <v>4.5999999999999996</v>
      </c>
      <c r="AL43" s="583"/>
      <c r="AM43" s="552"/>
      <c r="AN43" s="552"/>
      <c r="AO43" s="552"/>
    </row>
    <row r="44" spans="1:41" ht="18.75" customHeight="1" x14ac:dyDescent="0.35">
      <c r="A44" s="421" t="s">
        <v>311</v>
      </c>
      <c r="B44" s="441"/>
      <c r="C44" s="441"/>
      <c r="D44" s="452"/>
      <c r="E44" s="441"/>
      <c r="F44" s="441"/>
      <c r="G44" s="441"/>
      <c r="H44" s="441"/>
      <c r="I44" s="441"/>
      <c r="J44" s="441"/>
      <c r="K44" s="441"/>
      <c r="L44" s="441"/>
      <c r="M44" s="452"/>
      <c r="N44" s="441">
        <f>'Tabell 5.1'!N18+'Tabell 5.1'!N30+'Tabell 5.1'!N42+'Tabell 5.1'!N54+'Tabell 5.1'!N68+'Tabell 5.1'!N80+'Tabell 5.1'!N92+'Tabell 5.1'!N104+'Tabell 5.2'!N18+'Tabell 5.2'!N30+'Tabell 5.2'!N54+'Tabell 5.2'!N66+'Tabell 5.2'!N78+N18+N30+'Tabell 5.2'!N90+'Tabell 5.2'!N114+'Tabell 5.2'!N140+'Tabell 5.2'!N42+'Tabell 5.2'!N102+'Tabell 5.2'!N128</f>
        <v>789.94468099999995</v>
      </c>
      <c r="O44" s="441">
        <f>'Tabell 5.1'!O18+'Tabell 5.1'!O30+'Tabell 5.1'!O42+'Tabell 5.1'!O54+'Tabell 5.1'!O68+'Tabell 5.1'!O80+'Tabell 5.1'!O92+'Tabell 5.1'!O104+'Tabell 5.2'!O18+'Tabell 5.2'!O30+'Tabell 5.2'!O54+'Tabell 5.2'!O66+'Tabell 5.2'!O78+O18+O30+'Tabell 5.2'!O90+'Tabell 5.2'!O114+'Tabell 5.2'!O140+'Tabell 5.2'!O42+'Tabell 5.2'!O102+'Tabell 5.2'!O128</f>
        <v>601.79568602000006</v>
      </c>
      <c r="P44" s="452">
        <f t="shared" si="19"/>
        <v>-23.8</v>
      </c>
      <c r="Q44" s="441">
        <f>'Tabell 5.1'!Q18+'Tabell 5.1'!Q30+'Tabell 5.1'!Q42+'Tabell 5.1'!Q54+'Tabell 5.1'!Q68+'Tabell 5.1'!Q80+'Tabell 5.1'!Q92+'Tabell 5.1'!Q104+'Tabell 5.2'!Q18+'Tabell 5.2'!Q30+'Tabell 5.2'!Q54+'Tabell 5.2'!Q66+'Tabell 5.2'!Q78+Q18+Q30+'Tabell 5.2'!Q90+'Tabell 5.2'!Q114+'Tabell 5.2'!Q140+'Tabell 5.2'!Q42+'Tabell 5.2'!Q102+'Tabell 5.2'!Q128</f>
        <v>275.70755268228675</v>
      </c>
      <c r="R44" s="441">
        <f>'Tabell 5.1'!R18+'Tabell 5.1'!R30+'Tabell 5.1'!R42+'Tabell 5.1'!R54+'Tabell 5.1'!R68+'Tabell 5.1'!R80+'Tabell 5.1'!R92+'Tabell 5.1'!R104+'Tabell 5.2'!R18+'Tabell 5.2'!R30+'Tabell 5.2'!R54+'Tabell 5.2'!R66+'Tabell 5.2'!R78+R18+R30+'Tabell 5.2'!R90+'Tabell 5.2'!R114+'Tabell 5.2'!R140+'Tabell 5.2'!R42+'Tabell 5.2'!R102+'Tabell 5.2'!R128</f>
        <v>345.7912864290405</v>
      </c>
      <c r="S44" s="452">
        <f t="shared" si="20"/>
        <v>25.4</v>
      </c>
      <c r="T44" s="441">
        <f>'Tabell 5.1'!T18+'Tabell 5.1'!T30+'Tabell 5.1'!T42+'Tabell 5.1'!T54+'Tabell 5.1'!T68+'Tabell 5.1'!T80+'Tabell 5.1'!T92+'Tabell 5.1'!T104+'Tabell 5.2'!T18+'Tabell 5.2'!T30+'Tabell 5.2'!T54+'Tabell 5.2'!T66+'Tabell 5.2'!T78+T18+T30+'Tabell 5.2'!T90+'Tabell 5.2'!T114+'Tabell 5.2'!T140+'Tabell 5.2'!T42+'Tabell 5.2'!T102+'Tabell 5.2'!T128</f>
        <v>58</v>
      </c>
      <c r="U44" s="441">
        <f>'Tabell 5.1'!U18+'Tabell 5.1'!U30+'Tabell 5.1'!U42+'Tabell 5.1'!U54+'Tabell 5.1'!U68+'Tabell 5.1'!U80+'Tabell 5.1'!U92+'Tabell 5.1'!U104+'Tabell 5.2'!U18+'Tabell 5.2'!U30+'Tabell 5.2'!U54+'Tabell 5.2'!U66+'Tabell 5.2'!U78+U18+U30+'Tabell 5.2'!U90+'Tabell 5.2'!U114+'Tabell 5.2'!U140+'Tabell 5.2'!U42+'Tabell 5.2'!U102+'Tabell 5.2'!U128</f>
        <v>0</v>
      </c>
      <c r="V44" s="441">
        <f t="shared" si="21"/>
        <v>-100</v>
      </c>
      <c r="W44" s="441"/>
      <c r="X44" s="441"/>
      <c r="Y44" s="452"/>
      <c r="Z44" s="441">
        <f>'Tabell 5.1'!Z18+'Tabell 5.1'!Z30+'Tabell 5.1'!Z42+'Tabell 5.1'!Z54+'Tabell 5.1'!Z68+'Tabell 5.1'!Z80+'Tabell 5.1'!Z92+'Tabell 5.1'!Z104+'Tabell 5.2'!Z18+'Tabell 5.2'!Z30+'Tabell 5.2'!Z54+'Tabell 5.2'!Z66+'Tabell 5.2'!Z78+Z18+Z30+'Tabell 5.2'!Z90+'Tabell 5.2'!Z114+'Tabell 5.2'!Z140+'Tabell 5.2'!Z42+'Tabell 5.2'!Z102+'Tabell 5.2'!Z128</f>
        <v>175.57994300000001</v>
      </c>
      <c r="AA44" s="441">
        <f>'Tabell 5.1'!AA18+'Tabell 5.1'!AA30+'Tabell 5.1'!AA42+'Tabell 5.1'!AA54+'Tabell 5.1'!AA68+'Tabell 5.1'!AA80+'Tabell 5.1'!AA92+'Tabell 5.1'!AA104+'Tabell 5.2'!AA18+'Tabell 5.2'!AA30+'Tabell 5.2'!AA54+'Tabell 5.2'!AA66+'Tabell 5.2'!AA78+AA18+AA30+'Tabell 5.2'!AA90+'Tabell 5.2'!AA114+'Tabell 5.2'!AA140+'Tabell 5.2'!AA42+'Tabell 5.2'!AA102+'Tabell 5.2'!AA128</f>
        <v>173.64097399999997</v>
      </c>
      <c r="AB44" s="441">
        <f t="shared" si="23"/>
        <v>-1.1000000000000001</v>
      </c>
      <c r="AC44" s="441">
        <f>'Tabell 5.1'!AC18+'Tabell 5.1'!AC30+'Tabell 5.1'!AC42+'Tabell 5.1'!AC54+'Tabell 5.1'!AC68+'Tabell 5.1'!AC80+'Tabell 5.1'!AC92+'Tabell 5.1'!AC104+'Tabell 5.2'!AC18+'Tabell 5.2'!AC30+'Tabell 5.2'!AC54+'Tabell 5.2'!AC66+'Tabell 5.2'!AC78+AC18+AC30+'Tabell 5.2'!AC90+'Tabell 5.2'!AC114+'Tabell 5.2'!AC140+'Tabell 5.2'!AC42+'Tabell 5.2'!AC102+'Tabell 5.2'!AC128</f>
        <v>0</v>
      </c>
      <c r="AD44" s="441">
        <f>'Tabell 5.1'!AD18+'Tabell 5.1'!AD30+'Tabell 5.1'!AD42+'Tabell 5.1'!AD54+'Tabell 5.1'!AD68+'Tabell 5.1'!AD80+'Tabell 5.1'!AD92+'Tabell 5.1'!AD104+'Tabell 5.2'!AD18+'Tabell 5.2'!AD30+'Tabell 5.2'!AD54+'Tabell 5.2'!AD66+'Tabell 5.2'!AD78+AD18+AD30+'Tabell 5.2'!AD90+'Tabell 5.2'!AD114+'Tabell 5.2'!AD140+'Tabell 5.2'!AD42+'Tabell 5.2'!AD102+'Tabell 5.2'!AD128</f>
        <v>0</v>
      </c>
      <c r="AE44" s="441" t="str">
        <f t="shared" si="24"/>
        <v xml:space="preserve">    ---- </v>
      </c>
      <c r="AF44" s="441">
        <f t="shared" si="25"/>
        <v>1299.2321766822868</v>
      </c>
      <c r="AG44" s="441">
        <f t="shared" si="25"/>
        <v>1121.2279464490405</v>
      </c>
      <c r="AH44" s="452">
        <f t="shared" si="26"/>
        <v>-13.7</v>
      </c>
      <c r="AI44" s="441">
        <f t="shared" si="27"/>
        <v>1299.2321766822868</v>
      </c>
      <c r="AJ44" s="441">
        <f t="shared" si="28"/>
        <v>1121.2279464490405</v>
      </c>
      <c r="AK44" s="452">
        <f>IF(AI44=0, "    ---- ", IF(ABS(ROUND(100/AI44*AJ44-100,1))&lt;999,ROUND(100/AI44*AJ44-100,1),IF(ROUND(100/AI44*AJ44-100,1)&gt;999,999,-999)))</f>
        <v>-13.7</v>
      </c>
      <c r="AL44" s="583"/>
      <c r="AM44" s="552"/>
      <c r="AN44" s="552"/>
      <c r="AO44" s="552"/>
    </row>
    <row r="45" spans="1:41" ht="18.75" customHeight="1" x14ac:dyDescent="0.35">
      <c r="A45" s="421" t="s">
        <v>312</v>
      </c>
      <c r="B45" s="441"/>
      <c r="C45" s="441"/>
      <c r="D45" s="452"/>
      <c r="E45" s="441"/>
      <c r="F45" s="441"/>
      <c r="G45" s="441"/>
      <c r="H45" s="441"/>
      <c r="I45" s="441"/>
      <c r="J45" s="441"/>
      <c r="K45" s="441"/>
      <c r="L45" s="441"/>
      <c r="M45" s="452"/>
      <c r="N45" s="441"/>
      <c r="O45" s="441"/>
      <c r="P45" s="452"/>
      <c r="Q45" s="441">
        <f>'Tabell 5.1'!Q19+'Tabell 5.1'!Q31+'Tabell 5.1'!Q43+'Tabell 5.1'!Q55+'Tabell 5.1'!Q69+'Tabell 5.1'!Q81+'Tabell 5.1'!Q93+'Tabell 5.1'!Q105+'Tabell 5.2'!Q19+'Tabell 5.2'!Q31+'Tabell 5.2'!Q55+'Tabell 5.2'!Q67+'Tabell 5.2'!Q79+Q19+Q31+'Tabell 5.2'!Q91+'Tabell 5.2'!Q115+'Tabell 5.2'!Q141+'Tabell 5.2'!Q43+'Tabell 5.2'!Q103+'Tabell 5.2'!Q129</f>
        <v>-13.539808000000001</v>
      </c>
      <c r="R45" s="441">
        <f>'Tabell 5.1'!R19+'Tabell 5.1'!R31+'Tabell 5.1'!R43+'Tabell 5.1'!R55+'Tabell 5.1'!R69+'Tabell 5.1'!R81+'Tabell 5.1'!R93+'Tabell 5.1'!R105+'Tabell 5.2'!R19+'Tabell 5.2'!R31+'Tabell 5.2'!R55+'Tabell 5.2'!R67+'Tabell 5.2'!R79+R19+R31+'Tabell 5.2'!R91+'Tabell 5.2'!R115+'Tabell 5.2'!R141+'Tabell 5.2'!R43+'Tabell 5.2'!R103+'Tabell 5.2'!R129</f>
        <v>-13.864808</v>
      </c>
      <c r="S45" s="452">
        <f t="shared" si="20"/>
        <v>2.4</v>
      </c>
      <c r="T45" s="441"/>
      <c r="U45" s="441"/>
      <c r="V45" s="441"/>
      <c r="W45" s="441"/>
      <c r="X45" s="441"/>
      <c r="Y45" s="452"/>
      <c r="Z45" s="441">
        <f>'Tabell 5.1'!Z19+'Tabell 5.1'!Z31+'Tabell 5.1'!Z43+'Tabell 5.1'!Z55+'Tabell 5.1'!Z69+'Tabell 5.1'!Z81+'Tabell 5.1'!Z93+'Tabell 5.1'!Z105+'Tabell 5.2'!Z19+'Tabell 5.2'!Z31+'Tabell 5.2'!Z55+'Tabell 5.2'!Z67+'Tabell 5.2'!Z79+Z19+Z31+'Tabell 5.2'!Z91+'Tabell 5.2'!Z115+'Tabell 5.2'!Z141+'Tabell 5.2'!Z43+'Tabell 5.2'!Z103+'Tabell 5.2'!Z129</f>
        <v>0.40559899999999999</v>
      </c>
      <c r="AA45" s="441">
        <f>'Tabell 5.1'!AA19+'Tabell 5.1'!AA31+'Tabell 5.1'!AA43+'Tabell 5.1'!AA55+'Tabell 5.1'!AA69+'Tabell 5.1'!AA81+'Tabell 5.1'!AA93+'Tabell 5.1'!AA105+'Tabell 5.2'!AA19+'Tabell 5.2'!AA31+'Tabell 5.2'!AA55+'Tabell 5.2'!AA67+'Tabell 5.2'!AA79+AA19+AA31+'Tabell 5.2'!AA91+'Tabell 5.2'!AA115+'Tabell 5.2'!AA141+'Tabell 5.2'!AA43+'Tabell 5.2'!AA103+'Tabell 5.2'!AA129</f>
        <v>-5.3310999999999997E-2</v>
      </c>
      <c r="AB45" s="441">
        <f t="shared" si="23"/>
        <v>-113.1</v>
      </c>
      <c r="AC45" s="441">
        <f>'Tabell 5.1'!AC19+'Tabell 5.1'!AC31+'Tabell 5.1'!AC43+'Tabell 5.1'!AC55+'Tabell 5.1'!AC69+'Tabell 5.1'!AC81+'Tabell 5.1'!AC93+'Tabell 5.1'!AC105+'Tabell 5.2'!AC19+'Tabell 5.2'!AC31+'Tabell 5.2'!AC55+'Tabell 5.2'!AC67+'Tabell 5.2'!AC79+AC19+AC31+'Tabell 5.2'!AC91+'Tabell 5.2'!AC115+'Tabell 5.2'!AC141+'Tabell 5.2'!AC43+'Tabell 5.2'!AC103+'Tabell 5.2'!AC129</f>
        <v>0</v>
      </c>
      <c r="AD45" s="441">
        <f>'Tabell 5.1'!AD19+'Tabell 5.1'!AD31+'Tabell 5.1'!AD43+'Tabell 5.1'!AD55+'Tabell 5.1'!AD69+'Tabell 5.1'!AD81+'Tabell 5.1'!AD93+'Tabell 5.1'!AD105+'Tabell 5.2'!AD19+'Tabell 5.2'!AD31+'Tabell 5.2'!AD55+'Tabell 5.2'!AD67+'Tabell 5.2'!AD79+AD19+AD31+'Tabell 5.2'!AD91+'Tabell 5.2'!AD115+'Tabell 5.2'!AD141+'Tabell 5.2'!AD43+'Tabell 5.2'!AD103+'Tabell 5.2'!AD129</f>
        <v>0</v>
      </c>
      <c r="AE45" s="441" t="str">
        <f t="shared" si="24"/>
        <v xml:space="preserve">    ---- </v>
      </c>
      <c r="AF45" s="441">
        <f t="shared" si="25"/>
        <v>-13.134209</v>
      </c>
      <c r="AG45" s="441">
        <f t="shared" si="25"/>
        <v>-13.918119000000001</v>
      </c>
      <c r="AH45" s="452">
        <f t="shared" si="26"/>
        <v>6</v>
      </c>
      <c r="AI45" s="441">
        <f t="shared" si="27"/>
        <v>-13.134209</v>
      </c>
      <c r="AJ45" s="441">
        <f t="shared" si="28"/>
        <v>-13.918119000000001</v>
      </c>
      <c r="AK45" s="452"/>
      <c r="AL45" s="583"/>
      <c r="AM45" s="552"/>
      <c r="AN45" s="552"/>
      <c r="AO45" s="552"/>
    </row>
    <row r="46" spans="1:41" s="568" customFormat="1" ht="18.75" customHeight="1" x14ac:dyDescent="0.3">
      <c r="A46" s="535" t="s">
        <v>313</v>
      </c>
      <c r="B46" s="443">
        <f>'Tabell 5.1'!B20+'Tabell 5.1'!B32+'Tabell 5.1'!B44+'Tabell 5.1'!B56+'Tabell 5.1'!B70+'Tabell 5.1'!B82+'Tabell 5.1'!B94+'Tabell 5.1'!B106+'Tabell 5.2'!B20+'Tabell 5.2'!B32+'Tabell 5.2'!B56+'Tabell 5.2'!B68+'Tabell 5.2'!B80+B20+B32+'Tabell 5.2'!B92+'Tabell 5.2'!B116+'Tabell 5.2'!B142+'Tabell 5.2'!B44+'Tabell 5.2'!B104+'Tabell 5.2'!B130</f>
        <v>26633.406769999994</v>
      </c>
      <c r="C46" s="443">
        <f>'Tabell 5.1'!C20+'Tabell 5.1'!C32+'Tabell 5.1'!C44+'Tabell 5.1'!C56+'Tabell 5.1'!C70+'Tabell 5.1'!C82+'Tabell 5.1'!C94+'Tabell 5.1'!C106+'Tabell 5.2'!C20+'Tabell 5.2'!C32+'Tabell 5.2'!C56+'Tabell 5.2'!C68+'Tabell 5.2'!C80+C20+C32+'Tabell 5.2'!C92+'Tabell 5.2'!C116+'Tabell 5.2'!C142+'Tabell 5.2'!C44+'Tabell 5.2'!C104+'Tabell 5.2'!C130</f>
        <v>31786.2189636683</v>
      </c>
      <c r="D46" s="453">
        <f t="shared" si="15"/>
        <v>19.3</v>
      </c>
      <c r="E46" s="443">
        <f>'Tabell 5.1'!E20+'Tabell 5.1'!E32+'Tabell 5.1'!E44+'Tabell 5.1'!E56+'Tabell 5.1'!E70+'Tabell 5.1'!E82+'Tabell 5.1'!E94+'Tabell 5.1'!E106+'Tabell 5.2'!E20+'Tabell 5.2'!E32+'Tabell 5.2'!E56+'Tabell 5.2'!E68+'Tabell 5.2'!E80+E20+E32+'Tabell 5.2'!E92+'Tabell 5.2'!E116+'Tabell 5.2'!E142+'Tabell 5.2'!E44+'Tabell 5.2'!E104+'Tabell 5.2'!E130</f>
        <v>1056.08924604</v>
      </c>
      <c r="F46" s="443">
        <f>'Tabell 5.1'!F20+'Tabell 5.1'!F32+'Tabell 5.1'!F44+'Tabell 5.1'!F56+'Tabell 5.1'!F70+'Tabell 5.1'!F82+'Tabell 5.1'!F94+'Tabell 5.1'!F106+'Tabell 5.2'!F20+'Tabell 5.2'!F32+'Tabell 5.2'!F56+'Tabell 5.2'!F68+'Tabell 5.2'!F80+F20+F32+'Tabell 5.2'!F92+'Tabell 5.2'!F116+'Tabell 5.2'!F142+'Tabell 5.2'!F44+'Tabell 5.2'!F104+'Tabell 5.2'!F130</f>
        <v>899.98415523000006</v>
      </c>
      <c r="G46" s="443">
        <f t="shared" si="16"/>
        <v>-14.8</v>
      </c>
      <c r="H46" s="443">
        <f>'Tabell 5.1'!H20+'Tabell 5.1'!H32+'Tabell 5.1'!H44+'Tabell 5.1'!H56+'Tabell 5.1'!H70+'Tabell 5.1'!H82+'Tabell 5.1'!H94+'Tabell 5.1'!H106+'Tabell 5.2'!H20+'Tabell 5.2'!H32+'Tabell 5.2'!H56+'Tabell 5.2'!H68+'Tabell 5.2'!H80+H20+H32+'Tabell 5.2'!H92+'Tabell 5.2'!H116+'Tabell 5.2'!H142+'Tabell 5.2'!H44+'Tabell 5.2'!H104+'Tabell 5.2'!H130</f>
        <v>96.742000000000019</v>
      </c>
      <c r="I46" s="443">
        <f>'Tabell 5.1'!I20+'Tabell 5.1'!I32+'Tabell 5.1'!I44+'Tabell 5.1'!I56+'Tabell 5.1'!I70+'Tabell 5.1'!I82+'Tabell 5.1'!I94+'Tabell 5.1'!I106+'Tabell 5.2'!I20+'Tabell 5.2'!I32+'Tabell 5.2'!I56+'Tabell 5.2'!I68+'Tabell 5.2'!I80+I20+I32+'Tabell 5.2'!I92+'Tabell 5.2'!I116+'Tabell 5.2'!I142+'Tabell 5.2'!I44+'Tabell 5.2'!I104+'Tabell 5.2'!I130</f>
        <v>74.956999999999994</v>
      </c>
      <c r="J46" s="443">
        <f t="shared" si="17"/>
        <v>-22.5</v>
      </c>
      <c r="K46" s="443">
        <f>'Tabell 5.1'!K20+'Tabell 5.1'!K32+'Tabell 5.1'!K44+'Tabell 5.1'!K56+'Tabell 5.1'!K70+'Tabell 5.1'!K82+'Tabell 5.1'!K94+'Tabell 5.1'!K106+'Tabell 5.2'!K20+'Tabell 5.2'!K32+'Tabell 5.2'!K56+'Tabell 5.2'!K68+'Tabell 5.2'!K80+K20+K32+'Tabell 5.2'!K92+'Tabell 5.2'!K116+'Tabell 5.2'!K142+'Tabell 5.2'!K44+'Tabell 5.2'!K104+'Tabell 5.2'!K130</f>
        <v>329</v>
      </c>
      <c r="L46" s="443">
        <f>'Tabell 5.1'!L20+'Tabell 5.1'!L32+'Tabell 5.1'!L44+'Tabell 5.1'!L56+'Tabell 5.1'!L70+'Tabell 5.1'!L82+'Tabell 5.1'!L94+'Tabell 5.1'!L106+'Tabell 5.2'!L20+'Tabell 5.2'!L32+'Tabell 5.2'!L56+'Tabell 5.2'!L68+'Tabell 5.2'!L80+L20+L32+'Tabell 5.2'!L92+'Tabell 5.2'!L116+'Tabell 5.2'!L142+'Tabell 5.2'!L44+'Tabell 5.2'!L104+'Tabell 5.2'!L130</f>
        <v>130</v>
      </c>
      <c r="M46" s="453">
        <f t="shared" si="18"/>
        <v>-60.5</v>
      </c>
      <c r="N46" s="443">
        <f>'Tabell 5.1'!N20+'Tabell 5.1'!N32+'Tabell 5.1'!N44+'Tabell 5.1'!N56+'Tabell 5.1'!N70+'Tabell 5.1'!N82+'Tabell 5.1'!N94+'Tabell 5.1'!N106+'Tabell 5.2'!N20+'Tabell 5.2'!N32+'Tabell 5.2'!N56+'Tabell 5.2'!N68+'Tabell 5.2'!N80+N20+N32+'Tabell 5.2'!N92+'Tabell 5.2'!N116+'Tabell 5.2'!N142+'Tabell 5.2'!N44+'Tabell 5.2'!N104+'Tabell 5.2'!N130</f>
        <v>51972.247808670822</v>
      </c>
      <c r="O46" s="443">
        <f>'Tabell 5.1'!O20+'Tabell 5.1'!O32+'Tabell 5.1'!O44+'Tabell 5.1'!O56+'Tabell 5.1'!O70+'Tabell 5.1'!O82+'Tabell 5.1'!O94+'Tabell 5.1'!O106+'Tabell 5.2'!O20+'Tabell 5.2'!O32+'Tabell 5.2'!O56+'Tabell 5.2'!O68+'Tabell 5.2'!O80+O20+O32+'Tabell 5.2'!O92+'Tabell 5.2'!O116+'Tabell 5.2'!O142+'Tabell 5.2'!O44+'Tabell 5.2'!O104+'Tabell 5.2'!O130</f>
        <v>48674.004124999999</v>
      </c>
      <c r="P46" s="453">
        <f t="shared" si="19"/>
        <v>-6.3</v>
      </c>
      <c r="Q46" s="443">
        <f>'Tabell 5.1'!Q20+'Tabell 5.1'!Q32+'Tabell 5.1'!Q44+'Tabell 5.1'!Q56+'Tabell 5.1'!Q70+'Tabell 5.1'!Q82+'Tabell 5.1'!Q94+'Tabell 5.1'!Q106+'Tabell 5.2'!Q20+'Tabell 5.2'!Q32+'Tabell 5.2'!Q56+'Tabell 5.2'!Q68+'Tabell 5.2'!Q80+Q20+Q32+'Tabell 5.2'!Q92+'Tabell 5.2'!Q116+'Tabell 5.2'!Q142+'Tabell 5.2'!Q44+'Tabell 5.2'!Q104+'Tabell 5.2'!Q130</f>
        <v>1877.16207121105</v>
      </c>
      <c r="R46" s="443">
        <f>'Tabell 5.1'!R20+'Tabell 5.1'!R32+'Tabell 5.1'!R44+'Tabell 5.1'!R56+'Tabell 5.1'!R70+'Tabell 5.1'!R82+'Tabell 5.1'!R94+'Tabell 5.1'!R106+'Tabell 5.2'!R20+'Tabell 5.2'!R32+'Tabell 5.2'!R56+'Tabell 5.2'!R68+'Tabell 5.2'!R80+R20+R32+'Tabell 5.2'!R92+'Tabell 5.2'!R116+'Tabell 5.2'!R142+'Tabell 5.2'!R44+'Tabell 5.2'!R104+'Tabell 5.2'!R130</f>
        <v>2555.1837368598699</v>
      </c>
      <c r="S46" s="453">
        <f t="shared" si="20"/>
        <v>36.1</v>
      </c>
      <c r="T46" s="443">
        <f>'Tabell 5.1'!T20+'Tabell 5.1'!T32+'Tabell 5.1'!T44+'Tabell 5.1'!T56+'Tabell 5.1'!T70+'Tabell 5.1'!T82+'Tabell 5.1'!T94+'Tabell 5.1'!T106+'Tabell 5.2'!T20+'Tabell 5.2'!T32+'Tabell 5.2'!T56+'Tabell 5.2'!T68+'Tabell 5.2'!T80+T20+T32+'Tabell 5.2'!T92+'Tabell 5.2'!T116+'Tabell 5.2'!T142+'Tabell 5.2'!T44+'Tabell 5.2'!T104+'Tabell 5.2'!T130</f>
        <v>1427</v>
      </c>
      <c r="U46" s="443">
        <f>'Tabell 5.1'!U20+'Tabell 5.1'!U32+'Tabell 5.1'!U44+'Tabell 5.1'!U56+'Tabell 5.1'!U70+'Tabell 5.1'!U82+'Tabell 5.1'!U94+'Tabell 5.1'!U106+'Tabell 5.2'!U20+'Tabell 5.2'!U32+'Tabell 5.2'!U56+'Tabell 5.2'!U68+'Tabell 5.2'!U80+U20+U32+'Tabell 5.2'!U92+'Tabell 5.2'!U116+'Tabell 5.2'!U142+'Tabell 5.2'!U44+'Tabell 5.2'!U104+'Tabell 5.2'!U130</f>
        <v>1544</v>
      </c>
      <c r="V46" s="443">
        <f t="shared" si="21"/>
        <v>8.1999999999999993</v>
      </c>
      <c r="W46" s="443">
        <f>'Tabell 5.1'!W20+'Tabell 5.1'!W32+'Tabell 5.1'!W44+'Tabell 5.1'!W56+'Tabell 5.1'!W70+'Tabell 5.1'!W82+'Tabell 5.1'!W94+'Tabell 5.1'!W106+'Tabell 5.2'!W20+'Tabell 5.2'!W32+'Tabell 5.2'!W56+'Tabell 5.2'!W68+'Tabell 5.2'!W80+W20+W32+'Tabell 5.2'!W92+'Tabell 5.2'!W116+'Tabell 5.2'!W142+'Tabell 5.2'!W44+'Tabell 5.2'!W104+'Tabell 5.2'!W130</f>
        <v>475</v>
      </c>
      <c r="X46" s="443">
        <f>'Tabell 5.1'!X20+'Tabell 5.1'!X32+'Tabell 5.1'!X44+'Tabell 5.1'!X56+'Tabell 5.1'!X70+'Tabell 5.1'!X82+'Tabell 5.1'!X94+'Tabell 5.1'!X106+'Tabell 5.2'!X20+'Tabell 5.2'!X32+'Tabell 5.2'!X56+'Tabell 5.2'!X68+'Tabell 5.2'!X80+X20+X32+'Tabell 5.2'!X92+'Tabell 5.2'!X116+'Tabell 5.2'!X142+'Tabell 5.2'!X44+'Tabell 5.2'!X104+'Tabell 5.2'!X130</f>
        <v>679</v>
      </c>
      <c r="Y46" s="453">
        <f t="shared" si="22"/>
        <v>42.9</v>
      </c>
      <c r="Z46" s="443">
        <f>'Tabell 5.1'!Z20+'Tabell 5.1'!Z32+'Tabell 5.1'!Z44+'Tabell 5.1'!Z56+'Tabell 5.1'!Z70+'Tabell 5.1'!Z82+'Tabell 5.1'!Z94+'Tabell 5.1'!Z106+'Tabell 5.2'!Z20+'Tabell 5.2'!Z32+'Tabell 5.2'!Z56+'Tabell 5.2'!Z68+'Tabell 5.2'!Z80+Z20+Z32+'Tabell 5.2'!Z92+'Tabell 5.2'!Z116+'Tabell 5.2'!Z142+'Tabell 5.2'!Z44+'Tabell 5.2'!Z104+'Tabell 5.2'!Z130</f>
        <v>3570.7229199200128</v>
      </c>
      <c r="AA46" s="443">
        <f>'Tabell 5.1'!AA20+'Tabell 5.1'!AA32+'Tabell 5.1'!AA44+'Tabell 5.1'!AA56+'Tabell 5.1'!AA70+'Tabell 5.1'!AA82+'Tabell 5.1'!AA94+'Tabell 5.1'!AA106+'Tabell 5.2'!AA20+'Tabell 5.2'!AA32+'Tabell 5.2'!AA56+'Tabell 5.2'!AA68+'Tabell 5.2'!AA80+AA20+AA32+'Tabell 5.2'!AA92+'Tabell 5.2'!AA116+'Tabell 5.2'!AA142+'Tabell 5.2'!AA44+'Tabell 5.2'!AA104+'Tabell 5.2'!AA130</f>
        <v>5214.6433121300006</v>
      </c>
      <c r="AB46" s="443">
        <f t="shared" si="23"/>
        <v>46</v>
      </c>
      <c r="AC46" s="443">
        <f>'Tabell 5.1'!AC20+'Tabell 5.1'!AC32+'Tabell 5.1'!AC44+'Tabell 5.1'!AC56+'Tabell 5.1'!AC70+'Tabell 5.1'!AC82+'Tabell 5.1'!AC94+'Tabell 5.1'!AC106+'Tabell 5.2'!AC20+'Tabell 5.2'!AC32+'Tabell 5.2'!AC56+'Tabell 5.2'!AC68+'Tabell 5.2'!AC80+AC20+AC32+'Tabell 5.2'!AC92+'Tabell 5.2'!AC116+'Tabell 5.2'!AC142+'Tabell 5.2'!AC44+'Tabell 5.2'!AC104+'Tabell 5.2'!AC130</f>
        <v>0</v>
      </c>
      <c r="AD46" s="443">
        <f>'Tabell 5.1'!AD20+'Tabell 5.1'!AD32+'Tabell 5.1'!AD44+'Tabell 5.1'!AD56+'Tabell 5.1'!AD70+'Tabell 5.1'!AD82+'Tabell 5.1'!AD94+'Tabell 5.1'!AD106+'Tabell 5.2'!AD20+'Tabell 5.2'!AD32+'Tabell 5.2'!AD56+'Tabell 5.2'!AD68+'Tabell 5.2'!AD80+AD20+AD32+'Tabell 5.2'!AD92+'Tabell 5.2'!AD116+'Tabell 5.2'!AD142+'Tabell 5.2'!AD44+'Tabell 5.2'!AD104+'Tabell 5.2'!AD130</f>
        <v>0</v>
      </c>
      <c r="AE46" s="443" t="str">
        <f t="shared" si="24"/>
        <v xml:space="preserve">    ---- </v>
      </c>
      <c r="AF46" s="443">
        <f t="shared" si="25"/>
        <v>87437.370815841859</v>
      </c>
      <c r="AG46" s="443">
        <f t="shared" si="25"/>
        <v>91557.991292888168</v>
      </c>
      <c r="AH46" s="453">
        <f t="shared" si="26"/>
        <v>4.7</v>
      </c>
      <c r="AI46" s="443">
        <f t="shared" si="27"/>
        <v>87437.370815841859</v>
      </c>
      <c r="AJ46" s="443">
        <f t="shared" si="28"/>
        <v>91557.991292888168</v>
      </c>
      <c r="AK46" s="453">
        <f>IF(AI46=0, "    ---- ", IF(ABS(ROUND(100/AI46*AJ46-100,1))&lt;999,ROUND(100/AI46*AJ46-100,1),IF(ROUND(100/AI46*AJ46-100,1)&gt;999,999,-999)))</f>
        <v>4.7</v>
      </c>
      <c r="AL46" s="584"/>
      <c r="AM46" s="555"/>
      <c r="AN46" s="555"/>
      <c r="AO46" s="555"/>
    </row>
    <row r="47" spans="1:41" ht="18.75" customHeight="1" x14ac:dyDescent="0.35">
      <c r="A47" s="421" t="s">
        <v>314</v>
      </c>
      <c r="B47" s="441">
        <f>'Tabell 5.1'!B21+'Tabell 5.1'!B33+'Tabell 5.1'!B45+'Tabell 5.1'!B57+'Tabell 5.1'!B71+'Tabell 5.1'!B83+'Tabell 5.1'!B95+'Tabell 5.1'!B107+'Tabell 5.2'!B21+'Tabell 5.2'!B33+'Tabell 5.2'!B57+'Tabell 5.2'!B69+'Tabell 5.2'!B81+B21+B33+'Tabell 5.2'!B93+'Tabell 5.2'!B117+'Tabell 5.2'!B143+'Tabell 5.2'!B45+'Tabell 5.2'!B105+'Tabell 5.2'!B131</f>
        <v>23902.076000000001</v>
      </c>
      <c r="C47" s="441">
        <f>'Tabell 5.1'!C21+'Tabell 5.1'!C33+'Tabell 5.1'!C45+'Tabell 5.1'!C57+'Tabell 5.1'!C71+'Tabell 5.1'!C83+'Tabell 5.1'!C95+'Tabell 5.1'!C107+'Tabell 5.2'!C21+'Tabell 5.2'!C33+'Tabell 5.2'!C57+'Tabell 5.2'!C69+'Tabell 5.2'!C81+C21+C33+'Tabell 5.2'!C93+'Tabell 5.2'!C117+'Tabell 5.2'!C143+'Tabell 5.2'!C45+'Tabell 5.2'!C105+'Tabell 5.2'!C131</f>
        <v>30170.898762286033</v>
      </c>
      <c r="D47" s="452">
        <f t="shared" si="15"/>
        <v>26.2</v>
      </c>
      <c r="E47" s="441"/>
      <c r="F47" s="441"/>
      <c r="G47" s="441"/>
      <c r="H47" s="441"/>
      <c r="I47" s="441"/>
      <c r="J47" s="441"/>
      <c r="K47" s="441">
        <f>'Tabell 5.1'!K21+'Tabell 5.1'!K33+'Tabell 5.1'!K45+'Tabell 5.1'!K57+'Tabell 5.1'!K71+'Tabell 5.1'!K83+'Tabell 5.1'!K95+'Tabell 5.1'!K107+'Tabell 5.2'!K21+'Tabell 5.2'!K33+'Tabell 5.2'!K57+'Tabell 5.2'!K69+'Tabell 5.2'!K81+K21+K33+'Tabell 5.2'!K93+'Tabell 5.2'!K117+'Tabell 5.2'!K143+'Tabell 5.2'!K45+'Tabell 5.2'!K105+'Tabell 5.2'!K131</f>
        <v>109</v>
      </c>
      <c r="L47" s="441">
        <f>'Tabell 5.1'!L21+'Tabell 5.1'!L33+'Tabell 5.1'!L45+'Tabell 5.1'!L57+'Tabell 5.1'!L71+'Tabell 5.1'!L83+'Tabell 5.1'!L95+'Tabell 5.1'!L107+'Tabell 5.2'!L21+'Tabell 5.2'!L33+'Tabell 5.2'!L57+'Tabell 5.2'!L69+'Tabell 5.2'!L81+L21+L33+'Tabell 5.2'!L93+'Tabell 5.2'!L117+'Tabell 5.2'!L143+'Tabell 5.2'!L45+'Tabell 5.2'!L105+'Tabell 5.2'!L131</f>
        <v>195</v>
      </c>
      <c r="M47" s="452">
        <f t="shared" si="18"/>
        <v>78.900000000000006</v>
      </c>
      <c r="N47" s="441">
        <f>'Tabell 5.1'!N21+'Tabell 5.1'!N33+'Tabell 5.1'!N45+'Tabell 5.1'!N57+'Tabell 5.1'!N71+'Tabell 5.1'!N83+'Tabell 5.1'!N95+'Tabell 5.1'!N107+'Tabell 5.2'!N21+'Tabell 5.2'!N33+'Tabell 5.2'!N57+'Tabell 5.2'!N69+'Tabell 5.2'!N81+N21+N33+'Tabell 5.2'!N93+'Tabell 5.2'!N117+'Tabell 5.2'!N143+'Tabell 5.2'!N45+'Tabell 5.2'!N105+'Tabell 5.2'!N131</f>
        <v>51555.037953950094</v>
      </c>
      <c r="O47" s="441">
        <f>'Tabell 5.1'!O21+'Tabell 5.1'!O33+'Tabell 5.1'!O45+'Tabell 5.1'!O57+'Tabell 5.1'!O71+'Tabell 5.1'!O83+'Tabell 5.1'!O95+'Tabell 5.1'!O107+'Tabell 5.2'!O21+'Tabell 5.2'!O33+'Tabell 5.2'!O57+'Tabell 5.2'!O69+'Tabell 5.2'!O81+O21+O33+'Tabell 5.2'!O93+'Tabell 5.2'!O117+'Tabell 5.2'!O143+'Tabell 5.2'!O45+'Tabell 5.2'!O105+'Tabell 5.2'!O131</f>
        <v>-47924.268257429998</v>
      </c>
      <c r="P47" s="452">
        <f t="shared" si="19"/>
        <v>-193</v>
      </c>
      <c r="Q47" s="441">
        <f>'Tabell 5.1'!Q21+'Tabell 5.1'!Q33+'Tabell 5.1'!Q45+'Tabell 5.1'!Q57+'Tabell 5.1'!Q71+'Tabell 5.1'!Q83+'Tabell 5.1'!Q95+'Tabell 5.1'!Q107+'Tabell 5.2'!Q21+'Tabell 5.2'!Q33+'Tabell 5.2'!Q57+'Tabell 5.2'!Q69+'Tabell 5.2'!Q81+Q21+Q33+'Tabell 5.2'!Q93+'Tabell 5.2'!Q117+'Tabell 5.2'!Q143+'Tabell 5.2'!Q45+'Tabell 5.2'!Q105+'Tabell 5.2'!Q131</f>
        <v>511.92498956790513</v>
      </c>
      <c r="R47" s="441">
        <f>'Tabell 5.1'!R21+'Tabell 5.1'!R33+'Tabell 5.1'!R45+'Tabell 5.1'!R57+'Tabell 5.1'!R71+'Tabell 5.1'!R83+'Tabell 5.1'!R95+'Tabell 5.1'!R107+'Tabell 5.2'!R21+'Tabell 5.2'!R33+'Tabell 5.2'!R57+'Tabell 5.2'!R69+'Tabell 5.2'!R81+R21+R33+'Tabell 5.2'!R93+'Tabell 5.2'!R117+'Tabell 5.2'!R143+'Tabell 5.2'!R45+'Tabell 5.2'!R105+'Tabell 5.2'!R131</f>
        <v>1044.6631887570611</v>
      </c>
      <c r="S47" s="452">
        <f t="shared" si="20"/>
        <v>104.1</v>
      </c>
      <c r="T47" s="441">
        <f>'Tabell 5.1'!T21+'Tabell 5.1'!T33+'Tabell 5.1'!T45+'Tabell 5.1'!T57+'Tabell 5.1'!T71+'Tabell 5.1'!T83+'Tabell 5.1'!T95+'Tabell 5.1'!T107+'Tabell 5.2'!T21+'Tabell 5.2'!T33+'Tabell 5.2'!T57+'Tabell 5.2'!T69+'Tabell 5.2'!T81+T21+T33+'Tabell 5.2'!T93+'Tabell 5.2'!T117+'Tabell 5.2'!T143+'Tabell 5.2'!T45+'Tabell 5.2'!T105+'Tabell 5.2'!T131</f>
        <v>58</v>
      </c>
      <c r="U47" s="441">
        <f>'Tabell 5.1'!U21+'Tabell 5.1'!U33+'Tabell 5.1'!U45+'Tabell 5.1'!U57+'Tabell 5.1'!U71+'Tabell 5.1'!U83+'Tabell 5.1'!U95+'Tabell 5.1'!U107+'Tabell 5.2'!U21+'Tabell 5.2'!U33+'Tabell 5.2'!U57+'Tabell 5.2'!U69+'Tabell 5.2'!U81+U21+U33+'Tabell 5.2'!U93+'Tabell 5.2'!U117+'Tabell 5.2'!U143+'Tabell 5.2'!U45+'Tabell 5.2'!U105+'Tabell 5.2'!U131</f>
        <v>227</v>
      </c>
      <c r="V47" s="441">
        <f t="shared" si="21"/>
        <v>291.39999999999998</v>
      </c>
      <c r="W47" s="441">
        <f>'Tabell 5.1'!W21+'Tabell 5.1'!W33+'Tabell 5.1'!W45+'Tabell 5.1'!W57+'Tabell 5.1'!W71+'Tabell 5.1'!W83+'Tabell 5.1'!W95+'Tabell 5.1'!W107+'Tabell 5.2'!W21+'Tabell 5.2'!W33+'Tabell 5.2'!W57+'Tabell 5.2'!W69+'Tabell 5.2'!W81+W21+W33+'Tabell 5.2'!W93+'Tabell 5.2'!W117+'Tabell 5.2'!W143+'Tabell 5.2'!W45+'Tabell 5.2'!W105+'Tabell 5.2'!W131</f>
        <v>366</v>
      </c>
      <c r="X47" s="441">
        <f>'Tabell 5.1'!X21+'Tabell 5.1'!X33+'Tabell 5.1'!X45+'Tabell 5.1'!X57+'Tabell 5.1'!X71+'Tabell 5.1'!X83+'Tabell 5.1'!X95+'Tabell 5.1'!X107+'Tabell 5.2'!X21+'Tabell 5.2'!X33+'Tabell 5.2'!X57+'Tabell 5.2'!X69+'Tabell 5.2'!X81+X21+X33+'Tabell 5.2'!X93+'Tabell 5.2'!X117+'Tabell 5.2'!X143+'Tabell 5.2'!X45+'Tabell 5.2'!X105+'Tabell 5.2'!X131</f>
        <v>605</v>
      </c>
      <c r="Y47" s="452">
        <f t="shared" si="22"/>
        <v>65.3</v>
      </c>
      <c r="Z47" s="441">
        <f>'Tabell 5.1'!Z21+'Tabell 5.1'!Z33+'Tabell 5.1'!Z45+'Tabell 5.1'!Z57+'Tabell 5.1'!Z71+'Tabell 5.1'!Z83+'Tabell 5.1'!Z95+'Tabell 5.1'!Z107+'Tabell 5.2'!Z21+'Tabell 5.2'!Z33+'Tabell 5.2'!Z57+'Tabell 5.2'!Z69+'Tabell 5.2'!Z81+Z21+Z33+'Tabell 5.2'!Z93+'Tabell 5.2'!Z117+'Tabell 5.2'!Z143+'Tabell 5.2'!Z45+'Tabell 5.2'!Z105+'Tabell 5.2'!Z131</f>
        <v>1748.8247019999999</v>
      </c>
      <c r="AA47" s="441">
        <f>'Tabell 5.1'!AA21+'Tabell 5.1'!AA33+'Tabell 5.1'!AA45+'Tabell 5.1'!AA57+'Tabell 5.1'!AA71+'Tabell 5.1'!AA83+'Tabell 5.1'!AA95+'Tabell 5.1'!AA107+'Tabell 5.2'!AA21+'Tabell 5.2'!AA33+'Tabell 5.2'!AA57+'Tabell 5.2'!AA69+'Tabell 5.2'!AA81+AA21+AA33+'Tabell 5.2'!AA93+'Tabell 5.2'!AA117+'Tabell 5.2'!AA143+'Tabell 5.2'!AA45+'Tabell 5.2'!AA105+'Tabell 5.2'!AA131</f>
        <v>3423.0657599999995</v>
      </c>
      <c r="AB47" s="441">
        <f t="shared" si="23"/>
        <v>95.7</v>
      </c>
      <c r="AC47" s="441">
        <f>'Tabell 5.1'!AC21+'Tabell 5.1'!AC33+'Tabell 5.1'!AC45+'Tabell 5.1'!AC57+'Tabell 5.1'!AC71+'Tabell 5.1'!AC83+'Tabell 5.1'!AC95+'Tabell 5.1'!AC107+'Tabell 5.2'!AC21+'Tabell 5.2'!AC33+'Tabell 5.2'!AC57+'Tabell 5.2'!AC69+'Tabell 5.2'!AC81+AC21+AC33+'Tabell 5.2'!AC93+'Tabell 5.2'!AC117+'Tabell 5.2'!AC143+'Tabell 5.2'!AC45+'Tabell 5.2'!AC105+'Tabell 5.2'!AC131</f>
        <v>0</v>
      </c>
      <c r="AD47" s="441">
        <f>'Tabell 5.1'!AD21+'Tabell 5.1'!AD33+'Tabell 5.1'!AD45+'Tabell 5.1'!AD57+'Tabell 5.1'!AD71+'Tabell 5.1'!AD83+'Tabell 5.1'!AD95+'Tabell 5.1'!AD107+'Tabell 5.2'!AD21+'Tabell 5.2'!AD33+'Tabell 5.2'!AD57+'Tabell 5.2'!AD69+'Tabell 5.2'!AD81+AD21+AD33+'Tabell 5.2'!AD93+'Tabell 5.2'!AD117+'Tabell 5.2'!AD143+'Tabell 5.2'!AD45+'Tabell 5.2'!AD105+'Tabell 5.2'!AD131</f>
        <v>0</v>
      </c>
      <c r="AE47" s="441" t="str">
        <f t="shared" si="24"/>
        <v xml:space="preserve">    ---- </v>
      </c>
      <c r="AF47" s="441">
        <f t="shared" si="25"/>
        <v>78250.863645517995</v>
      </c>
      <c r="AG47" s="441">
        <f t="shared" si="25"/>
        <v>-12258.640546386903</v>
      </c>
      <c r="AH47" s="452">
        <f t="shared" si="26"/>
        <v>-115.7</v>
      </c>
      <c r="AI47" s="441">
        <f t="shared" si="27"/>
        <v>78250.863645517995</v>
      </c>
      <c r="AJ47" s="441">
        <f t="shared" si="28"/>
        <v>-12258.640546386903</v>
      </c>
      <c r="AK47" s="452">
        <f>IF(AI47=0, "    ---- ", IF(ABS(ROUND(100/AI47*AJ47-100,1))&lt;999,ROUND(100/AI47*AJ47-100,1),IF(ROUND(100/AI47*AJ47-100,1)&gt;999,999,-999)))</f>
        <v>-115.7</v>
      </c>
      <c r="AL47" s="583"/>
      <c r="AM47" s="552"/>
      <c r="AN47" s="552"/>
      <c r="AO47" s="552"/>
    </row>
    <row r="48" spans="1:41" ht="18.75" customHeight="1" x14ac:dyDescent="0.35">
      <c r="A48" s="423" t="s">
        <v>315</v>
      </c>
      <c r="B48" s="448">
        <f>'Tabell 5.1'!B22+'Tabell 5.1'!B34+'Tabell 5.1'!B46+'Tabell 5.1'!B58+'Tabell 5.1'!B72+'Tabell 5.1'!B84+'Tabell 5.1'!B96+'Tabell 5.1'!B108+'Tabell 5.2'!B22+'Tabell 5.2'!B34+'Tabell 5.2'!B58+'Tabell 5.2'!B70+'Tabell 5.2'!B82+B22+B34+'Tabell 5.2'!B94+'Tabell 5.2'!B118+'Tabell 5.2'!B144+'Tabell 5.2'!B46+'Tabell 5.2'!B106+'Tabell 5.2'!B132</f>
        <v>1169.2049999999999</v>
      </c>
      <c r="C48" s="448">
        <f>'Tabell 5.1'!C22+'Tabell 5.1'!C34+'Tabell 5.1'!C46+'Tabell 5.1'!C58+'Tabell 5.1'!C72+'Tabell 5.1'!C84+'Tabell 5.1'!C96+'Tabell 5.1'!C108+'Tabell 5.2'!C22+'Tabell 5.2'!C34+'Tabell 5.2'!C58+'Tabell 5.2'!C70+'Tabell 5.2'!C82+C22+C34+'Tabell 5.2'!C94+'Tabell 5.2'!C118+'Tabell 5.2'!C144+'Tabell 5.2'!C46+'Tabell 5.2'!C106+'Tabell 5.2'!C132</f>
        <v>1615.321201382264</v>
      </c>
      <c r="D48" s="448">
        <f t="shared" si="15"/>
        <v>38.200000000000003</v>
      </c>
      <c r="E48" s="448">
        <f>'Tabell 5.1'!E22+'Tabell 5.1'!E34+'Tabell 5.1'!E46+'Tabell 5.1'!E58+'Tabell 5.1'!E72+'Tabell 5.1'!E84+'Tabell 5.1'!E96+'Tabell 5.1'!E108+'Tabell 5.2'!E22+'Tabell 5.2'!E34+'Tabell 5.2'!E58+'Tabell 5.2'!E70+'Tabell 5.2'!E82+E22+E34+'Tabell 5.2'!E94+'Tabell 5.2'!E118+'Tabell 5.2'!E144+'Tabell 5.2'!E46+'Tabell 5.2'!E106+'Tabell 5.2'!E132</f>
        <v>1056.0892460400003</v>
      </c>
      <c r="F48" s="448">
        <f>'Tabell 5.1'!F22+'Tabell 5.1'!F34+'Tabell 5.1'!F46+'Tabell 5.1'!F58+'Tabell 5.1'!F72+'Tabell 5.1'!F84+'Tabell 5.1'!F96+'Tabell 5.1'!F108+'Tabell 5.2'!F22+'Tabell 5.2'!F34+'Tabell 5.2'!F58+'Tabell 5.2'!F70+'Tabell 5.2'!F82+F22+F34+'Tabell 5.2'!F94+'Tabell 5.2'!F118+'Tabell 5.2'!F144+'Tabell 5.2'!F46+'Tabell 5.2'!F106+'Tabell 5.2'!F132</f>
        <v>899.98415523000006</v>
      </c>
      <c r="G48" s="445">
        <f t="shared" si="16"/>
        <v>-14.8</v>
      </c>
      <c r="H48" s="448">
        <f>'Tabell 5.1'!H22+'Tabell 5.1'!H34+'Tabell 5.1'!H46+'Tabell 5.1'!H58+'Tabell 5.1'!H72+'Tabell 5.1'!H84+'Tabell 5.1'!H96+'Tabell 5.1'!H108+'Tabell 5.2'!H22+'Tabell 5.2'!H34+'Tabell 5.2'!H58+'Tabell 5.2'!H70+'Tabell 5.2'!H82+H22+H34+'Tabell 5.2'!H94+'Tabell 5.2'!H118+'Tabell 5.2'!H144+'Tabell 5.2'!H46+'Tabell 5.2'!H106+'Tabell 5.2'!H132</f>
        <v>97.010999999999996</v>
      </c>
      <c r="I48" s="448">
        <f>'Tabell 5.1'!I22+'Tabell 5.1'!I34+'Tabell 5.1'!I46+'Tabell 5.1'!I58+'Tabell 5.1'!I72+'Tabell 5.1'!I84+'Tabell 5.1'!I96+'Tabell 5.1'!I108+'Tabell 5.2'!I22+'Tabell 5.2'!I34+'Tabell 5.2'!I58+'Tabell 5.2'!I70+'Tabell 5.2'!I82+I22+I34+'Tabell 5.2'!I94+'Tabell 5.2'!I118+'Tabell 5.2'!I144+'Tabell 5.2'!I46+'Tabell 5.2'!I106+'Tabell 5.2'!I132</f>
        <v>95.170999999999992</v>
      </c>
      <c r="J48" s="445">
        <f t="shared" si="17"/>
        <v>-1.9</v>
      </c>
      <c r="K48" s="448">
        <f>'Tabell 5.1'!K22+'Tabell 5.1'!K34+'Tabell 5.1'!K46+'Tabell 5.1'!K58+'Tabell 5.1'!K72+'Tabell 5.1'!K84+'Tabell 5.1'!K96+'Tabell 5.1'!K108+'Tabell 5.2'!K22+'Tabell 5.2'!K34+'Tabell 5.2'!K58+'Tabell 5.2'!K70+'Tabell 5.2'!K82+K22+K34+'Tabell 5.2'!K94+'Tabell 5.2'!K118+'Tabell 5.2'!K144+'Tabell 5.2'!K46+'Tabell 5.2'!K106+'Tabell 5.2'!K132</f>
        <v>220</v>
      </c>
      <c r="L48" s="448">
        <f>'Tabell 5.1'!L22+'Tabell 5.1'!L34+'Tabell 5.1'!L46+'Tabell 5.1'!L58+'Tabell 5.1'!L72+'Tabell 5.1'!L84+'Tabell 5.1'!L96+'Tabell 5.1'!L108+'Tabell 5.2'!L22+'Tabell 5.2'!L34+'Tabell 5.2'!L58+'Tabell 5.2'!L70+'Tabell 5.2'!L82+L22+L34+'Tabell 5.2'!L94+'Tabell 5.2'!L118+'Tabell 5.2'!L144+'Tabell 5.2'!L46+'Tabell 5.2'!L106+'Tabell 5.2'!L132</f>
        <v>-65</v>
      </c>
      <c r="M48" s="448">
        <f t="shared" si="18"/>
        <v>-129.5</v>
      </c>
      <c r="N48" s="448">
        <f>'Tabell 5.1'!N22+'Tabell 5.1'!N34+'Tabell 5.1'!N46+'Tabell 5.1'!N58+'Tabell 5.1'!N72+'Tabell 5.1'!N84+'Tabell 5.1'!N96+'Tabell 5.1'!N108+'Tabell 5.2'!N22+'Tabell 5.2'!N34+'Tabell 5.2'!N58+'Tabell 5.2'!N70+'Tabell 5.2'!N82+N22+N34+'Tabell 5.2'!N94+'Tabell 5.2'!N118+'Tabell 5.2'!N144+'Tabell 5.2'!N46+'Tabell 5.2'!N106+'Tabell 5.2'!N132</f>
        <v>417.20985472073636</v>
      </c>
      <c r="O48" s="448">
        <f>'Tabell 5.1'!O22+'Tabell 5.1'!O34+'Tabell 5.1'!O46+'Tabell 5.1'!O58+'Tabell 5.1'!O72+'Tabell 5.1'!O84+'Tabell 5.1'!O96+'Tabell 5.1'!O108+'Tabell 5.2'!O22+'Tabell 5.2'!O34+'Tabell 5.2'!O58+'Tabell 5.2'!O70+'Tabell 5.2'!O82+O22+O34+'Tabell 5.2'!O94+'Tabell 5.2'!O118+'Tabell 5.2'!O144+'Tabell 5.2'!O46+'Tabell 5.2'!O106+'Tabell 5.2'!O132</f>
        <v>311.12988899999999</v>
      </c>
      <c r="P48" s="448">
        <f t="shared" si="19"/>
        <v>-25.4</v>
      </c>
      <c r="Q48" s="448">
        <f>'Tabell 5.1'!Q22+'Tabell 5.1'!Q34+'Tabell 5.1'!Q46+'Tabell 5.1'!Q58+'Tabell 5.1'!Q72+'Tabell 5.1'!Q84+'Tabell 5.1'!Q96+'Tabell 5.1'!Q108+'Tabell 5.2'!Q22+'Tabell 5.2'!Q34+'Tabell 5.2'!Q58+'Tabell 5.2'!Q70+'Tabell 5.2'!Q82+Q22+Q34+'Tabell 5.2'!Q94+'Tabell 5.2'!Q118+'Tabell 5.2'!Q144+'Tabell 5.2'!Q46+'Tabell 5.2'!Q106+'Tabell 5.2'!Q132</f>
        <v>1365.2370816431451</v>
      </c>
      <c r="R48" s="448">
        <f>'Tabell 5.1'!R22+'Tabell 5.1'!R34+'Tabell 5.1'!R46+'Tabell 5.1'!R58+'Tabell 5.1'!R72+'Tabell 5.1'!R84+'Tabell 5.1'!R96+'Tabell 5.1'!R108+'Tabell 5.2'!R22+'Tabell 5.2'!R34+'Tabell 5.2'!R58+'Tabell 5.2'!R70+'Tabell 5.2'!R82+R22+R34+'Tabell 5.2'!R94+'Tabell 5.2'!R118+'Tabell 5.2'!R144+'Tabell 5.2'!R46+'Tabell 5.2'!R106+'Tabell 5.2'!R132</f>
        <v>1510.5205481028086</v>
      </c>
      <c r="S48" s="448">
        <f t="shared" si="20"/>
        <v>10.6</v>
      </c>
      <c r="T48" s="448">
        <f>'Tabell 5.1'!T22+'Tabell 5.1'!T34+'Tabell 5.1'!T46+'Tabell 5.1'!T58+'Tabell 5.1'!T72+'Tabell 5.1'!T84+'Tabell 5.1'!T96+'Tabell 5.1'!T108+'Tabell 5.2'!T22+'Tabell 5.2'!T34+'Tabell 5.2'!T58+'Tabell 5.2'!T70+'Tabell 5.2'!T82+T22+T34+'Tabell 5.2'!T94+'Tabell 5.2'!T118+'Tabell 5.2'!T144+'Tabell 5.2'!T46+'Tabell 5.2'!T106+'Tabell 5.2'!T132</f>
        <v>1369</v>
      </c>
      <c r="U48" s="448">
        <f>'Tabell 5.1'!U22+'Tabell 5.1'!U34+'Tabell 5.1'!U46+'Tabell 5.1'!U58+'Tabell 5.1'!U72+'Tabell 5.1'!U84+'Tabell 5.1'!U96+'Tabell 5.1'!U108+'Tabell 5.2'!U22+'Tabell 5.2'!U34+'Tabell 5.2'!U58+'Tabell 5.2'!U70+'Tabell 5.2'!U82+U22+U34+'Tabell 5.2'!U94+'Tabell 5.2'!U118+'Tabell 5.2'!U144+'Tabell 5.2'!U46+'Tabell 5.2'!U106+'Tabell 5.2'!U132</f>
        <v>1317</v>
      </c>
      <c r="V48" s="445">
        <f t="shared" si="21"/>
        <v>-3.8</v>
      </c>
      <c r="W48" s="448">
        <f>'Tabell 5.1'!W22+'Tabell 5.1'!W34+'Tabell 5.1'!W46+'Tabell 5.1'!W58+'Tabell 5.1'!W72+'Tabell 5.1'!W84+'Tabell 5.1'!W96+'Tabell 5.1'!W108+'Tabell 5.2'!W22+'Tabell 5.2'!W34+'Tabell 5.2'!W58+'Tabell 5.2'!W70+'Tabell 5.2'!W82+W22+W34+'Tabell 5.2'!W94+'Tabell 5.2'!W118+'Tabell 5.2'!W144+'Tabell 5.2'!W46+'Tabell 5.2'!W106+'Tabell 5.2'!W132</f>
        <v>109</v>
      </c>
      <c r="X48" s="448">
        <f>'Tabell 5.1'!X22+'Tabell 5.1'!X34+'Tabell 5.1'!X46+'Tabell 5.1'!X58+'Tabell 5.1'!X72+'Tabell 5.1'!X84+'Tabell 5.1'!X96+'Tabell 5.1'!X108+'Tabell 5.2'!X22+'Tabell 5.2'!X34+'Tabell 5.2'!X58+'Tabell 5.2'!X70+'Tabell 5.2'!X82+X22+X34+'Tabell 5.2'!X94+'Tabell 5.2'!X118+'Tabell 5.2'!X144+'Tabell 5.2'!X46+'Tabell 5.2'!X106+'Tabell 5.2'!X132</f>
        <v>74</v>
      </c>
      <c r="Y48" s="448">
        <f t="shared" si="22"/>
        <v>-32.1</v>
      </c>
      <c r="Z48" s="448">
        <f>'Tabell 5.1'!Z22+'Tabell 5.1'!Z34+'Tabell 5.1'!Z46+'Tabell 5.1'!Z58+'Tabell 5.1'!Z72+'Tabell 5.1'!Z84+'Tabell 5.1'!Z96+'Tabell 5.1'!Z108+'Tabell 5.2'!Z22+'Tabell 5.2'!Z34+'Tabell 5.2'!Z58+'Tabell 5.2'!Z70+'Tabell 5.2'!Z82+Z22+Z34+'Tabell 5.2'!Z94+'Tabell 5.2'!Z118+'Tabell 5.2'!Z144+'Tabell 5.2'!Z46+'Tabell 5.2'!Z106+'Tabell 5.2'!Z132</f>
        <v>1821.8734472500141</v>
      </c>
      <c r="AA48" s="448">
        <f>'Tabell 5.1'!AA22+'Tabell 5.1'!AA34+'Tabell 5.1'!AA46+'Tabell 5.1'!AA58+'Tabell 5.1'!AA72+'Tabell 5.1'!AA84+'Tabell 5.1'!AA96+'Tabell 5.1'!AA108+'Tabell 5.2'!AA22+'Tabell 5.2'!AA34+'Tabell 5.2'!AA58+'Tabell 5.2'!AA70+'Tabell 5.2'!AA82+AA22+AA34+'Tabell 5.2'!AA94+'Tabell 5.2'!AA118+'Tabell 5.2'!AA144+'Tabell 5.2'!AA46+'Tabell 5.2'!AA106+'Tabell 5.2'!AA132</f>
        <v>1791.5377642000003</v>
      </c>
      <c r="AB48" s="445">
        <f t="shared" si="23"/>
        <v>-1.7</v>
      </c>
      <c r="AC48" s="445">
        <f>'Tabell 5.1'!AC22+'Tabell 5.1'!AC34+'Tabell 5.1'!AC46+'Tabell 5.1'!AC58+'Tabell 5.1'!AC72+'Tabell 5.1'!AC84+'Tabell 5.1'!AC96+'Tabell 5.1'!AC108+'Tabell 5.2'!AC22+'Tabell 5.2'!AC34+'Tabell 5.2'!AC58+'Tabell 5.2'!AC70+'Tabell 5.2'!AC82+AC22+AC34+'Tabell 5.2'!AC94+'Tabell 5.2'!AC118+'Tabell 5.2'!AC144+'Tabell 5.2'!AC46+'Tabell 5.2'!AC106+'Tabell 5.2'!AC132</f>
        <v>0</v>
      </c>
      <c r="AD48" s="445">
        <f>'Tabell 5.1'!AD22+'Tabell 5.1'!AD34+'Tabell 5.1'!AD46+'Tabell 5.1'!AD58+'Tabell 5.1'!AD72+'Tabell 5.1'!AD84+'Tabell 5.1'!AD96+'Tabell 5.1'!AD108+'Tabell 5.2'!AD22+'Tabell 5.2'!AD34+'Tabell 5.2'!AD58+'Tabell 5.2'!AD70+'Tabell 5.2'!AD82+AD22+AD34+'Tabell 5.2'!AD94+'Tabell 5.2'!AD118+'Tabell 5.2'!AD144+'Tabell 5.2'!AD46+'Tabell 5.2'!AD106+'Tabell 5.2'!AD132</f>
        <v>0</v>
      </c>
      <c r="AE48" s="445" t="str">
        <f t="shared" si="24"/>
        <v xml:space="preserve">    ---- </v>
      </c>
      <c r="AF48" s="445">
        <f t="shared" si="25"/>
        <v>7624.6256296538959</v>
      </c>
      <c r="AG48" s="445">
        <f t="shared" si="25"/>
        <v>7549.6645579150727</v>
      </c>
      <c r="AH48" s="448">
        <f t="shared" si="26"/>
        <v>-1</v>
      </c>
      <c r="AI48" s="445">
        <f t="shared" si="27"/>
        <v>7624.6256296538959</v>
      </c>
      <c r="AJ48" s="445">
        <f t="shared" si="28"/>
        <v>7549.6645579150727</v>
      </c>
      <c r="AK48" s="448">
        <f>IF(AI48=0, "    ---- ", IF(ABS(ROUND(100/AI48*AJ48-100,1))&lt;999,ROUND(100/AI48*AJ48-100,1),IF(ROUND(100/AI48*AJ48-100,1)&gt;999,999,-999)))</f>
        <v>-1</v>
      </c>
      <c r="AL48" s="583"/>
      <c r="AM48" s="552"/>
      <c r="AN48" s="552"/>
      <c r="AO48" s="552"/>
    </row>
    <row r="49" spans="1:41" s="574" customFormat="1" ht="18.75" customHeight="1" x14ac:dyDescent="0.35">
      <c r="A49" s="552" t="s">
        <v>298</v>
      </c>
      <c r="B49" s="573"/>
      <c r="C49" s="573"/>
      <c r="D49" s="573"/>
      <c r="E49" s="552"/>
      <c r="F49" s="552"/>
      <c r="G49" s="552"/>
      <c r="H49" s="552"/>
      <c r="I49" s="552"/>
      <c r="J49" s="552"/>
      <c r="L49" s="552"/>
      <c r="M49" s="552"/>
      <c r="N49" s="552"/>
      <c r="O49" s="552"/>
      <c r="P49" s="552"/>
      <c r="Q49" s="552"/>
      <c r="R49" s="552"/>
      <c r="S49" s="552"/>
      <c r="T49" s="552"/>
      <c r="U49" s="552"/>
      <c r="V49" s="552"/>
      <c r="W49" s="552"/>
      <c r="X49" s="552"/>
      <c r="Y49" s="552"/>
      <c r="Z49" s="552"/>
      <c r="AA49" s="552"/>
      <c r="AB49" s="552"/>
      <c r="AC49" s="552"/>
      <c r="AD49" s="552"/>
      <c r="AE49" s="552"/>
      <c r="AF49" s="552"/>
      <c r="AG49" s="552"/>
      <c r="AH49" s="552"/>
      <c r="AI49" s="552"/>
      <c r="AJ49" s="552"/>
      <c r="AK49" s="552"/>
      <c r="AL49" s="575"/>
      <c r="AM49" s="575"/>
      <c r="AN49" s="575"/>
      <c r="AO49" s="575"/>
    </row>
    <row r="50" spans="1:41" s="574" customFormat="1" ht="18.75" customHeight="1" x14ac:dyDescent="0.35">
      <c r="A50" s="552"/>
      <c r="B50" s="573"/>
      <c r="C50" s="573"/>
      <c r="D50" s="573"/>
      <c r="E50" s="552"/>
      <c r="F50" s="552"/>
      <c r="G50" s="552"/>
      <c r="H50" s="552"/>
      <c r="I50" s="552"/>
      <c r="J50" s="552"/>
      <c r="K50" s="552"/>
      <c r="L50" s="552"/>
      <c r="M50" s="552"/>
      <c r="N50" s="552"/>
      <c r="O50" s="552"/>
      <c r="P50" s="552"/>
      <c r="Q50" s="552"/>
      <c r="R50" s="552"/>
      <c r="S50" s="552"/>
      <c r="T50" s="552"/>
      <c r="U50" s="552"/>
      <c r="V50" s="552"/>
      <c r="W50" s="552"/>
      <c r="X50" s="552"/>
      <c r="Y50" s="552"/>
      <c r="Z50" s="552"/>
      <c r="AA50" s="552"/>
      <c r="AB50" s="552"/>
      <c r="AC50" s="552"/>
      <c r="AD50" s="552"/>
      <c r="AE50" s="552"/>
      <c r="AF50" s="552"/>
      <c r="AG50" s="552"/>
      <c r="AH50" s="552"/>
      <c r="AI50" s="552"/>
      <c r="AJ50" s="552"/>
      <c r="AK50" s="552"/>
      <c r="AL50" s="575"/>
      <c r="AM50" s="575"/>
      <c r="AN50" s="575"/>
      <c r="AO50" s="575"/>
    </row>
    <row r="51" spans="1:41" s="574" customFormat="1" ht="18" x14ac:dyDescent="0.35">
      <c r="A51" s="575"/>
      <c r="B51" s="573"/>
      <c r="C51" s="573"/>
      <c r="D51" s="573"/>
      <c r="E51" s="575"/>
      <c r="F51" s="575"/>
      <c r="G51" s="575"/>
      <c r="H51" s="575"/>
      <c r="I51" s="575"/>
      <c r="J51" s="575"/>
      <c r="K51" s="575"/>
      <c r="L51" s="575"/>
      <c r="M51" s="575"/>
      <c r="N51" s="575"/>
      <c r="O51" s="575"/>
      <c r="P51" s="575"/>
      <c r="Q51" s="575"/>
      <c r="R51" s="575"/>
      <c r="S51" s="575"/>
      <c r="T51" s="575"/>
      <c r="U51" s="575"/>
      <c r="V51" s="575"/>
      <c r="W51" s="575"/>
      <c r="X51" s="575"/>
      <c r="Y51" s="575"/>
      <c r="Z51" s="575"/>
      <c r="AA51" s="575"/>
      <c r="AB51" s="575"/>
      <c r="AC51" s="575"/>
      <c r="AD51" s="575"/>
      <c r="AE51" s="575"/>
      <c r="AF51" s="575"/>
      <c r="AG51" s="575"/>
      <c r="AH51" s="575"/>
      <c r="AI51" s="575"/>
      <c r="AJ51" s="575"/>
      <c r="AK51" s="575"/>
      <c r="AL51" s="575"/>
      <c r="AM51" s="575"/>
      <c r="AN51" s="575"/>
      <c r="AO51" s="575"/>
    </row>
    <row r="52" spans="1:41" s="574" customFormat="1" ht="18" x14ac:dyDescent="0.35">
      <c r="A52" s="575"/>
      <c r="B52" s="573"/>
      <c r="C52" s="573"/>
      <c r="D52" s="573"/>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row>
    <row r="53" spans="1:41" s="574" customFormat="1" ht="18" x14ac:dyDescent="0.35">
      <c r="A53" s="575"/>
      <c r="B53" s="573"/>
      <c r="C53" s="573"/>
      <c r="D53" s="573"/>
    </row>
    <row r="54" spans="1:41" s="574" customFormat="1" ht="18" x14ac:dyDescent="0.35">
      <c r="A54" s="575"/>
      <c r="N54" s="585"/>
      <c r="O54" s="585"/>
    </row>
    <row r="55" spans="1:41" s="574" customFormat="1" ht="18" x14ac:dyDescent="0.35">
      <c r="A55" s="575"/>
      <c r="N55" s="585"/>
      <c r="O55" s="585"/>
    </row>
    <row r="56" spans="1:41" s="574" customFormat="1" ht="18" x14ac:dyDescent="0.35">
      <c r="A56" s="575"/>
      <c r="N56" s="585"/>
      <c r="O56" s="585"/>
    </row>
    <row r="57" spans="1:41" ht="18" x14ac:dyDescent="0.35">
      <c r="A57" s="552"/>
    </row>
    <row r="58" spans="1:41" ht="18" x14ac:dyDescent="0.35">
      <c r="A58" s="552"/>
    </row>
    <row r="59" spans="1:41" ht="18" x14ac:dyDescent="0.35">
      <c r="A59" s="552"/>
    </row>
    <row r="60" spans="1:41" ht="18" x14ac:dyDescent="0.35">
      <c r="A60" s="552"/>
    </row>
    <row r="61" spans="1:41" ht="18" x14ac:dyDescent="0.35">
      <c r="A61" s="552"/>
    </row>
    <row r="62" spans="1:41" ht="18" x14ac:dyDescent="0.35">
      <c r="A62" s="552"/>
    </row>
    <row r="63" spans="1:41" ht="18" x14ac:dyDescent="0.35">
      <c r="A63" s="552"/>
    </row>
    <row r="64" spans="1:41" ht="18" x14ac:dyDescent="0.35">
      <c r="A64" s="552"/>
    </row>
    <row r="65" spans="1:1" ht="18" x14ac:dyDescent="0.35">
      <c r="A65" s="552"/>
    </row>
    <row r="66" spans="1:1" ht="18" x14ac:dyDescent="0.35">
      <c r="A66" s="552"/>
    </row>
    <row r="67" spans="1:1" ht="18" x14ac:dyDescent="0.35">
      <c r="A67" s="552"/>
    </row>
    <row r="68" spans="1:1" ht="18" x14ac:dyDescent="0.35">
      <c r="A68" s="552"/>
    </row>
    <row r="69" spans="1:1" ht="18" x14ac:dyDescent="0.35">
      <c r="A69" s="552"/>
    </row>
    <row r="70" spans="1:1" ht="18" x14ac:dyDescent="0.35">
      <c r="A70" s="552"/>
    </row>
    <row r="71" spans="1:1" ht="18" x14ac:dyDescent="0.35">
      <c r="A71" s="552"/>
    </row>
    <row r="72" spans="1:1" ht="18" x14ac:dyDescent="0.35">
      <c r="A72" s="552"/>
    </row>
    <row r="73" spans="1:1" ht="18" x14ac:dyDescent="0.35">
      <c r="A73" s="552"/>
    </row>
    <row r="74" spans="1:1" ht="18" x14ac:dyDescent="0.35">
      <c r="A74" s="552"/>
    </row>
    <row r="75" spans="1:1" ht="18" x14ac:dyDescent="0.35">
      <c r="A75" s="552"/>
    </row>
    <row r="76" spans="1:1" ht="18" x14ac:dyDescent="0.35">
      <c r="A76" s="552"/>
    </row>
    <row r="77" spans="1:1" ht="18" x14ac:dyDescent="0.35">
      <c r="A77" s="552"/>
    </row>
    <row r="78" spans="1:1" ht="18" x14ac:dyDescent="0.35">
      <c r="A78" s="552"/>
    </row>
    <row r="79" spans="1:1" ht="18" x14ac:dyDescent="0.35">
      <c r="A79" s="552"/>
    </row>
    <row r="80" spans="1:1" ht="18" x14ac:dyDescent="0.35">
      <c r="A80" s="552"/>
    </row>
    <row r="81" spans="1:1" ht="18" x14ac:dyDescent="0.35">
      <c r="A81" s="552"/>
    </row>
    <row r="82" spans="1:1" ht="18" x14ac:dyDescent="0.35">
      <c r="A82" s="552"/>
    </row>
    <row r="83" spans="1:1" ht="18" x14ac:dyDescent="0.35">
      <c r="A83" s="552"/>
    </row>
    <row r="84" spans="1:1" ht="18" x14ac:dyDescent="0.35">
      <c r="A84" s="552"/>
    </row>
    <row r="85" spans="1:1" ht="18" x14ac:dyDescent="0.35">
      <c r="A85" s="552"/>
    </row>
    <row r="86" spans="1:1" ht="18" x14ac:dyDescent="0.35">
      <c r="A86" s="552"/>
    </row>
    <row r="87" spans="1:1" ht="18" x14ac:dyDescent="0.35">
      <c r="A87" s="552"/>
    </row>
    <row r="88" spans="1:1" ht="18" x14ac:dyDescent="0.35">
      <c r="A88" s="552"/>
    </row>
    <row r="89" spans="1:1" ht="18" x14ac:dyDescent="0.35">
      <c r="A89" s="552"/>
    </row>
    <row r="90" spans="1:1" ht="18" x14ac:dyDescent="0.35">
      <c r="A90" s="552"/>
    </row>
    <row r="91" spans="1:1" ht="18" x14ac:dyDescent="0.35">
      <c r="A91" s="552"/>
    </row>
    <row r="92" spans="1:1" ht="18" x14ac:dyDescent="0.35">
      <c r="A92" s="552"/>
    </row>
    <row r="93" spans="1:1" ht="18" x14ac:dyDescent="0.35">
      <c r="A93" s="552"/>
    </row>
    <row r="94" spans="1:1" ht="18" x14ac:dyDescent="0.35">
      <c r="A94" s="552"/>
    </row>
    <row r="95" spans="1:1" ht="18" x14ac:dyDescent="0.35">
      <c r="A95" s="552"/>
    </row>
    <row r="96" spans="1:1" ht="18" x14ac:dyDescent="0.35">
      <c r="A96" s="552"/>
    </row>
    <row r="97" spans="1:1" ht="18" x14ac:dyDescent="0.35">
      <c r="A97" s="552"/>
    </row>
    <row r="98" spans="1:1" ht="18" x14ac:dyDescent="0.35">
      <c r="A98" s="552"/>
    </row>
    <row r="99" spans="1:1" ht="18" x14ac:dyDescent="0.35">
      <c r="A99" s="552"/>
    </row>
    <row r="100" spans="1:1" ht="18" x14ac:dyDescent="0.35">
      <c r="A100" s="552"/>
    </row>
    <row r="101" spans="1:1" ht="18" x14ac:dyDescent="0.35">
      <c r="A101" s="552"/>
    </row>
    <row r="102" spans="1:1" ht="18" x14ac:dyDescent="0.35">
      <c r="A102" s="552"/>
    </row>
    <row r="103" spans="1:1" ht="18" x14ac:dyDescent="0.35">
      <c r="A103" s="552"/>
    </row>
    <row r="104" spans="1:1" ht="18" x14ac:dyDescent="0.35">
      <c r="A104" s="552"/>
    </row>
    <row r="105" spans="1:1" ht="18" x14ac:dyDescent="0.35">
      <c r="A105" s="552"/>
    </row>
    <row r="106" spans="1:1" ht="18" x14ac:dyDescent="0.35">
      <c r="A106" s="552"/>
    </row>
    <row r="107" spans="1:1" ht="18" x14ac:dyDescent="0.35">
      <c r="A107" s="552"/>
    </row>
    <row r="108" spans="1:1" ht="18" x14ac:dyDescent="0.35">
      <c r="A108" s="552"/>
    </row>
    <row r="109" spans="1:1" ht="18" x14ac:dyDescent="0.35">
      <c r="A109" s="552"/>
    </row>
    <row r="110" spans="1:1" ht="18" x14ac:dyDescent="0.35">
      <c r="A110" s="552"/>
    </row>
    <row r="111" spans="1:1" ht="18" x14ac:dyDescent="0.35">
      <c r="A111" s="552"/>
    </row>
    <row r="112" spans="1:1" ht="18" x14ac:dyDescent="0.35">
      <c r="A112" s="552"/>
    </row>
    <row r="113" spans="1:1" ht="18" x14ac:dyDescent="0.35">
      <c r="A113" s="552"/>
    </row>
    <row r="114" spans="1:1" ht="18" x14ac:dyDescent="0.35">
      <c r="A114" s="552"/>
    </row>
    <row r="115" spans="1:1" ht="18" x14ac:dyDescent="0.35">
      <c r="A115" s="552"/>
    </row>
    <row r="116" spans="1:1" ht="18" x14ac:dyDescent="0.35">
      <c r="A116" s="552"/>
    </row>
    <row r="117" spans="1:1" ht="18" x14ac:dyDescent="0.35">
      <c r="A117" s="552"/>
    </row>
    <row r="118" spans="1:1" ht="18" x14ac:dyDescent="0.35">
      <c r="A118" s="552"/>
    </row>
    <row r="119" spans="1:1" ht="18" x14ac:dyDescent="0.35">
      <c r="A119" s="552"/>
    </row>
    <row r="120" spans="1:1" ht="18" x14ac:dyDescent="0.35">
      <c r="A120" s="552"/>
    </row>
    <row r="121" spans="1:1" ht="18" x14ac:dyDescent="0.35">
      <c r="A121" s="552"/>
    </row>
    <row r="122" spans="1:1" ht="18" x14ac:dyDescent="0.35">
      <c r="A122" s="552"/>
    </row>
    <row r="123" spans="1:1" ht="18" x14ac:dyDescent="0.35">
      <c r="A123" s="552"/>
    </row>
    <row r="124" spans="1:1" ht="18" x14ac:dyDescent="0.35">
      <c r="A124" s="552"/>
    </row>
    <row r="125" spans="1:1" ht="18" x14ac:dyDescent="0.35">
      <c r="A125" s="552"/>
    </row>
    <row r="126" spans="1:1" ht="18" x14ac:dyDescent="0.35">
      <c r="A126" s="552"/>
    </row>
    <row r="127" spans="1:1" ht="18" x14ac:dyDescent="0.35">
      <c r="A127" s="552"/>
    </row>
    <row r="128" spans="1:1" ht="18" x14ac:dyDescent="0.35">
      <c r="A128" s="552"/>
    </row>
    <row r="129" spans="1:1" ht="18" x14ac:dyDescent="0.35">
      <c r="A129" s="552"/>
    </row>
    <row r="130" spans="1:1" ht="18" x14ac:dyDescent="0.35">
      <c r="A130" s="552"/>
    </row>
    <row r="131" spans="1:1" ht="18" x14ac:dyDescent="0.35">
      <c r="A131" s="552"/>
    </row>
  </sheetData>
  <mergeCells count="22">
    <mergeCell ref="AI7:AK7"/>
    <mergeCell ref="Z6:AB6"/>
    <mergeCell ref="AC6:AE6"/>
    <mergeCell ref="AF6:AH6"/>
    <mergeCell ref="AI6:AK6"/>
    <mergeCell ref="Z7:AB7"/>
    <mergeCell ref="AC7:AE7"/>
    <mergeCell ref="AF7:AH7"/>
    <mergeCell ref="T6:V6"/>
    <mergeCell ref="W6:Y6"/>
    <mergeCell ref="Q7:S7"/>
    <mergeCell ref="B6:D6"/>
    <mergeCell ref="E6:G6"/>
    <mergeCell ref="H6:J6"/>
    <mergeCell ref="K6:M6"/>
    <mergeCell ref="B7:D7"/>
    <mergeCell ref="E7:G7"/>
    <mergeCell ref="H7:J7"/>
    <mergeCell ref="K7:M7"/>
    <mergeCell ref="N7:P7"/>
    <mergeCell ref="T7:V7"/>
    <mergeCell ref="W7:Y7"/>
  </mergeCells>
  <conditionalFormatting sqref="B13:C13">
    <cfRule type="expression" dxfId="277" priority="31">
      <formula>kvartal &lt; 4</formula>
    </cfRule>
  </conditionalFormatting>
  <conditionalFormatting sqref="B20:C20">
    <cfRule type="expression" dxfId="276" priority="27">
      <formula>#REF!="20≠21+22"</formula>
    </cfRule>
    <cfRule type="expression" dxfId="275" priority="26">
      <formula>#REF!="20≠12+13+14+15+16+17+19"</formula>
    </cfRule>
  </conditionalFormatting>
  <conditionalFormatting sqref="B25:C25">
    <cfRule type="expression" dxfId="274" priority="30">
      <formula>kvartal &lt; 4</formula>
    </cfRule>
  </conditionalFormatting>
  <conditionalFormatting sqref="B32:C32">
    <cfRule type="expression" dxfId="273" priority="29">
      <formula>#REF!="32≠24+25+26+27+28+29+31"</formula>
    </cfRule>
    <cfRule type="expression" dxfId="272" priority="28">
      <formula>#REF!="32≠33+34"</formula>
    </cfRule>
  </conditionalFormatting>
  <conditionalFormatting sqref="E13:F13">
    <cfRule type="expression" dxfId="271" priority="36">
      <formula>kvartal &lt; 4</formula>
    </cfRule>
  </conditionalFormatting>
  <conditionalFormatting sqref="E20:F20">
    <cfRule type="expression" dxfId="270" priority="33">
      <formula>#REF!="20≠21+22"</formula>
    </cfRule>
    <cfRule type="expression" dxfId="269" priority="32">
      <formula>#REF!="20≠12+13+14+15+16+17+19"</formula>
    </cfRule>
  </conditionalFormatting>
  <conditionalFormatting sqref="E32:F32">
    <cfRule type="expression" dxfId="268" priority="35">
      <formula>#REF!="32≠24+25+26+27+28+29+31"</formula>
    </cfRule>
    <cfRule type="expression" dxfId="267" priority="34">
      <formula>#REF!="32≠33+34"</formula>
    </cfRule>
  </conditionalFormatting>
  <conditionalFormatting sqref="H13:I13">
    <cfRule type="expression" dxfId="266" priority="23">
      <formula>kvartal &lt; 4</formula>
    </cfRule>
  </conditionalFormatting>
  <conditionalFormatting sqref="H20:I20">
    <cfRule type="expression" dxfId="265" priority="19">
      <formula>#REF!="20≠12+13+14+15+16+17+19"</formula>
    </cfRule>
    <cfRule type="expression" dxfId="264" priority="20">
      <formula>#REF!="20≠21+22"</formula>
    </cfRule>
  </conditionalFormatting>
  <conditionalFormatting sqref="H32:I32">
    <cfRule type="expression" dxfId="263" priority="21">
      <formula>#REF!="32≠33+34"</formula>
    </cfRule>
    <cfRule type="expression" dxfId="262" priority="22">
      <formula>#REF!="32≠24+25+26+27+28+29+31"</formula>
    </cfRule>
  </conditionalFormatting>
  <conditionalFormatting sqref="K20:L20 T20:U20">
    <cfRule type="expression" dxfId="261" priority="547">
      <formula>#REF!="20≠21+22"</formula>
    </cfRule>
    <cfRule type="expression" dxfId="260" priority="546">
      <formula>#REF!="20≠12+13+14+15+16+17+19"</formula>
    </cfRule>
  </conditionalFormatting>
  <conditionalFormatting sqref="K32:L32 T32:U32">
    <cfRule type="expression" dxfId="259" priority="552">
      <formula>#REF!="32≠24+25+26+27+28+29+31"</formula>
    </cfRule>
    <cfRule type="expression" dxfId="258" priority="553">
      <formula>#REF!="32≠33+34"</formula>
    </cfRule>
  </conditionalFormatting>
  <conditionalFormatting sqref="N20">
    <cfRule type="expression" dxfId="257" priority="2">
      <formula>#REF!="20≠21+22"</formula>
    </cfRule>
  </conditionalFormatting>
  <conditionalFormatting sqref="N32">
    <cfRule type="expression" dxfId="256" priority="3">
      <formula>#REF!="32≠33+34"</formula>
    </cfRule>
  </conditionalFormatting>
  <conditionalFormatting sqref="N20:O20">
    <cfRule type="expression" dxfId="255" priority="1">
      <formula>#REF!="20≠12+13+14+15+16+17+19"</formula>
    </cfRule>
  </conditionalFormatting>
  <conditionalFormatting sqref="N32:O32">
    <cfRule type="expression" dxfId="254" priority="4">
      <formula>#REF!="32≠24+25+26+27+28+29+31"</formula>
    </cfRule>
  </conditionalFormatting>
  <conditionalFormatting sqref="O20">
    <cfRule type="expression" dxfId="253" priority="6">
      <formula>O$52="20≠21+22"</formula>
    </cfRule>
  </conditionalFormatting>
  <conditionalFormatting sqref="O32">
    <cfRule type="expression" dxfId="252" priority="5">
      <formula>O$54="32≠33+34"</formula>
    </cfRule>
  </conditionalFormatting>
  <conditionalFormatting sqref="Q20:R20">
    <cfRule type="expression" dxfId="251" priority="39">
      <formula>#REF!="20≠12+13+14+15+16+17+19"</formula>
    </cfRule>
    <cfRule type="expression" dxfId="250" priority="40">
      <formula>#REF!="20≠21+22"</formula>
    </cfRule>
  </conditionalFormatting>
  <conditionalFormatting sqref="Q32:R32">
    <cfRule type="expression" dxfId="249" priority="41">
      <formula>#REF!="32≠33+34"</formula>
    </cfRule>
    <cfRule type="expression" dxfId="248" priority="42">
      <formula>#REF!="32≠24+25+26+27+28+29+31"</formula>
    </cfRule>
  </conditionalFormatting>
  <conditionalFormatting sqref="W20:X20">
    <cfRule type="expression" dxfId="247" priority="8">
      <formula>#REF!="20≠21+22"</formula>
    </cfRule>
    <cfRule type="expression" dxfId="246" priority="7">
      <formula>#REF!="20≠12+13+14+15+16+17+19"</formula>
    </cfRule>
  </conditionalFormatting>
  <conditionalFormatting sqref="W32:X32">
    <cfRule type="expression" dxfId="245" priority="10">
      <formula>#REF!="32≠24+25+26+27+28+29+31"</formula>
    </cfRule>
    <cfRule type="expression" dxfId="244" priority="9">
      <formula>#REF!="32≠33+34"</formula>
    </cfRule>
  </conditionalFormatting>
  <conditionalFormatting sqref="Z20:AA20">
    <cfRule type="expression" dxfId="243" priority="14">
      <formula>#REF!="20≠21+22"</formula>
    </cfRule>
    <cfRule type="expression" dxfId="242" priority="13">
      <formula>#REF!="20≠12+13+14+15+16+17+19"</formula>
    </cfRule>
  </conditionalFormatting>
  <conditionalFormatting sqref="Z32:AA32">
    <cfRule type="expression" dxfId="241" priority="16">
      <formula>#REF!="32≠24+25+26+27+28+29+31"</formula>
    </cfRule>
    <cfRule type="expression" dxfId="240" priority="15">
      <formula>#REF!="32≠33+34"</formula>
    </cfRule>
  </conditionalFormatting>
  <conditionalFormatting sqref="AF46:AG46 AI46:AJ46">
    <cfRule type="expression" dxfId="239" priority="564">
      <formula>#REF!="46≠38+39+40+41+42+43+45"</formula>
    </cfRule>
    <cfRule type="expression" dxfId="238" priority="565">
      <formula>#REF!="46≠47+48"</formula>
    </cfRule>
  </conditionalFormatting>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A444-C37C-499D-8F4D-6A034CA46052}">
  <sheetPr codeName="Ark39"/>
  <dimension ref="A1:AY106"/>
  <sheetViews>
    <sheetView showGridLines="0" zoomScale="70" zoomScaleNormal="70" workbookViewId="0">
      <pane xSplit="1" ySplit="8" topLeftCell="B9" activePane="bottomRight" state="frozen"/>
      <selection activeCell="X52" sqref="X52"/>
      <selection pane="topRight" activeCell="X52" sqref="X52"/>
      <selection pane="bottomLeft" activeCell="X52" sqref="X52"/>
      <selection pane="bottomRight" activeCell="A4" sqref="A4"/>
    </sheetView>
  </sheetViews>
  <sheetFormatPr baseColWidth="10" defaultColWidth="11.44140625" defaultRowHeight="13.2" x14ac:dyDescent="0.25"/>
  <cols>
    <col min="1" max="1" width="111.33203125" style="371" customWidth="1"/>
    <col min="2" max="31" width="11.6640625" style="371" customWidth="1"/>
    <col min="32" max="32" width="15.109375" style="371" customWidth="1"/>
    <col min="33" max="33" width="13" style="371" customWidth="1"/>
    <col min="34" max="34" width="11.6640625" style="371" customWidth="1"/>
    <col min="35" max="36" width="13" style="371" customWidth="1"/>
    <col min="37" max="37" width="11.6640625" style="371" customWidth="1"/>
    <col min="38" max="16384" width="11.44140625" style="371"/>
  </cols>
  <sheetData>
    <row r="1" spans="1:51" ht="20.25" customHeight="1" x14ac:dyDescent="0.35">
      <c r="A1" s="374" t="s">
        <v>301</v>
      </c>
      <c r="B1" s="375"/>
      <c r="C1" s="375"/>
      <c r="D1" s="375"/>
      <c r="E1" s="375"/>
      <c r="F1" s="375"/>
      <c r="G1" s="375"/>
      <c r="H1" s="375"/>
      <c r="I1" s="375"/>
      <c r="J1" s="375"/>
    </row>
    <row r="2" spans="1:51" ht="20.100000000000001" customHeight="1" x14ac:dyDescent="0.35">
      <c r="A2" s="374" t="s">
        <v>35</v>
      </c>
      <c r="C2" s="515"/>
      <c r="D2" s="516"/>
      <c r="E2" s="516"/>
    </row>
    <row r="3" spans="1:51" ht="20.100000000000001" customHeight="1" x14ac:dyDescent="0.3">
      <c r="A3" s="376" t="s">
        <v>341</v>
      </c>
      <c r="B3" s="586"/>
      <c r="C3" s="586"/>
      <c r="D3" s="586"/>
      <c r="E3" s="586"/>
      <c r="F3" s="586"/>
      <c r="G3" s="586"/>
      <c r="H3" s="586"/>
      <c r="I3" s="586"/>
      <c r="J3" s="586"/>
    </row>
    <row r="4" spans="1:51" ht="18.75" customHeight="1" x14ac:dyDescent="0.3">
      <c r="A4" s="520" t="s">
        <v>235</v>
      </c>
      <c r="B4" s="587"/>
      <c r="C4" s="587"/>
      <c r="D4" s="588"/>
      <c r="E4" s="589"/>
      <c r="F4" s="587"/>
      <c r="G4" s="588"/>
      <c r="H4" s="589"/>
      <c r="I4" s="587"/>
      <c r="J4" s="588"/>
      <c r="K4" s="377"/>
      <c r="L4" s="377"/>
      <c r="M4" s="377"/>
      <c r="N4" s="378"/>
      <c r="O4" s="377"/>
      <c r="P4" s="379"/>
      <c r="Q4" s="378"/>
      <c r="R4" s="377"/>
      <c r="S4" s="379"/>
      <c r="T4" s="378"/>
      <c r="U4" s="377"/>
      <c r="V4" s="379"/>
      <c r="W4" s="378"/>
      <c r="X4" s="377"/>
      <c r="Y4" s="379"/>
      <c r="Z4" s="378"/>
      <c r="AA4" s="377"/>
      <c r="AB4" s="379"/>
      <c r="AC4" s="378"/>
      <c r="AD4" s="377"/>
      <c r="AE4" s="379"/>
      <c r="AF4" s="378"/>
      <c r="AG4" s="377"/>
      <c r="AH4" s="379"/>
      <c r="AI4" s="378"/>
      <c r="AJ4" s="377"/>
      <c r="AK4" s="379"/>
      <c r="AL4" s="590"/>
      <c r="AM4" s="590"/>
      <c r="AN4" s="590"/>
      <c r="AO4" s="590"/>
      <c r="AP4" s="590"/>
      <c r="AQ4" s="590"/>
      <c r="AR4" s="590"/>
      <c r="AS4" s="590"/>
      <c r="AT4" s="590"/>
      <c r="AU4" s="590"/>
      <c r="AV4" s="590"/>
      <c r="AW4" s="590"/>
      <c r="AX4" s="590"/>
      <c r="AY4" s="590"/>
    </row>
    <row r="5" spans="1:51" ht="18.75" customHeight="1" x14ac:dyDescent="0.3">
      <c r="A5" s="461" t="s">
        <v>120</v>
      </c>
      <c r="B5" s="781" t="s">
        <v>236</v>
      </c>
      <c r="C5" s="782"/>
      <c r="D5" s="783"/>
      <c r="E5" s="781"/>
      <c r="F5" s="782"/>
      <c r="G5" s="783"/>
      <c r="H5" s="781" t="s">
        <v>237</v>
      </c>
      <c r="I5" s="782"/>
      <c r="J5" s="783"/>
      <c r="K5" s="781" t="s">
        <v>238</v>
      </c>
      <c r="L5" s="782"/>
      <c r="M5" s="783"/>
      <c r="N5" s="669" t="s">
        <v>304</v>
      </c>
      <c r="O5" s="670"/>
      <c r="P5" s="671"/>
      <c r="Q5" s="669"/>
      <c r="R5" s="670"/>
      <c r="S5" s="671"/>
      <c r="T5" s="781" t="s">
        <v>239</v>
      </c>
      <c r="U5" s="782"/>
      <c r="V5" s="783"/>
      <c r="W5" s="781" t="s">
        <v>247</v>
      </c>
      <c r="X5" s="782"/>
      <c r="Y5" s="783"/>
      <c r="Z5" s="781" t="s">
        <v>240</v>
      </c>
      <c r="AA5" s="782"/>
      <c r="AB5" s="783"/>
      <c r="AC5" s="781" t="s">
        <v>241</v>
      </c>
      <c r="AD5" s="782"/>
      <c r="AE5" s="783"/>
      <c r="AF5" s="781" t="s">
        <v>121</v>
      </c>
      <c r="AG5" s="782"/>
      <c r="AH5" s="783"/>
      <c r="AI5" s="781" t="s">
        <v>121</v>
      </c>
      <c r="AJ5" s="782"/>
      <c r="AK5" s="783"/>
      <c r="AL5" s="644"/>
      <c r="AM5" s="644"/>
      <c r="AN5" s="796"/>
      <c r="AO5" s="796"/>
      <c r="AP5" s="796"/>
      <c r="AQ5" s="796"/>
      <c r="AR5" s="796"/>
      <c r="AS5" s="796"/>
      <c r="AT5" s="796"/>
      <c r="AU5" s="796"/>
      <c r="AV5" s="796"/>
      <c r="AW5" s="796"/>
      <c r="AX5" s="796"/>
      <c r="AY5" s="796"/>
    </row>
    <row r="6" spans="1:51" ht="21" customHeight="1" x14ac:dyDescent="0.3">
      <c r="A6" s="462"/>
      <c r="B6" s="784" t="s">
        <v>243</v>
      </c>
      <c r="C6" s="785"/>
      <c r="D6" s="786"/>
      <c r="E6" s="784" t="s">
        <v>244</v>
      </c>
      <c r="F6" s="785"/>
      <c r="G6" s="786"/>
      <c r="H6" s="784" t="s">
        <v>243</v>
      </c>
      <c r="I6" s="785"/>
      <c r="J6" s="786"/>
      <c r="K6" s="784" t="s">
        <v>245</v>
      </c>
      <c r="L6" s="785"/>
      <c r="M6" s="786"/>
      <c r="N6" s="784" t="s">
        <v>55</v>
      </c>
      <c r="O6" s="785"/>
      <c r="P6" s="786"/>
      <c r="Q6" s="784" t="s">
        <v>60</v>
      </c>
      <c r="R6" s="785"/>
      <c r="S6" s="786"/>
      <c r="T6" s="784" t="s">
        <v>246</v>
      </c>
      <c r="U6" s="785"/>
      <c r="V6" s="786"/>
      <c r="W6" s="784" t="s">
        <v>305</v>
      </c>
      <c r="X6" s="785"/>
      <c r="Y6" s="786"/>
      <c r="Z6" s="784" t="s">
        <v>243</v>
      </c>
      <c r="AA6" s="785"/>
      <c r="AB6" s="786"/>
      <c r="AC6" s="784" t="s">
        <v>243</v>
      </c>
      <c r="AD6" s="785"/>
      <c r="AE6" s="786"/>
      <c r="AF6" s="784" t="s">
        <v>342</v>
      </c>
      <c r="AG6" s="785"/>
      <c r="AH6" s="786"/>
      <c r="AI6" s="784" t="s">
        <v>343</v>
      </c>
      <c r="AJ6" s="785"/>
      <c r="AK6" s="786"/>
      <c r="AL6" s="644"/>
      <c r="AM6" s="644"/>
      <c r="AN6" s="796"/>
      <c r="AO6" s="796"/>
      <c r="AP6" s="796"/>
      <c r="AQ6" s="796"/>
      <c r="AR6" s="796"/>
      <c r="AS6" s="796"/>
      <c r="AT6" s="796"/>
      <c r="AU6" s="796"/>
      <c r="AV6" s="796"/>
      <c r="AW6" s="796"/>
      <c r="AX6" s="796"/>
      <c r="AY6" s="796"/>
    </row>
    <row r="7" spans="1:51" ht="18.75" customHeight="1" x14ac:dyDescent="0.3">
      <c r="A7" s="462"/>
      <c r="B7" s="591"/>
      <c r="C7" s="591"/>
      <c r="D7" s="463" t="s">
        <v>85</v>
      </c>
      <c r="E7" s="591"/>
      <c r="F7" s="591"/>
      <c r="G7" s="463" t="s">
        <v>85</v>
      </c>
      <c r="H7" s="591"/>
      <c r="I7" s="591"/>
      <c r="J7" s="463" t="s">
        <v>85</v>
      </c>
      <c r="K7" s="591"/>
      <c r="L7" s="591"/>
      <c r="M7" s="463" t="s">
        <v>85</v>
      </c>
      <c r="N7" s="591"/>
      <c r="O7" s="591"/>
      <c r="P7" s="463" t="s">
        <v>85</v>
      </c>
      <c r="Q7" s="591"/>
      <c r="R7" s="591"/>
      <c r="S7" s="463" t="s">
        <v>85</v>
      </c>
      <c r="T7" s="591"/>
      <c r="U7" s="591"/>
      <c r="V7" s="463" t="s">
        <v>85</v>
      </c>
      <c r="W7" s="591"/>
      <c r="X7" s="591"/>
      <c r="Y7" s="463" t="s">
        <v>85</v>
      </c>
      <c r="Z7" s="591"/>
      <c r="AA7" s="591"/>
      <c r="AB7" s="463" t="s">
        <v>85</v>
      </c>
      <c r="AC7" s="591"/>
      <c r="AD7" s="591"/>
      <c r="AE7" s="463" t="s">
        <v>85</v>
      </c>
      <c r="AF7" s="591"/>
      <c r="AG7" s="591"/>
      <c r="AH7" s="463" t="s">
        <v>85</v>
      </c>
      <c r="AI7" s="591"/>
      <c r="AJ7" s="591"/>
      <c r="AK7" s="463" t="s">
        <v>85</v>
      </c>
      <c r="AL7" s="644"/>
      <c r="AM7" s="644"/>
      <c r="AN7" s="644"/>
      <c r="AO7" s="644"/>
      <c r="AP7" s="644"/>
      <c r="AQ7" s="644"/>
      <c r="AR7" s="644"/>
      <c r="AS7" s="644"/>
      <c r="AT7" s="644"/>
      <c r="AU7" s="644"/>
      <c r="AV7" s="644"/>
      <c r="AW7" s="644"/>
      <c r="AX7" s="644"/>
      <c r="AY7" s="644"/>
    </row>
    <row r="8" spans="1:51" ht="18.75" customHeight="1" x14ac:dyDescent="0.35">
      <c r="A8" s="367" t="s">
        <v>344</v>
      </c>
      <c r="B8" s="425">
        <v>2024</v>
      </c>
      <c r="C8" s="425">
        <v>2025</v>
      </c>
      <c r="D8" s="465" t="s">
        <v>88</v>
      </c>
      <c r="E8" s="425">
        <f>B8</f>
        <v>2024</v>
      </c>
      <c r="F8" s="425">
        <f>C8</f>
        <v>2025</v>
      </c>
      <c r="G8" s="465" t="s">
        <v>88</v>
      </c>
      <c r="H8" s="425">
        <f>E8</f>
        <v>2024</v>
      </c>
      <c r="I8" s="425">
        <f>F8</f>
        <v>2025</v>
      </c>
      <c r="J8" s="465" t="s">
        <v>88</v>
      </c>
      <c r="K8" s="425">
        <f>H8</f>
        <v>2024</v>
      </c>
      <c r="L8" s="425">
        <f>I8</f>
        <v>2025</v>
      </c>
      <c r="M8" s="465" t="s">
        <v>88</v>
      </c>
      <c r="N8" s="425">
        <f>K8</f>
        <v>2024</v>
      </c>
      <c r="O8" s="425">
        <f>L8</f>
        <v>2025</v>
      </c>
      <c r="P8" s="465" t="s">
        <v>88</v>
      </c>
      <c r="Q8" s="425">
        <f>N8</f>
        <v>2024</v>
      </c>
      <c r="R8" s="425">
        <f>O8</f>
        <v>2025</v>
      </c>
      <c r="S8" s="465" t="s">
        <v>88</v>
      </c>
      <c r="T8" s="425">
        <f>Q8</f>
        <v>2024</v>
      </c>
      <c r="U8" s="425">
        <f>R8</f>
        <v>2025</v>
      </c>
      <c r="V8" s="465" t="s">
        <v>88</v>
      </c>
      <c r="W8" s="425">
        <f>T8</f>
        <v>2024</v>
      </c>
      <c r="X8" s="425">
        <f>U8</f>
        <v>2025</v>
      </c>
      <c r="Y8" s="465" t="s">
        <v>88</v>
      </c>
      <c r="Z8" s="425">
        <f>W8</f>
        <v>2024</v>
      </c>
      <c r="AA8" s="425">
        <f>X8</f>
        <v>2025</v>
      </c>
      <c r="AB8" s="465" t="s">
        <v>88</v>
      </c>
      <c r="AC8" s="425">
        <f>Z8</f>
        <v>2024</v>
      </c>
      <c r="AD8" s="425">
        <f>AA8</f>
        <v>2025</v>
      </c>
      <c r="AE8" s="465" t="s">
        <v>88</v>
      </c>
      <c r="AF8" s="425">
        <f>AC8</f>
        <v>2024</v>
      </c>
      <c r="AG8" s="425">
        <f>AD8</f>
        <v>2025</v>
      </c>
      <c r="AH8" s="465" t="s">
        <v>88</v>
      </c>
      <c r="AI8" s="425">
        <f>AF8</f>
        <v>2024</v>
      </c>
      <c r="AJ8" s="425">
        <f>AG8</f>
        <v>2025</v>
      </c>
      <c r="AK8" s="465" t="s">
        <v>88</v>
      </c>
      <c r="AL8" s="592"/>
      <c r="AM8" s="593"/>
      <c r="AN8" s="592"/>
      <c r="AO8" s="592"/>
      <c r="AP8" s="593"/>
      <c r="AQ8" s="592"/>
      <c r="AR8" s="592"/>
      <c r="AS8" s="593"/>
      <c r="AT8" s="592"/>
      <c r="AU8" s="592"/>
      <c r="AV8" s="593"/>
      <c r="AW8" s="592"/>
      <c r="AX8" s="592"/>
      <c r="AY8" s="593"/>
    </row>
    <row r="9" spans="1:51" ht="18.75" customHeight="1" x14ac:dyDescent="0.35">
      <c r="A9" s="368"/>
      <c r="B9" s="708"/>
      <c r="C9" s="356"/>
      <c r="D9" s="356"/>
      <c r="E9" s="491"/>
      <c r="F9" s="356"/>
      <c r="G9" s="356"/>
      <c r="H9" s="491"/>
      <c r="I9" s="356"/>
      <c r="J9" s="356"/>
      <c r="K9" s="467"/>
      <c r="L9" s="357"/>
      <c r="M9" s="357"/>
      <c r="N9" s="467"/>
      <c r="O9" s="357"/>
      <c r="P9" s="280"/>
      <c r="Q9" s="467"/>
      <c r="R9" s="357"/>
      <c r="S9" s="280"/>
      <c r="T9" s="467"/>
      <c r="U9" s="357"/>
      <c r="V9" s="280"/>
      <c r="W9" s="467"/>
      <c r="X9" s="357"/>
      <c r="Y9" s="280"/>
      <c r="Z9" s="467"/>
      <c r="AA9" s="357"/>
      <c r="AB9" s="280"/>
      <c r="AC9" s="467"/>
      <c r="AD9" s="357"/>
      <c r="AE9" s="280"/>
      <c r="AF9" s="357"/>
      <c r="AG9" s="357"/>
      <c r="AH9" s="280"/>
      <c r="AI9" s="357"/>
      <c r="AJ9" s="357"/>
      <c r="AK9" s="280"/>
    </row>
    <row r="10" spans="1:51" s="372" customFormat="1" ht="18.75" customHeight="1" x14ac:dyDescent="0.35">
      <c r="A10" s="472" t="s">
        <v>345</v>
      </c>
      <c r="B10" s="708"/>
      <c r="C10" s="358"/>
      <c r="D10" s="358"/>
      <c r="E10" s="492"/>
      <c r="F10" s="358"/>
      <c r="G10" s="358"/>
      <c r="H10" s="492"/>
      <c r="I10" s="358"/>
      <c r="J10" s="358"/>
      <c r="K10" s="467"/>
      <c r="L10" s="357"/>
      <c r="M10" s="357"/>
      <c r="N10" s="467"/>
      <c r="O10" s="357"/>
      <c r="P10" s="280"/>
      <c r="Q10" s="467"/>
      <c r="R10" s="357"/>
      <c r="S10" s="280"/>
      <c r="T10" s="467"/>
      <c r="U10" s="357"/>
      <c r="V10" s="280"/>
      <c r="W10" s="467"/>
      <c r="X10" s="357"/>
      <c r="Y10" s="280"/>
      <c r="Z10" s="467"/>
      <c r="AA10" s="357"/>
      <c r="AB10" s="280"/>
      <c r="AC10" s="467"/>
      <c r="AD10" s="357"/>
      <c r="AE10" s="280"/>
      <c r="AF10" s="357"/>
      <c r="AG10" s="357"/>
      <c r="AH10" s="280"/>
      <c r="AI10" s="357"/>
      <c r="AJ10" s="357"/>
      <c r="AK10" s="280"/>
    </row>
    <row r="11" spans="1:51" s="372" customFormat="1" ht="18.75" customHeight="1" x14ac:dyDescent="0.35">
      <c r="A11" s="369"/>
      <c r="B11" s="708"/>
      <c r="C11" s="358"/>
      <c r="D11" s="358"/>
      <c r="E11" s="492"/>
      <c r="F11" s="358"/>
      <c r="G11" s="358"/>
      <c r="H11" s="492"/>
      <c r="I11" s="358"/>
      <c r="J11" s="358"/>
      <c r="K11" s="467"/>
      <c r="L11" s="357"/>
      <c r="M11" s="357"/>
      <c r="N11" s="467"/>
      <c r="O11" s="357"/>
      <c r="P11" s="280"/>
      <c r="Q11" s="467"/>
      <c r="R11" s="357"/>
      <c r="S11" s="280"/>
      <c r="T11" s="467"/>
      <c r="U11" s="357"/>
      <c r="V11" s="280"/>
      <c r="W11" s="467"/>
      <c r="X11" s="357"/>
      <c r="Y11" s="280"/>
      <c r="Z11" s="467"/>
      <c r="AA11" s="357"/>
      <c r="AB11" s="280"/>
      <c r="AC11" s="467"/>
      <c r="AD11" s="357"/>
      <c r="AE11" s="280"/>
      <c r="AF11" s="357"/>
      <c r="AG11" s="357"/>
      <c r="AH11" s="280"/>
      <c r="AI11" s="357"/>
      <c r="AJ11" s="357"/>
      <c r="AK11" s="280"/>
    </row>
    <row r="12" spans="1:51" s="372" customFormat="1" ht="20.100000000000001" customHeight="1" x14ac:dyDescent="0.35">
      <c r="A12" s="472" t="s">
        <v>346</v>
      </c>
      <c r="B12" s="708"/>
      <c r="C12" s="359"/>
      <c r="D12" s="359"/>
      <c r="E12" s="149"/>
      <c r="F12" s="359"/>
      <c r="G12" s="359"/>
      <c r="H12" s="149"/>
      <c r="I12" s="359"/>
      <c r="J12" s="359"/>
      <c r="K12" s="467"/>
      <c r="L12" s="357"/>
      <c r="M12" s="357"/>
      <c r="N12" s="467"/>
      <c r="O12" s="357"/>
      <c r="P12" s="280"/>
      <c r="Q12" s="467"/>
      <c r="R12" s="357"/>
      <c r="S12" s="280"/>
      <c r="T12" s="467"/>
      <c r="U12" s="357"/>
      <c r="V12" s="280"/>
      <c r="W12" s="467"/>
      <c r="X12" s="357"/>
      <c r="Y12" s="280"/>
      <c r="Z12" s="467"/>
      <c r="AA12" s="357"/>
      <c r="AB12" s="280"/>
      <c r="AC12" s="467"/>
      <c r="AD12" s="357"/>
      <c r="AE12" s="280"/>
      <c r="AF12" s="357"/>
      <c r="AG12" s="357"/>
      <c r="AH12" s="280"/>
      <c r="AI12" s="357"/>
      <c r="AJ12" s="357"/>
      <c r="AK12" s="280"/>
    </row>
    <row r="13" spans="1:51" s="372" customFormat="1" ht="20.100000000000001" customHeight="1" x14ac:dyDescent="0.35">
      <c r="A13" s="472" t="s">
        <v>347</v>
      </c>
      <c r="B13" s="708"/>
      <c r="C13" s="359"/>
      <c r="D13" s="359"/>
      <c r="E13" s="149"/>
      <c r="F13" s="359"/>
      <c r="G13" s="359"/>
      <c r="H13" s="149"/>
      <c r="I13" s="359"/>
      <c r="J13" s="359"/>
      <c r="K13" s="76"/>
      <c r="L13" s="400"/>
      <c r="M13" s="400"/>
      <c r="N13" s="76"/>
      <c r="O13" s="400"/>
      <c r="P13" s="360"/>
      <c r="Q13" s="76"/>
      <c r="R13" s="400"/>
      <c r="S13" s="360"/>
      <c r="T13" s="76"/>
      <c r="U13" s="400"/>
      <c r="V13" s="360"/>
      <c r="W13" s="76"/>
      <c r="X13" s="400"/>
      <c r="Y13" s="360"/>
      <c r="Z13" s="76"/>
      <c r="AA13" s="400"/>
      <c r="AB13" s="360"/>
      <c r="AC13" s="76"/>
      <c r="AD13" s="400"/>
      <c r="AE13" s="360"/>
      <c r="AF13" s="400"/>
      <c r="AG13" s="400"/>
      <c r="AH13" s="360"/>
      <c r="AI13" s="400"/>
      <c r="AJ13" s="400"/>
      <c r="AK13" s="360"/>
    </row>
    <row r="14" spans="1:51" s="372" customFormat="1" ht="20.100000000000001" customHeight="1" x14ac:dyDescent="0.35">
      <c r="A14" s="460" t="s">
        <v>348</v>
      </c>
      <c r="B14" s="709"/>
      <c r="C14" s="360"/>
      <c r="D14" s="360"/>
      <c r="E14" s="147"/>
      <c r="F14" s="360"/>
      <c r="G14" s="360"/>
      <c r="H14" s="147"/>
      <c r="I14" s="360"/>
      <c r="J14" s="360"/>
      <c r="K14" s="76">
        <v>26</v>
      </c>
      <c r="L14" s="400">
        <v>0</v>
      </c>
      <c r="M14" s="400">
        <f t="shared" ref="M14:M16" si="0">IF(K14=0, "    ---- ", IF(ABS(ROUND(100/K14*L14-100,1))&lt;999,ROUND(100/K14*L14-100,1),IF(ROUND(100/K14*L14-100,1)&gt;999,999,-999)))</f>
        <v>-100</v>
      </c>
      <c r="N14" s="76">
        <v>1322.1865066300002</v>
      </c>
      <c r="O14" s="400">
        <v>1404.3456136300001</v>
      </c>
      <c r="P14" s="360">
        <f t="shared" ref="P14:P28" si="1">IF(N14=0, "    ---- ", IF(ABS(ROUND(100/N14*O14-100,1))&lt;999,ROUND(100/N14*O14-100,1),IF(ROUND(100/N14*O14-100,1)&gt;999,999,-999)))</f>
        <v>6.2</v>
      </c>
      <c r="Q14" s="76"/>
      <c r="R14" s="400"/>
      <c r="S14" s="360"/>
      <c r="T14" s="76"/>
      <c r="U14" s="400"/>
      <c r="V14" s="360"/>
      <c r="W14" s="76"/>
      <c r="X14" s="400"/>
      <c r="Y14" s="360"/>
      <c r="Z14" s="76"/>
      <c r="AA14" s="400"/>
      <c r="AB14" s="360"/>
      <c r="AC14" s="76"/>
      <c r="AD14" s="400"/>
      <c r="AE14" s="360"/>
      <c r="AF14" s="400">
        <f t="shared" ref="AF14:AG22" si="2">B14+E14+H14+K14+N14+Q14+T14+W14+Z14</f>
        <v>1348.1865066300002</v>
      </c>
      <c r="AG14" s="400">
        <f t="shared" si="2"/>
        <v>1404.3456136300001</v>
      </c>
      <c r="AH14" s="360">
        <f t="shared" ref="AH14:AH28" si="3">IF(AF14=0, "    ---- ", IF(ABS(ROUND(100/AF14*AG14-100,1))&lt;999,ROUND(100/AF14*AG14-100,1),IF(ROUND(100/AF14*AG14-100,1)&gt;999,999,-999)))</f>
        <v>4.2</v>
      </c>
      <c r="AI14" s="400">
        <f t="shared" ref="AI14:AJ22" si="4">B14+E14+H14+K14+N14+Q14+T14+W14+Z14+AC14</f>
        <v>1348.1865066300002</v>
      </c>
      <c r="AJ14" s="400">
        <f t="shared" si="4"/>
        <v>1404.3456136300001</v>
      </c>
      <c r="AK14" s="360">
        <f t="shared" ref="AK14:AK29" si="5">IF(AI14=0, "    ---- ", IF(ABS(ROUND(100/AI14*AJ14-100,1))&lt;999,ROUND(100/AI14*AJ14-100,1),IF(ROUND(100/AI14*AJ14-100,1)&gt;999,999,-999)))</f>
        <v>4.2</v>
      </c>
    </row>
    <row r="15" spans="1:51" s="372" customFormat="1" ht="20.100000000000001" customHeight="1" x14ac:dyDescent="0.35">
      <c r="A15" s="460" t="s">
        <v>349</v>
      </c>
      <c r="B15" s="709">
        <v>1187.8469576300001</v>
      </c>
      <c r="C15" s="360">
        <v>1170.75198</v>
      </c>
      <c r="D15" s="360">
        <f t="shared" ref="D15:D28" si="6">IF(B15=0, "    ---- ", IF(ABS(ROUND(100/B15*C15-100,1))&lt;999,ROUND(100/B15*C15-100,1),IF(ROUND(100/B15*C15-100,1)&gt;999,999,-999)))</f>
        <v>-1.4</v>
      </c>
      <c r="E15" s="147"/>
      <c r="F15" s="360"/>
      <c r="G15" s="360"/>
      <c r="H15" s="147"/>
      <c r="I15" s="360"/>
      <c r="J15" s="360"/>
      <c r="K15" s="76"/>
      <c r="L15" s="400"/>
      <c r="M15" s="400"/>
      <c r="N15" s="76">
        <v>9967.0913918599999</v>
      </c>
      <c r="O15" s="400">
        <v>10676.511029610001</v>
      </c>
      <c r="P15" s="360">
        <f t="shared" si="1"/>
        <v>7.1</v>
      </c>
      <c r="Q15" s="76">
        <v>1</v>
      </c>
      <c r="R15" s="400">
        <v>1</v>
      </c>
      <c r="S15" s="360">
        <f t="shared" ref="S15:S18" si="7">IF(Q15=0, "    ---- ", IF(ABS(ROUND(100/Q15*R15-100,1))&lt;999,ROUND(100/Q15*R15-100,1),IF(ROUND(100/Q15*R15-100,1)&gt;999,999,-999)))</f>
        <v>0</v>
      </c>
      <c r="T15" s="76">
        <v>1372</v>
      </c>
      <c r="U15" s="400">
        <v>1541</v>
      </c>
      <c r="V15" s="360">
        <f t="shared" ref="V15:V28" si="8">IF(T15=0, "    ---- ", IF(ABS(ROUND(100/T15*U15-100,1))&lt;999,ROUND(100/T15*U15-100,1),IF(ROUND(100/T15*U15-100,1)&gt;999,999,-999)))</f>
        <v>12.3</v>
      </c>
      <c r="W15" s="76">
        <v>1387.778</v>
      </c>
      <c r="X15" s="400">
        <v>1407.34460074</v>
      </c>
      <c r="Y15" s="360">
        <f t="shared" ref="Y15:Y28" si="9">IF(W15=0, "    ---- ", IF(ABS(ROUND(100/W15*X15-100,1))&lt;999,ROUND(100/W15*X15-100,1),IF(ROUND(100/W15*X15-100,1)&gt;999,999,-999)))</f>
        <v>1.4</v>
      </c>
      <c r="Z15" s="76">
        <v>13304.16435675</v>
      </c>
      <c r="AA15" s="400">
        <v>14058.26217994</v>
      </c>
      <c r="AB15" s="360">
        <f t="shared" ref="AB15:AB28" si="10">IF(Z15=0, "    ---- ", IF(ABS(ROUND(100/Z15*AA15-100,1))&lt;999,ROUND(100/Z15*AA15-100,1),IF(ROUND(100/Z15*AA15-100,1)&gt;999,999,-999)))</f>
        <v>5.7</v>
      </c>
      <c r="AC15" s="76"/>
      <c r="AD15" s="400"/>
      <c r="AE15" s="360"/>
      <c r="AF15" s="400">
        <f t="shared" si="2"/>
        <v>27219.880706240001</v>
      </c>
      <c r="AG15" s="400">
        <f t="shared" si="2"/>
        <v>28854.869790290002</v>
      </c>
      <c r="AH15" s="360">
        <f t="shared" si="3"/>
        <v>6</v>
      </c>
      <c r="AI15" s="400">
        <f t="shared" si="4"/>
        <v>27219.880706240001</v>
      </c>
      <c r="AJ15" s="400">
        <f t="shared" si="4"/>
        <v>28854.869790290002</v>
      </c>
      <c r="AK15" s="360">
        <f t="shared" si="5"/>
        <v>6</v>
      </c>
    </row>
    <row r="16" spans="1:51" s="372" customFormat="1" ht="20.100000000000001" customHeight="1" x14ac:dyDescent="0.35">
      <c r="A16" s="460" t="s">
        <v>350</v>
      </c>
      <c r="B16" s="709">
        <f>SUM(B17+B19)</f>
        <v>17161.400386540001</v>
      </c>
      <c r="C16" s="360">
        <f>SUM(C17+C19)</f>
        <v>11999.480970000001</v>
      </c>
      <c r="D16" s="360">
        <f t="shared" si="6"/>
        <v>-30.1</v>
      </c>
      <c r="E16" s="147">
        <f>SUM(E17+E19)</f>
        <v>778.37818665000009</v>
      </c>
      <c r="F16" s="360">
        <f>SUM(F17+F19)</f>
        <v>853</v>
      </c>
      <c r="G16" s="360">
        <f t="shared" ref="G16:G18" si="11">IF(E16=0, "    ---- ", IF(ABS(ROUND(100/E16*F16-100,1))&lt;999,ROUND(100/E16*F16-100,1),IF(ROUND(100/E16*F16-100,1)&gt;999,999,-999)))</f>
        <v>9.6</v>
      </c>
      <c r="H16" s="147"/>
      <c r="I16" s="360"/>
      <c r="J16" s="360"/>
      <c r="K16" s="76">
        <f>SUM(K17+K19)</f>
        <v>139</v>
      </c>
      <c r="L16" s="400">
        <f>SUM(L17+L19)</f>
        <v>127</v>
      </c>
      <c r="M16" s="400">
        <f t="shared" si="0"/>
        <v>-8.6</v>
      </c>
      <c r="N16" s="76">
        <v>21624.758125889999</v>
      </c>
      <c r="O16" s="400">
        <v>17175.200949590002</v>
      </c>
      <c r="P16" s="360">
        <f t="shared" si="1"/>
        <v>-20.6</v>
      </c>
      <c r="Q16" s="76">
        <f>SUM(Q17+Q19)</f>
        <v>8847.26</v>
      </c>
      <c r="R16" s="400">
        <f>SUM(R17+R19)</f>
        <v>7978</v>
      </c>
      <c r="S16" s="360">
        <f t="shared" si="7"/>
        <v>-9.8000000000000007</v>
      </c>
      <c r="T16" s="76">
        <f>SUM(T17+T19)</f>
        <v>5409</v>
      </c>
      <c r="U16" s="400">
        <f>SUM(U17+U19)</f>
        <v>5643</v>
      </c>
      <c r="V16" s="360">
        <f t="shared" si="8"/>
        <v>4.3</v>
      </c>
      <c r="W16" s="76">
        <f>SUM(W17+W19)</f>
        <v>1343.415</v>
      </c>
      <c r="X16" s="400">
        <f>SUM(X17+X19)</f>
        <v>1284.1232836600018</v>
      </c>
      <c r="Y16" s="360">
        <f t="shared" si="9"/>
        <v>-4.4000000000000004</v>
      </c>
      <c r="Z16" s="76">
        <f>SUM(Z17+Z19)</f>
        <v>15242.07711441</v>
      </c>
      <c r="AA16" s="400">
        <f>SUM(AA17+AA19)</f>
        <v>13568.993385619999</v>
      </c>
      <c r="AB16" s="360">
        <f t="shared" si="10"/>
        <v>-11</v>
      </c>
      <c r="AC16" s="76"/>
      <c r="AD16" s="400"/>
      <c r="AE16" s="360"/>
      <c r="AF16" s="400">
        <f t="shared" si="2"/>
        <v>70545.288813489999</v>
      </c>
      <c r="AG16" s="400">
        <f t="shared" si="2"/>
        <v>58628.798588870006</v>
      </c>
      <c r="AH16" s="360">
        <f t="shared" si="3"/>
        <v>-16.899999999999999</v>
      </c>
      <c r="AI16" s="400">
        <f t="shared" si="4"/>
        <v>70545.288813489999</v>
      </c>
      <c r="AJ16" s="400">
        <f t="shared" si="4"/>
        <v>58628.798588870006</v>
      </c>
      <c r="AK16" s="360">
        <f t="shared" si="5"/>
        <v>-16.899999999999999</v>
      </c>
    </row>
    <row r="17" spans="1:37" s="372" customFormat="1" ht="20.100000000000001" customHeight="1" x14ac:dyDescent="0.35">
      <c r="A17" s="460" t="s">
        <v>351</v>
      </c>
      <c r="B17" s="709">
        <v>16557</v>
      </c>
      <c r="C17" s="360">
        <v>11394.70952</v>
      </c>
      <c r="D17" s="360">
        <f t="shared" si="6"/>
        <v>-31.2</v>
      </c>
      <c r="E17" s="147">
        <v>778.37818665000009</v>
      </c>
      <c r="F17" s="360">
        <v>853</v>
      </c>
      <c r="G17" s="360">
        <f t="shared" si="11"/>
        <v>9.6</v>
      </c>
      <c r="H17" s="147"/>
      <c r="I17" s="360"/>
      <c r="J17" s="360"/>
      <c r="K17" s="76"/>
      <c r="L17" s="400"/>
      <c r="M17" s="400"/>
      <c r="N17" s="76">
        <v>7185.4343534899999</v>
      </c>
      <c r="O17" s="400">
        <v>781.50837376999993</v>
      </c>
      <c r="P17" s="360">
        <f t="shared" si="1"/>
        <v>-89.1</v>
      </c>
      <c r="Q17" s="76">
        <v>8847.26</v>
      </c>
      <c r="R17" s="400">
        <v>7978</v>
      </c>
      <c r="S17" s="360">
        <f t="shared" si="7"/>
        <v>-9.8000000000000007</v>
      </c>
      <c r="T17" s="76">
        <v>2961</v>
      </c>
      <c r="U17" s="400">
        <v>2740</v>
      </c>
      <c r="V17" s="360">
        <f t="shared" si="8"/>
        <v>-7.5</v>
      </c>
      <c r="W17" s="76">
        <v>1343.415</v>
      </c>
      <c r="X17" s="400">
        <v>1284.1232836600018</v>
      </c>
      <c r="Y17" s="360">
        <f t="shared" si="9"/>
        <v>-4.4000000000000004</v>
      </c>
      <c r="Z17" s="76"/>
      <c r="AA17" s="400"/>
      <c r="AB17" s="360"/>
      <c r="AC17" s="76"/>
      <c r="AD17" s="400"/>
      <c r="AE17" s="360"/>
      <c r="AF17" s="400">
        <f t="shared" si="2"/>
        <v>37672.487540139999</v>
      </c>
      <c r="AG17" s="400">
        <f t="shared" si="2"/>
        <v>25031.341177430004</v>
      </c>
      <c r="AH17" s="360">
        <f t="shared" si="3"/>
        <v>-33.6</v>
      </c>
      <c r="AI17" s="400">
        <f t="shared" si="4"/>
        <v>37672.487540139999</v>
      </c>
      <c r="AJ17" s="400">
        <f t="shared" si="4"/>
        <v>25031.341177430004</v>
      </c>
      <c r="AK17" s="360">
        <f t="shared" si="5"/>
        <v>-33.6</v>
      </c>
    </row>
    <row r="18" spans="1:37" s="372" customFormat="1" ht="20.100000000000001" customHeight="1" x14ac:dyDescent="0.35">
      <c r="A18" s="460" t="s">
        <v>352</v>
      </c>
      <c r="B18" s="709">
        <v>16557.475426549998</v>
      </c>
      <c r="C18" s="360">
        <v>11394.70952</v>
      </c>
      <c r="D18" s="360">
        <f t="shared" si="6"/>
        <v>-31.2</v>
      </c>
      <c r="E18" s="147">
        <v>778.37818665000009</v>
      </c>
      <c r="F18" s="360">
        <v>853</v>
      </c>
      <c r="G18" s="360">
        <f t="shared" si="11"/>
        <v>9.6</v>
      </c>
      <c r="H18" s="147"/>
      <c r="I18" s="360"/>
      <c r="J18" s="360"/>
      <c r="K18" s="76"/>
      <c r="L18" s="400"/>
      <c r="M18" s="400"/>
      <c r="N18" s="76">
        <v>7185.4343534899999</v>
      </c>
      <c r="O18" s="400">
        <v>781.50837376999993</v>
      </c>
      <c r="P18" s="360">
        <f t="shared" si="1"/>
        <v>-89.1</v>
      </c>
      <c r="Q18" s="76">
        <v>8847.26</v>
      </c>
      <c r="R18" s="400">
        <v>7978</v>
      </c>
      <c r="S18" s="360">
        <f t="shared" si="7"/>
        <v>-9.8000000000000007</v>
      </c>
      <c r="T18" s="76"/>
      <c r="U18" s="400"/>
      <c r="V18" s="360"/>
      <c r="W18" s="76">
        <v>9.8860548499996721</v>
      </c>
      <c r="X18" s="400">
        <v>1284.1232836600018</v>
      </c>
      <c r="Y18" s="360">
        <f t="shared" si="9"/>
        <v>999</v>
      </c>
      <c r="Z18" s="76"/>
      <c r="AA18" s="400"/>
      <c r="AB18" s="360"/>
      <c r="AC18" s="76"/>
      <c r="AD18" s="400"/>
      <c r="AE18" s="360"/>
      <c r="AF18" s="400">
        <f t="shared" si="2"/>
        <v>33378.434021540001</v>
      </c>
      <c r="AG18" s="400">
        <f t="shared" si="2"/>
        <v>22291.341177430004</v>
      </c>
      <c r="AH18" s="360">
        <f t="shared" si="3"/>
        <v>-33.200000000000003</v>
      </c>
      <c r="AI18" s="400">
        <f t="shared" si="4"/>
        <v>33378.434021540001</v>
      </c>
      <c r="AJ18" s="400">
        <f t="shared" si="4"/>
        <v>22291.341177430004</v>
      </c>
      <c r="AK18" s="360">
        <f t="shared" si="5"/>
        <v>-33.200000000000003</v>
      </c>
    </row>
    <row r="19" spans="1:37" s="372" customFormat="1" ht="20.100000000000001" customHeight="1" x14ac:dyDescent="0.35">
      <c r="A19" s="460" t="s">
        <v>353</v>
      </c>
      <c r="B19" s="709">
        <v>604.40038654</v>
      </c>
      <c r="C19" s="360">
        <v>604.77144999999996</v>
      </c>
      <c r="D19" s="360">
        <f t="shared" si="6"/>
        <v>0.1</v>
      </c>
      <c r="E19" s="147"/>
      <c r="F19" s="360"/>
      <c r="G19" s="360"/>
      <c r="H19" s="147"/>
      <c r="I19" s="360"/>
      <c r="J19" s="360"/>
      <c r="K19" s="76">
        <v>139</v>
      </c>
      <c r="L19" s="400">
        <v>127</v>
      </c>
      <c r="M19" s="400">
        <f t="shared" ref="M19:M28" si="12">IF(K19=0, "    ---- ", IF(ABS(ROUND(100/K19*L19-100,1))&lt;999,ROUND(100/K19*L19-100,1),IF(ROUND(100/K19*L19-100,1)&gt;999,999,-999)))</f>
        <v>-8.6</v>
      </c>
      <c r="N19" s="76">
        <v>14439.323772399999</v>
      </c>
      <c r="O19" s="400">
        <v>16393.692575820001</v>
      </c>
      <c r="P19" s="360">
        <f t="shared" si="1"/>
        <v>13.5</v>
      </c>
      <c r="Q19" s="76"/>
      <c r="R19" s="400"/>
      <c r="S19" s="360"/>
      <c r="T19" s="76">
        <v>2448</v>
      </c>
      <c r="U19" s="400">
        <v>2903</v>
      </c>
      <c r="V19" s="360">
        <f t="shared" si="8"/>
        <v>18.600000000000001</v>
      </c>
      <c r="W19" s="76"/>
      <c r="X19" s="400"/>
      <c r="Y19" s="360"/>
      <c r="Z19" s="76">
        <v>15242.07711441</v>
      </c>
      <c r="AA19" s="400">
        <v>13568.993385619999</v>
      </c>
      <c r="AB19" s="360">
        <f t="shared" si="10"/>
        <v>-11</v>
      </c>
      <c r="AC19" s="76"/>
      <c r="AD19" s="400"/>
      <c r="AE19" s="360"/>
      <c r="AF19" s="400">
        <f t="shared" si="2"/>
        <v>32872.80127335</v>
      </c>
      <c r="AG19" s="400">
        <f t="shared" si="2"/>
        <v>33597.457411440002</v>
      </c>
      <c r="AH19" s="360">
        <f t="shared" si="3"/>
        <v>2.2000000000000002</v>
      </c>
      <c r="AI19" s="400">
        <f t="shared" si="4"/>
        <v>32872.80127335</v>
      </c>
      <c r="AJ19" s="400">
        <f t="shared" si="4"/>
        <v>33597.457411440002</v>
      </c>
      <c r="AK19" s="360">
        <f t="shared" si="5"/>
        <v>2.2000000000000002</v>
      </c>
    </row>
    <row r="20" spans="1:37" s="372" customFormat="1" ht="20.100000000000001" customHeight="1" x14ac:dyDescent="0.35">
      <c r="A20" s="460" t="s">
        <v>354</v>
      </c>
      <c r="B20" s="709">
        <f>B21+B22+B23+B24+B25</f>
        <v>12304.794000000002</v>
      </c>
      <c r="C20" s="360">
        <f>C21+C22+C23+C24+C25</f>
        <v>15097.929539999999</v>
      </c>
      <c r="D20" s="360">
        <f t="shared" si="6"/>
        <v>22.7</v>
      </c>
      <c r="E20" s="147">
        <f>E21+E22+E23+E24+E25</f>
        <v>2787.5596986099999</v>
      </c>
      <c r="F20" s="360">
        <f>F21+F22+F23+F24+F25</f>
        <v>2740.1077441400002</v>
      </c>
      <c r="G20" s="360">
        <f>IF(E20=0, "    ---- ", IF(ABS(ROUND(100/E20*F20-100,1))&lt;999,ROUND(100/E20*F20-100,1),IF(ROUND(100/E20*F20-100,1)&gt;999,999,-999)))</f>
        <v>-1.7</v>
      </c>
      <c r="H20" s="147">
        <f>H21+H22+H23+H24+H25</f>
        <v>439.06999999999994</v>
      </c>
      <c r="I20" s="360">
        <f>I21+I22+I23+I24+I25</f>
        <v>450.53000000000003</v>
      </c>
      <c r="J20" s="360">
        <f t="shared" ref="J20:J28" si="13">IF(H20=0, "    ---- ", IF(ABS(ROUND(100/H20*I20-100,1))&lt;999,ROUND(100/H20*I20-100,1),IF(ROUND(100/H20*I20-100,1)&gt;999,999,-999)))</f>
        <v>2.6</v>
      </c>
      <c r="K20" s="147">
        <f>K21+K22+K23+K24+K25</f>
        <v>1116</v>
      </c>
      <c r="L20" s="360">
        <f>L21+L22+L23+L24+L25</f>
        <v>1530</v>
      </c>
      <c r="M20" s="400">
        <f t="shared" si="12"/>
        <v>37.1</v>
      </c>
      <c r="N20" s="147">
        <v>15275.377466219999</v>
      </c>
      <c r="O20" s="360">
        <v>17282.726794509999</v>
      </c>
      <c r="P20" s="360">
        <f t="shared" si="1"/>
        <v>13.1</v>
      </c>
      <c r="Q20" s="147">
        <f>Q21+Q22+Q23+Q24+Q25</f>
        <v>2042.71</v>
      </c>
      <c r="R20" s="360">
        <f>R21+R22+R23+R24+R25</f>
        <v>2073.3199999999997</v>
      </c>
      <c r="S20" s="360">
        <f t="shared" ref="S20:S28" si="14">IF(Q20=0, "    ---- ", IF(ABS(ROUND(100/Q20*R20-100,1))&lt;999,ROUND(100/Q20*R20-100,1),IF(ROUND(100/Q20*R20-100,1)&gt;999,999,-999)))</f>
        <v>1.5</v>
      </c>
      <c r="T20" s="147">
        <f>T21+T22+T23+T24+T25</f>
        <v>4658</v>
      </c>
      <c r="U20" s="360">
        <f>U21+U22+U23+U24+U25</f>
        <v>5121</v>
      </c>
      <c r="V20" s="360">
        <f t="shared" si="8"/>
        <v>9.9</v>
      </c>
      <c r="W20" s="147">
        <f>W21+W22+W23+W24+W25</f>
        <v>3073.0650000000001</v>
      </c>
      <c r="X20" s="360">
        <f>X21+X22+X23+X24+X25</f>
        <v>3018.0322281499798</v>
      </c>
      <c r="Y20" s="360">
        <f t="shared" si="9"/>
        <v>-1.8</v>
      </c>
      <c r="Z20" s="147">
        <f>Z21+Z22+Z23+Z24+Z25</f>
        <v>5409.0539090100001</v>
      </c>
      <c r="AA20" s="360">
        <f>AA21+AA22+AA23+AA24+AA25</f>
        <v>5687.7899300800009</v>
      </c>
      <c r="AB20" s="360">
        <f t="shared" si="10"/>
        <v>5.2</v>
      </c>
      <c r="AC20" s="147">
        <f>AC21+AC22+AC23+AC24+AC25</f>
        <v>46</v>
      </c>
      <c r="AD20" s="360">
        <f>AD21+AD22+AD23+AD24+AD25</f>
        <v>92</v>
      </c>
      <c r="AE20" s="360">
        <f t="shared" ref="AE20:AE23" si="15">IF(AC20=0, "    ---- ", IF(ABS(ROUND(100/AC20*AD20-100,1))&lt;999,ROUND(100/AC20*AD20-100,1),IF(ROUND(100/AC20*AD20-100,1)&gt;999,999,-999)))</f>
        <v>100</v>
      </c>
      <c r="AF20" s="400">
        <f t="shared" si="2"/>
        <v>47105.630073840002</v>
      </c>
      <c r="AG20" s="400">
        <f t="shared" si="2"/>
        <v>53001.436236879978</v>
      </c>
      <c r="AH20" s="360">
        <f t="shared" si="3"/>
        <v>12.5</v>
      </c>
      <c r="AI20" s="400">
        <f t="shared" si="4"/>
        <v>47151.630073840002</v>
      </c>
      <c r="AJ20" s="400">
        <f t="shared" si="4"/>
        <v>53093.436236879978</v>
      </c>
      <c r="AK20" s="360">
        <f t="shared" si="5"/>
        <v>12.6</v>
      </c>
    </row>
    <row r="21" spans="1:37" s="372" customFormat="1" ht="20.100000000000001" customHeight="1" x14ac:dyDescent="0.35">
      <c r="A21" s="460" t="s">
        <v>355</v>
      </c>
      <c r="B21" s="709">
        <v>1239.4760000000001</v>
      </c>
      <c r="C21" s="360">
        <v>1225.29225</v>
      </c>
      <c r="D21" s="360">
        <f t="shared" si="6"/>
        <v>-1.1000000000000001</v>
      </c>
      <c r="E21" s="147"/>
      <c r="F21" s="360"/>
      <c r="G21" s="360"/>
      <c r="H21" s="147">
        <v>66.515000000000001</v>
      </c>
      <c r="I21" s="360">
        <v>70.153000000000006</v>
      </c>
      <c r="J21" s="360">
        <f t="shared" si="13"/>
        <v>5.5</v>
      </c>
      <c r="K21" s="76">
        <v>16</v>
      </c>
      <c r="L21" s="400">
        <v>21</v>
      </c>
      <c r="M21" s="400">
        <f t="shared" si="12"/>
        <v>31.3</v>
      </c>
      <c r="N21" s="76">
        <v>3.8961000000000001</v>
      </c>
      <c r="O21" s="400">
        <v>1659.2376564200001</v>
      </c>
      <c r="P21" s="360">
        <f t="shared" si="1"/>
        <v>999</v>
      </c>
      <c r="Q21" s="76">
        <v>9.3800000000000008</v>
      </c>
      <c r="R21" s="400">
        <v>6.97</v>
      </c>
      <c r="S21" s="360">
        <f t="shared" si="14"/>
        <v>-25.7</v>
      </c>
      <c r="T21" s="76">
        <v>2225</v>
      </c>
      <c r="U21" s="400">
        <v>2366</v>
      </c>
      <c r="V21" s="360">
        <f t="shared" si="8"/>
        <v>6.3</v>
      </c>
      <c r="W21" s="76">
        <v>2.2410000000000001</v>
      </c>
      <c r="X21" s="400">
        <v>2.3954883099999997</v>
      </c>
      <c r="Y21" s="360">
        <f t="shared" si="9"/>
        <v>6.9</v>
      </c>
      <c r="Z21" s="76">
        <v>355.82573489999999</v>
      </c>
      <c r="AA21" s="400">
        <v>451.52606603999988</v>
      </c>
      <c r="AB21" s="360">
        <f t="shared" si="10"/>
        <v>26.9</v>
      </c>
      <c r="AC21" s="76"/>
      <c r="AD21" s="400"/>
      <c r="AE21" s="360"/>
      <c r="AF21" s="400">
        <f t="shared" si="2"/>
        <v>3918.3338349000001</v>
      </c>
      <c r="AG21" s="400">
        <f t="shared" si="2"/>
        <v>5802.5744607699999</v>
      </c>
      <c r="AH21" s="360">
        <f t="shared" si="3"/>
        <v>48.1</v>
      </c>
      <c r="AI21" s="400">
        <f t="shared" si="4"/>
        <v>3918.3338349000001</v>
      </c>
      <c r="AJ21" s="400">
        <f t="shared" si="4"/>
        <v>5802.5744607699999</v>
      </c>
      <c r="AK21" s="360">
        <f t="shared" si="5"/>
        <v>48.1</v>
      </c>
    </row>
    <row r="22" spans="1:37" s="372" customFormat="1" ht="20.100000000000001" customHeight="1" x14ac:dyDescent="0.35">
      <c r="A22" s="460" t="s">
        <v>356</v>
      </c>
      <c r="B22" s="709">
        <v>10548.063</v>
      </c>
      <c r="C22" s="360">
        <v>13222.07166</v>
      </c>
      <c r="D22" s="360">
        <f t="shared" si="6"/>
        <v>25.4</v>
      </c>
      <c r="E22" s="147">
        <v>2660.2025549200002</v>
      </c>
      <c r="F22" s="360">
        <v>2758.8457553200001</v>
      </c>
      <c r="G22" s="360">
        <f>IF(E22=0, "    ---- ", IF(ABS(ROUND(100/E22*F22-100,1))&lt;999,ROUND(100/E22*F22-100,1),IF(ROUND(100/E22*F22-100,1)&gt;999,999,-999)))</f>
        <v>3.7</v>
      </c>
      <c r="H22" s="147">
        <v>267.26299999999998</v>
      </c>
      <c r="I22" s="360">
        <v>276.72000000000003</v>
      </c>
      <c r="J22" s="360">
        <f t="shared" si="13"/>
        <v>3.5</v>
      </c>
      <c r="K22" s="76">
        <v>1100</v>
      </c>
      <c r="L22" s="400">
        <v>1509</v>
      </c>
      <c r="M22" s="400">
        <f t="shared" si="12"/>
        <v>37.200000000000003</v>
      </c>
      <c r="N22" s="76">
        <v>12412.07502149</v>
      </c>
      <c r="O22" s="400">
        <v>14350.816355610001</v>
      </c>
      <c r="P22" s="360">
        <f t="shared" si="1"/>
        <v>15.6</v>
      </c>
      <c r="Q22" s="76">
        <v>2030.39</v>
      </c>
      <c r="R22" s="400">
        <v>2044.7099999999998</v>
      </c>
      <c r="S22" s="360">
        <f t="shared" si="14"/>
        <v>0.7</v>
      </c>
      <c r="T22" s="76">
        <v>2414</v>
      </c>
      <c r="U22" s="400">
        <v>2706</v>
      </c>
      <c r="V22" s="360">
        <f t="shared" si="8"/>
        <v>12.1</v>
      </c>
      <c r="W22" s="76">
        <v>2474.9349999999999</v>
      </c>
      <c r="X22" s="400">
        <v>2670.2121903600014</v>
      </c>
      <c r="Y22" s="360">
        <f t="shared" si="9"/>
        <v>7.9</v>
      </c>
      <c r="Z22" s="76">
        <v>4950.8008545000002</v>
      </c>
      <c r="AA22" s="400">
        <v>5144.1366674300007</v>
      </c>
      <c r="AB22" s="360">
        <f t="shared" si="10"/>
        <v>3.9</v>
      </c>
      <c r="AC22" s="76"/>
      <c r="AD22" s="400">
        <v>51</v>
      </c>
      <c r="AE22" s="360" t="str">
        <f t="shared" si="15"/>
        <v xml:space="preserve">    ---- </v>
      </c>
      <c r="AF22" s="400">
        <f t="shared" si="2"/>
        <v>38857.729430909996</v>
      </c>
      <c r="AG22" s="400">
        <f t="shared" si="2"/>
        <v>44682.512628720004</v>
      </c>
      <c r="AH22" s="360">
        <f t="shared" si="3"/>
        <v>15</v>
      </c>
      <c r="AI22" s="400">
        <f t="shared" si="4"/>
        <v>38857.729430909996</v>
      </c>
      <c r="AJ22" s="400">
        <f t="shared" si="4"/>
        <v>44733.512628720004</v>
      </c>
      <c r="AK22" s="360">
        <f t="shared" si="5"/>
        <v>15.1</v>
      </c>
    </row>
    <row r="23" spans="1:37" s="372" customFormat="1" ht="20.100000000000001" customHeight="1" x14ac:dyDescent="0.35">
      <c r="A23" s="460" t="s">
        <v>357</v>
      </c>
      <c r="B23" s="709">
        <v>39.581000000000003</v>
      </c>
      <c r="C23" s="360">
        <v>41.621290000000002</v>
      </c>
      <c r="D23" s="360">
        <f t="shared" si="6"/>
        <v>5.2</v>
      </c>
      <c r="E23" s="147">
        <v>119.33483901999996</v>
      </c>
      <c r="F23" s="360">
        <v>-22.945697999999993</v>
      </c>
      <c r="G23" s="360">
        <f>IF(E23=0, "    ---- ", IF(ABS(ROUND(100/E23*F23-100,1))&lt;999,ROUND(100/E23*F23-100,1),IF(ROUND(100/E23*F23-100,1)&gt;999,999,-999)))</f>
        <v>-119.2</v>
      </c>
      <c r="H23" s="147"/>
      <c r="I23" s="360"/>
      <c r="J23" s="360"/>
      <c r="K23" s="76"/>
      <c r="L23" s="400"/>
      <c r="M23" s="400"/>
      <c r="N23" s="76">
        <v>2426.95966851</v>
      </c>
      <c r="O23" s="400">
        <v>1273.7205257200001</v>
      </c>
      <c r="P23" s="360">
        <f t="shared" si="1"/>
        <v>-47.5</v>
      </c>
      <c r="Q23" s="76">
        <v>0.1</v>
      </c>
      <c r="R23" s="400">
        <v>0.1</v>
      </c>
      <c r="S23" s="360">
        <f t="shared" si="14"/>
        <v>0</v>
      </c>
      <c r="T23" s="76">
        <v>19</v>
      </c>
      <c r="U23" s="400">
        <v>49</v>
      </c>
      <c r="V23" s="360">
        <f t="shared" si="8"/>
        <v>157.9</v>
      </c>
      <c r="W23" s="76">
        <v>60.652000000000001</v>
      </c>
      <c r="X23" s="400">
        <v>39.49332354000132</v>
      </c>
      <c r="Y23" s="360">
        <f t="shared" si="9"/>
        <v>-34.9</v>
      </c>
      <c r="Z23" s="76"/>
      <c r="AA23" s="400"/>
      <c r="AB23" s="360"/>
      <c r="AC23" s="76">
        <v>46</v>
      </c>
      <c r="AD23" s="400">
        <v>41</v>
      </c>
      <c r="AE23" s="360">
        <f t="shared" si="15"/>
        <v>-10.9</v>
      </c>
      <c r="AF23" s="400">
        <f>B23+E23+H23+K23+N23+Q23+T23+W23+Z23</f>
        <v>2665.62750753</v>
      </c>
      <c r="AG23" s="400">
        <f>C23+F23+I23+L23+O23+R23+U23+X23+AA23</f>
        <v>1380.9894412600013</v>
      </c>
      <c r="AH23" s="360">
        <f t="shared" si="3"/>
        <v>-48.2</v>
      </c>
      <c r="AI23" s="400">
        <f>B23+E23+H23+K23+N23+Q23+T23+W23+Z23+AC23</f>
        <v>2711.62750753</v>
      </c>
      <c r="AJ23" s="400">
        <f>C23+F23+I23+L23+O23+R23+U23+X23+AA23+AD23</f>
        <v>1421.9894412600013</v>
      </c>
      <c r="AK23" s="360">
        <f t="shared" si="5"/>
        <v>-47.6</v>
      </c>
    </row>
    <row r="24" spans="1:37" s="372" customFormat="1" ht="20.100000000000001" customHeight="1" x14ac:dyDescent="0.35">
      <c r="A24" s="460" t="s">
        <v>358</v>
      </c>
      <c r="B24" s="709">
        <v>8.2449999999999992</v>
      </c>
      <c r="C24" s="360">
        <v>0.59750000000000003</v>
      </c>
      <c r="D24" s="360">
        <f t="shared" si="6"/>
        <v>-92.8</v>
      </c>
      <c r="E24" s="147"/>
      <c r="F24" s="360"/>
      <c r="G24" s="360"/>
      <c r="H24" s="147"/>
      <c r="I24" s="360"/>
      <c r="J24" s="360"/>
      <c r="K24" s="76"/>
      <c r="L24" s="400"/>
      <c r="M24" s="400"/>
      <c r="N24" s="76">
        <v>432.44667623000004</v>
      </c>
      <c r="O24" s="400">
        <v>0.19156771</v>
      </c>
      <c r="P24" s="360">
        <f t="shared" si="1"/>
        <v>-100</v>
      </c>
      <c r="Q24" s="76"/>
      <c r="R24" s="400"/>
      <c r="S24" s="360"/>
      <c r="T24" s="76"/>
      <c r="U24" s="400"/>
      <c r="V24" s="360"/>
      <c r="W24" s="76">
        <v>7.5940000000000003</v>
      </c>
      <c r="X24" s="400">
        <v>10.444879780000003</v>
      </c>
      <c r="Y24" s="360">
        <f t="shared" si="9"/>
        <v>37.5</v>
      </c>
      <c r="Z24" s="76">
        <v>102.42731961</v>
      </c>
      <c r="AA24" s="400">
        <v>92.127196609999856</v>
      </c>
      <c r="AB24" s="360">
        <f t="shared" si="10"/>
        <v>-10.1</v>
      </c>
      <c r="AC24" s="76"/>
      <c r="AD24" s="400"/>
      <c r="AE24" s="360"/>
      <c r="AF24" s="400">
        <f t="shared" ref="AF24:AG29" si="16">B24+E24+H24+K24+N24+Q24+T24+W24+Z24</f>
        <v>550.71299584000008</v>
      </c>
      <c r="AG24" s="400">
        <f t="shared" si="16"/>
        <v>103.36114409999986</v>
      </c>
      <c r="AH24" s="360">
        <f t="shared" si="3"/>
        <v>-81.2</v>
      </c>
      <c r="AI24" s="400">
        <f t="shared" ref="AI24:AJ29" si="17">B24+E24+H24+K24+N24+Q24+T24+W24+Z24+AC24</f>
        <v>550.71299584000008</v>
      </c>
      <c r="AJ24" s="400">
        <f t="shared" si="17"/>
        <v>103.36114409999986</v>
      </c>
      <c r="AK24" s="360">
        <f t="shared" si="5"/>
        <v>-81.2</v>
      </c>
    </row>
    <row r="25" spans="1:37" s="372" customFormat="1" ht="20.100000000000001" customHeight="1" x14ac:dyDescent="0.35">
      <c r="A25" s="460" t="s">
        <v>359</v>
      </c>
      <c r="B25" s="709">
        <v>469.42899999999997</v>
      </c>
      <c r="C25" s="360">
        <v>608.34684000000004</v>
      </c>
      <c r="D25" s="360">
        <f t="shared" si="6"/>
        <v>29.6</v>
      </c>
      <c r="E25" s="147">
        <v>8.0223046700000094</v>
      </c>
      <c r="F25" s="360">
        <v>4.2076868200000055</v>
      </c>
      <c r="G25" s="360">
        <f>IF(E25=0, "    ---- ", IF(ABS(ROUND(100/E25*F25-100,1))&lt;999,ROUND(100/E25*F25-100,1),IF(ROUND(100/E25*F25-100,1)&gt;999,999,-999)))</f>
        <v>-47.6</v>
      </c>
      <c r="H25" s="147">
        <v>105.292</v>
      </c>
      <c r="I25" s="360">
        <v>103.657</v>
      </c>
      <c r="J25" s="360">
        <f t="shared" si="13"/>
        <v>-1.6</v>
      </c>
      <c r="K25" s="76"/>
      <c r="L25" s="400"/>
      <c r="M25" s="400"/>
      <c r="N25" s="76">
        <v>-1E-8</v>
      </c>
      <c r="O25" s="400">
        <v>-1.2393109499999999</v>
      </c>
      <c r="P25" s="360">
        <f t="shared" si="1"/>
        <v>999</v>
      </c>
      <c r="Q25" s="76">
        <v>2.84</v>
      </c>
      <c r="R25" s="400">
        <v>21.54</v>
      </c>
      <c r="S25" s="360">
        <f t="shared" si="14"/>
        <v>658.5</v>
      </c>
      <c r="T25" s="76"/>
      <c r="U25" s="400"/>
      <c r="V25" s="360"/>
      <c r="W25" s="76">
        <v>527.64300000000003</v>
      </c>
      <c r="X25" s="400">
        <v>295.48634615997707</v>
      </c>
      <c r="Y25" s="360">
        <f t="shared" si="9"/>
        <v>-44</v>
      </c>
      <c r="Z25" s="76"/>
      <c r="AA25" s="400"/>
      <c r="AB25" s="360"/>
      <c r="AC25" s="76"/>
      <c r="AD25" s="400"/>
      <c r="AE25" s="360"/>
      <c r="AF25" s="400">
        <f t="shared" si="16"/>
        <v>1113.2263046600001</v>
      </c>
      <c r="AG25" s="400">
        <f t="shared" si="16"/>
        <v>1031.9985620299772</v>
      </c>
      <c r="AH25" s="360">
        <f t="shared" si="3"/>
        <v>-7.3</v>
      </c>
      <c r="AI25" s="400">
        <f t="shared" si="17"/>
        <v>1113.2263046600001</v>
      </c>
      <c r="AJ25" s="400">
        <f t="shared" si="17"/>
        <v>1031.9985620299772</v>
      </c>
      <c r="AK25" s="360">
        <f t="shared" si="5"/>
        <v>-7.3</v>
      </c>
    </row>
    <row r="26" spans="1:37" s="372" customFormat="1" ht="20.100000000000001" customHeight="1" x14ac:dyDescent="0.35">
      <c r="A26" s="460" t="s">
        <v>360</v>
      </c>
      <c r="B26" s="709"/>
      <c r="C26" s="360"/>
      <c r="D26" s="360"/>
      <c r="E26" s="147"/>
      <c r="F26" s="360"/>
      <c r="G26" s="360"/>
      <c r="H26" s="147"/>
      <c r="I26" s="360"/>
      <c r="J26" s="360"/>
      <c r="K26" s="76"/>
      <c r="L26" s="400"/>
      <c r="M26" s="400"/>
      <c r="N26" s="76"/>
      <c r="O26" s="400"/>
      <c r="P26" s="360"/>
      <c r="Q26" s="76"/>
      <c r="R26" s="400"/>
      <c r="S26" s="360"/>
      <c r="T26" s="76"/>
      <c r="U26" s="400"/>
      <c r="V26" s="360"/>
      <c r="W26" s="76"/>
      <c r="X26" s="400"/>
      <c r="Y26" s="360"/>
      <c r="Z26" s="76"/>
      <c r="AA26" s="400"/>
      <c r="AB26" s="360"/>
      <c r="AC26" s="76"/>
      <c r="AD26" s="400"/>
      <c r="AE26" s="360"/>
      <c r="AF26" s="400">
        <f t="shared" si="16"/>
        <v>0</v>
      </c>
      <c r="AG26" s="400">
        <f t="shared" si="16"/>
        <v>0</v>
      </c>
      <c r="AH26" s="360" t="str">
        <f t="shared" si="3"/>
        <v xml:space="preserve">    ---- </v>
      </c>
      <c r="AI26" s="400">
        <f t="shared" si="17"/>
        <v>0</v>
      </c>
      <c r="AJ26" s="400">
        <f t="shared" si="17"/>
        <v>0</v>
      </c>
      <c r="AK26" s="360" t="str">
        <f t="shared" si="5"/>
        <v xml:space="preserve">    ---- </v>
      </c>
    </row>
    <row r="27" spans="1:37" s="372" customFormat="1" ht="20.100000000000001" customHeight="1" x14ac:dyDescent="0.35">
      <c r="A27" s="493" t="s">
        <v>361</v>
      </c>
      <c r="B27" s="709">
        <f>SUM(B14+B15+B16+B20+B26)</f>
        <v>30654.041344170004</v>
      </c>
      <c r="C27" s="360">
        <f>SUM(C14+C15+C16+C20+C26)</f>
        <v>28268.162490000002</v>
      </c>
      <c r="D27" s="360">
        <f t="shared" si="6"/>
        <v>-7.8</v>
      </c>
      <c r="E27" s="147">
        <f>SUM(E14+E15+E16+E20+E26)</f>
        <v>3565.9378852600003</v>
      </c>
      <c r="F27" s="360">
        <f>SUM(F14+F15+F16+F20+F26)</f>
        <v>3593.1077441400002</v>
      </c>
      <c r="G27" s="360">
        <f>IF(E27=0, "    ---- ", IF(ABS(ROUND(100/E27*F27-100,1))&lt;999,ROUND(100/E27*F27-100,1),IF(ROUND(100/E27*F27-100,1)&gt;999,999,-999)))</f>
        <v>0.8</v>
      </c>
      <c r="H27" s="147">
        <f>SUM(H14+H15+H16+H20+H26)</f>
        <v>439.06999999999994</v>
      </c>
      <c r="I27" s="360">
        <f>SUM(I14+I15+I16+I20+I26)</f>
        <v>450.53000000000003</v>
      </c>
      <c r="J27" s="360">
        <f t="shared" si="13"/>
        <v>2.6</v>
      </c>
      <c r="K27" s="76">
        <f>SUM(K14+K15+K16+K20+K26)</f>
        <v>1281</v>
      </c>
      <c r="L27" s="400">
        <f>SUM(L14+L15+L16+L20+L26)</f>
        <v>1657</v>
      </c>
      <c r="M27" s="400">
        <f t="shared" si="12"/>
        <v>29.4</v>
      </c>
      <c r="N27" s="76">
        <v>48189.413490599996</v>
      </c>
      <c r="O27" s="400">
        <v>46538.784387339998</v>
      </c>
      <c r="P27" s="360">
        <f t="shared" si="1"/>
        <v>-3.4</v>
      </c>
      <c r="Q27" s="76">
        <f>SUM(Q14+Q15+Q16+Q20+Q26)</f>
        <v>10890.970000000001</v>
      </c>
      <c r="R27" s="400">
        <f>SUM(R14+R15+R16+R20+R26)</f>
        <v>10052.32</v>
      </c>
      <c r="S27" s="360">
        <f t="shared" si="14"/>
        <v>-7.7</v>
      </c>
      <c r="T27" s="76">
        <f>SUM(T14+T15+T16+T20+T26)</f>
        <v>11439</v>
      </c>
      <c r="U27" s="400">
        <f>SUM(U14+U15+U16+U20+U26)</f>
        <v>12305</v>
      </c>
      <c r="V27" s="360">
        <f t="shared" si="8"/>
        <v>7.6</v>
      </c>
      <c r="W27" s="76">
        <f>SUM(W14+W15+W16+W20+W26)</f>
        <v>5804.2579999999998</v>
      </c>
      <c r="X27" s="400">
        <f>SUM(X14+X15+X16+X20+X26)</f>
        <v>5709.5001125499821</v>
      </c>
      <c r="Y27" s="360">
        <f t="shared" si="9"/>
        <v>-1.6</v>
      </c>
      <c r="Z27" s="76">
        <f>SUM(Z14+Z15+Z16+Z20+Z26)</f>
        <v>33955.295380169999</v>
      </c>
      <c r="AA27" s="400">
        <f>SUM(AA14+AA15+AA16+AA20+AA26)</f>
        <v>33315.045495639999</v>
      </c>
      <c r="AB27" s="360">
        <f t="shared" si="10"/>
        <v>-1.9</v>
      </c>
      <c r="AC27" s="76">
        <f>SUM(AC14+AC15+AC16+AC20+AC26)</f>
        <v>46</v>
      </c>
      <c r="AD27" s="400">
        <f>SUM(AD14+AD15+AD16+AD20+AD26)</f>
        <v>92</v>
      </c>
      <c r="AE27" s="360">
        <f>IF(AC27=0, "    ---- ", IF(ABS(ROUND(100/AC27*AD27-100,1))&lt;999,ROUND(100/AC27*AD27-100,1),IF(ROUND(100/AC27*AD27-100,1)&gt;999,999,-999)))</f>
        <v>100</v>
      </c>
      <c r="AF27" s="400">
        <f t="shared" si="16"/>
        <v>146218.98610020001</v>
      </c>
      <c r="AG27" s="400">
        <f t="shared" si="16"/>
        <v>141889.45022966998</v>
      </c>
      <c r="AH27" s="360">
        <f t="shared" si="3"/>
        <v>-3</v>
      </c>
      <c r="AI27" s="400">
        <f t="shared" si="17"/>
        <v>146264.98610020001</v>
      </c>
      <c r="AJ27" s="400">
        <f t="shared" si="17"/>
        <v>141981.45022966998</v>
      </c>
      <c r="AK27" s="360">
        <f t="shared" si="5"/>
        <v>-2.9</v>
      </c>
    </row>
    <row r="28" spans="1:37" s="372" customFormat="1" ht="20.100000000000001" customHeight="1" x14ac:dyDescent="0.35">
      <c r="A28" s="460" t="s">
        <v>362</v>
      </c>
      <c r="B28" s="709">
        <v>1265.2</v>
      </c>
      <c r="C28" s="360">
        <v>1584.10879</v>
      </c>
      <c r="D28" s="360">
        <f t="shared" si="6"/>
        <v>25.2</v>
      </c>
      <c r="E28" s="147">
        <v>953.00639512999976</v>
      </c>
      <c r="F28" s="360">
        <v>607.42352368000002</v>
      </c>
      <c r="G28" s="360">
        <f>IF(E28=0, "    ---- ", IF(ABS(ROUND(100/E28*F28-100,1))&lt;999,ROUND(100/E28*F28-100,1),IF(ROUND(100/E28*F28-100,1)&gt;999,999,-999)))</f>
        <v>-36.299999999999997</v>
      </c>
      <c r="H28" s="147">
        <v>210.92400000000001</v>
      </c>
      <c r="I28" s="360">
        <v>270.03399999999999</v>
      </c>
      <c r="J28" s="360">
        <f t="shared" si="13"/>
        <v>28</v>
      </c>
      <c r="K28" s="76">
        <v>421</v>
      </c>
      <c r="L28" s="400">
        <v>517</v>
      </c>
      <c r="M28" s="400">
        <f t="shared" si="12"/>
        <v>22.8</v>
      </c>
      <c r="N28" s="76">
        <v>9180.877510979999</v>
      </c>
      <c r="O28" s="400">
        <v>6013.9833419799998</v>
      </c>
      <c r="P28" s="360">
        <f t="shared" si="1"/>
        <v>-34.5</v>
      </c>
      <c r="Q28" s="76">
        <v>1360.78</v>
      </c>
      <c r="R28" s="400">
        <v>1486.62</v>
      </c>
      <c r="S28" s="360">
        <f t="shared" si="14"/>
        <v>9.1999999999999993</v>
      </c>
      <c r="T28" s="76">
        <f>16+97+467+18</f>
        <v>598</v>
      </c>
      <c r="U28" s="400">
        <f>10+145+279+50</f>
        <v>484</v>
      </c>
      <c r="V28" s="360">
        <f t="shared" si="8"/>
        <v>-19.100000000000001</v>
      </c>
      <c r="W28" s="76">
        <v>920.54100000000005</v>
      </c>
      <c r="X28" s="400">
        <v>1377.064209220016</v>
      </c>
      <c r="Y28" s="360">
        <f t="shared" si="9"/>
        <v>49.6</v>
      </c>
      <c r="Z28" s="76">
        <v>10906</v>
      </c>
      <c r="AA28" s="400">
        <v>9160.9784624800159</v>
      </c>
      <c r="AB28" s="360">
        <f t="shared" si="10"/>
        <v>-16</v>
      </c>
      <c r="AC28" s="76">
        <v>81</v>
      </c>
      <c r="AD28" s="400">
        <v>140</v>
      </c>
      <c r="AE28" s="360">
        <f>IF(AC28=0, "    ---- ", IF(ABS(ROUND(100/AC28*AD28-100,1))&lt;999,ROUND(100/AC28*AD28-100,1),IF(ROUND(100/AC28*AD28-100,1)&gt;999,999,-999)))</f>
        <v>72.8</v>
      </c>
      <c r="AF28" s="400">
        <f t="shared" si="16"/>
        <v>25816.32890611</v>
      </c>
      <c r="AG28" s="400">
        <f t="shared" si="16"/>
        <v>21501.21232736003</v>
      </c>
      <c r="AH28" s="360">
        <f t="shared" si="3"/>
        <v>-16.7</v>
      </c>
      <c r="AI28" s="400">
        <f t="shared" si="17"/>
        <v>25897.32890611</v>
      </c>
      <c r="AJ28" s="400">
        <f t="shared" si="17"/>
        <v>21641.21232736003</v>
      </c>
      <c r="AK28" s="360">
        <f t="shared" si="5"/>
        <v>-16.399999999999999</v>
      </c>
    </row>
    <row r="29" spans="1:37" s="372" customFormat="1" ht="20.100000000000001" customHeight="1" x14ac:dyDescent="0.35">
      <c r="A29" s="460" t="s">
        <v>363</v>
      </c>
      <c r="B29" s="709">
        <f>SUM(B27+B28)</f>
        <v>31919.241344170005</v>
      </c>
      <c r="C29" s="360">
        <f>SUM(C27+C28)</f>
        <v>29852.271280000001</v>
      </c>
      <c r="D29" s="360">
        <f>IF(B29=0, "    ---- ", IF(ABS(ROUND(100/B29*C29-100,1))&lt;999,ROUND(100/B29*C29-100,1),IF(ROUND(100/B29*C29-100,1)&gt;999,999,-999)))</f>
        <v>-6.5</v>
      </c>
      <c r="E29" s="147">
        <f>SUM(E27+E28)</f>
        <v>4518.9442803900001</v>
      </c>
      <c r="F29" s="360">
        <f>SUM(F27+F28)</f>
        <v>4200.5312678200007</v>
      </c>
      <c r="G29" s="360">
        <f>IF(E29=0, "    ---- ", IF(ABS(ROUND(100/E29*F29-100,1))&lt;999,ROUND(100/E29*F29-100,1),IF(ROUND(100/E29*F29-100,1)&gt;999,999,-999)))</f>
        <v>-7</v>
      </c>
      <c r="H29" s="147">
        <f>SUM(H27+H28)</f>
        <v>649.99399999999991</v>
      </c>
      <c r="I29" s="360">
        <f>SUM(I27+I28)</f>
        <v>720.56400000000008</v>
      </c>
      <c r="J29" s="360">
        <f>IF(H29=0, "    ---- ", IF(ABS(ROUND(100/H29*I29-100,1))&lt;999,ROUND(100/H29*I29-100,1),IF(ROUND(100/H29*I29-100,1)&gt;999,999,-999)))</f>
        <v>10.9</v>
      </c>
      <c r="K29" s="147">
        <f>SUM(K27+K28)</f>
        <v>1702</v>
      </c>
      <c r="L29" s="360">
        <f>SUM(L27+L28)</f>
        <v>2174</v>
      </c>
      <c r="M29" s="360">
        <f>IF(K29=0, "    ---- ", IF(ABS(ROUND(100/K29*L29-100,1))&lt;999,ROUND(100/K29*L29-100,1),IF(ROUND(100/K29*L29-100,1)&gt;999,999,-999)))</f>
        <v>27.7</v>
      </c>
      <c r="N29" s="147">
        <v>57370.291001579993</v>
      </c>
      <c r="O29" s="360">
        <v>52552.767729319996</v>
      </c>
      <c r="P29" s="360">
        <f>IF(N29=0, "    ---- ", IF(ABS(ROUND(100/N29*O29-100,1))&lt;999,ROUND(100/N29*O29-100,1),IF(ROUND(100/N29*O29-100,1)&gt;999,999,-999)))</f>
        <v>-8.4</v>
      </c>
      <c r="Q29" s="147">
        <f>SUM(Q27+Q28)</f>
        <v>12251.750000000002</v>
      </c>
      <c r="R29" s="360">
        <f>SUM(R27+R28)</f>
        <v>11538.939999999999</v>
      </c>
      <c r="S29" s="360">
        <f>IF(Q29=0, "    ---- ", IF(ABS(ROUND(100/Q29*R29-100,1))&lt;999,ROUND(100/Q29*R29-100,1),IF(ROUND(100/Q29*R29-100,1)&gt;999,999,-999)))</f>
        <v>-5.8</v>
      </c>
      <c r="T29" s="147">
        <f>SUM(T27+T28)</f>
        <v>12037</v>
      </c>
      <c r="U29" s="360">
        <f>SUM(U27+U28)</f>
        <v>12789</v>
      </c>
      <c r="V29" s="360">
        <f>IF(T29=0, "    ---- ", IF(ABS(ROUND(100/T29*U29-100,1))&lt;999,ROUND(100/T29*U29-100,1),IF(ROUND(100/T29*U29-100,1)&gt;999,999,-999)))</f>
        <v>6.2</v>
      </c>
      <c r="W29" s="147">
        <f>SUM(W27+W28)</f>
        <v>6724.799</v>
      </c>
      <c r="X29" s="360">
        <f>SUM(X27+X28)</f>
        <v>7086.5643217699981</v>
      </c>
      <c r="Y29" s="360">
        <f>IF(W29=0, "    ---- ", IF(ABS(ROUND(100/W29*X29-100,1))&lt;999,ROUND(100/W29*X29-100,1),IF(ROUND(100/W29*X29-100,1)&gt;999,999,-999)))</f>
        <v>5.4</v>
      </c>
      <c r="Z29" s="147">
        <f>SUM(Z27+Z28)</f>
        <v>44861.295380169999</v>
      </c>
      <c r="AA29" s="360">
        <f>SUM(AA27+AA28)</f>
        <v>42476.023958120015</v>
      </c>
      <c r="AB29" s="360">
        <f>IF(Z29=0, "    ---- ", IF(ABS(ROUND(100/Z29*AA29-100,1))&lt;999,ROUND(100/Z29*AA29-100,1),IF(ROUND(100/Z29*AA29-100,1)&gt;999,999,-999)))</f>
        <v>-5.3</v>
      </c>
      <c r="AC29" s="147">
        <f>SUM(AC27+AC28)</f>
        <v>127</v>
      </c>
      <c r="AD29" s="360">
        <f>SUM(AD27+AD28)</f>
        <v>232</v>
      </c>
      <c r="AE29" s="360">
        <f>IF(AC29=0, "    ---- ", IF(ABS(ROUND(100/AC29*AD29-100,1))&lt;999,ROUND(100/AC29*AD29-100,1),IF(ROUND(100/AC29*AD29-100,1)&gt;999,999,-999)))</f>
        <v>82.7</v>
      </c>
      <c r="AF29" s="400">
        <f t="shared" si="16"/>
        <v>172035.31500631</v>
      </c>
      <c r="AG29" s="400">
        <f t="shared" si="16"/>
        <v>163390.66255703001</v>
      </c>
      <c r="AH29" s="360">
        <f>IF(AF29=0, "    ---- ", IF(ABS(ROUND(100/AF29*AG29-100,1))&lt;999,ROUND(100/AF29*AG29-100,1),IF(ROUND(100/AF29*AG29-100,1)&gt;999,999,-999)))</f>
        <v>-5</v>
      </c>
      <c r="AI29" s="400">
        <f t="shared" si="17"/>
        <v>172162.31500631</v>
      </c>
      <c r="AJ29" s="400">
        <f t="shared" si="17"/>
        <v>163622.66255703001</v>
      </c>
      <c r="AK29" s="494">
        <f t="shared" si="5"/>
        <v>-5</v>
      </c>
    </row>
    <row r="30" spans="1:37" s="372" customFormat="1" ht="20.100000000000001" customHeight="1" x14ac:dyDescent="0.35">
      <c r="A30" s="460"/>
      <c r="B30" s="694"/>
      <c r="C30" s="357"/>
      <c r="D30" s="360"/>
      <c r="E30" s="467"/>
      <c r="F30" s="357"/>
      <c r="G30" s="360"/>
      <c r="H30" s="467"/>
      <c r="I30" s="357"/>
      <c r="J30" s="360"/>
      <c r="K30" s="147"/>
      <c r="L30" s="360"/>
      <c r="M30" s="357"/>
      <c r="N30" s="467"/>
      <c r="O30" s="357"/>
      <c r="P30" s="280"/>
      <c r="Q30" s="467"/>
      <c r="R30" s="357"/>
      <c r="S30" s="280"/>
      <c r="T30" s="467"/>
      <c r="U30" s="357"/>
      <c r="V30" s="280"/>
      <c r="W30" s="467"/>
      <c r="X30" s="357"/>
      <c r="Y30" s="280"/>
      <c r="Z30" s="467"/>
      <c r="AA30" s="357"/>
      <c r="AB30" s="280"/>
      <c r="AC30" s="467"/>
      <c r="AD30" s="357"/>
      <c r="AE30" s="280"/>
      <c r="AF30" s="357"/>
      <c r="AG30" s="357"/>
      <c r="AH30" s="280"/>
      <c r="AI30" s="357"/>
      <c r="AJ30" s="357"/>
      <c r="AK30" s="361"/>
    </row>
    <row r="31" spans="1:37" s="372" customFormat="1" ht="20.100000000000001" customHeight="1" x14ac:dyDescent="0.35">
      <c r="A31" s="472" t="s">
        <v>364</v>
      </c>
      <c r="B31" s="709"/>
      <c r="C31" s="360"/>
      <c r="D31" s="360"/>
      <c r="E31" s="147"/>
      <c r="F31" s="360"/>
      <c r="G31" s="360"/>
      <c r="H31" s="147"/>
      <c r="I31" s="360"/>
      <c r="J31" s="360"/>
      <c r="K31" s="147"/>
      <c r="L31" s="360"/>
      <c r="M31" s="357"/>
      <c r="N31" s="147"/>
      <c r="O31" s="360"/>
      <c r="P31" s="280"/>
      <c r="Q31" s="147"/>
      <c r="R31" s="360"/>
      <c r="S31" s="280"/>
      <c r="T31" s="147"/>
      <c r="U31" s="360"/>
      <c r="V31" s="280"/>
      <c r="W31" s="147"/>
      <c r="X31" s="360"/>
      <c r="Y31" s="280"/>
      <c r="Z31" s="147"/>
      <c r="AA31" s="360"/>
      <c r="AB31" s="280"/>
      <c r="AC31" s="147"/>
      <c r="AD31" s="360"/>
      <c r="AE31" s="280"/>
      <c r="AF31" s="357"/>
      <c r="AG31" s="357"/>
      <c r="AH31" s="280"/>
      <c r="AI31" s="357"/>
      <c r="AJ31" s="357"/>
      <c r="AK31" s="361"/>
    </row>
    <row r="32" spans="1:37" s="372" customFormat="1" ht="20.100000000000001" customHeight="1" x14ac:dyDescent="0.35">
      <c r="A32" s="472" t="s">
        <v>365</v>
      </c>
      <c r="B32" s="709"/>
      <c r="C32" s="360"/>
      <c r="D32" s="280"/>
      <c r="E32" s="147"/>
      <c r="F32" s="360"/>
      <c r="G32" s="280"/>
      <c r="H32" s="147"/>
      <c r="I32" s="360"/>
      <c r="J32" s="280"/>
      <c r="K32" s="147"/>
      <c r="L32" s="360"/>
      <c r="M32" s="357"/>
      <c r="N32" s="147"/>
      <c r="O32" s="360"/>
      <c r="P32" s="280"/>
      <c r="Q32" s="147"/>
      <c r="R32" s="360"/>
      <c r="S32" s="280"/>
      <c r="T32" s="147"/>
      <c r="U32" s="360"/>
      <c r="V32" s="280"/>
      <c r="W32" s="147"/>
      <c r="X32" s="360"/>
      <c r="Y32" s="280"/>
      <c r="Z32" s="147"/>
      <c r="AA32" s="360"/>
      <c r="AB32" s="280"/>
      <c r="AC32" s="147"/>
      <c r="AD32" s="360"/>
      <c r="AE32" s="280"/>
      <c r="AF32" s="357"/>
      <c r="AG32" s="357"/>
      <c r="AH32" s="280"/>
      <c r="AI32" s="357"/>
      <c r="AJ32" s="357"/>
      <c r="AK32" s="361"/>
    </row>
    <row r="33" spans="1:37" s="372" customFormat="1" ht="20.100000000000001" customHeight="1" x14ac:dyDescent="0.35">
      <c r="A33" s="460" t="s">
        <v>366</v>
      </c>
      <c r="B33" s="709">
        <v>14.226000000000001</v>
      </c>
      <c r="C33" s="360">
        <v>14.22555</v>
      </c>
      <c r="D33" s="360">
        <f t="shared" ref="D33:D93" si="18">IF(B33=0, "    ---- ", IF(ABS(ROUND(100/B33*C33-100,1))&lt;999,ROUND(100/B33*C33-100,1),IF(ROUND(100/B33*C33-100,1)&gt;999,999,-999)))</f>
        <v>0</v>
      </c>
      <c r="E33" s="147"/>
      <c r="F33" s="360"/>
      <c r="G33" s="360"/>
      <c r="H33" s="147"/>
      <c r="I33" s="360"/>
      <c r="J33" s="360"/>
      <c r="K33" s="147"/>
      <c r="L33" s="360"/>
      <c r="M33" s="357"/>
      <c r="N33" s="147"/>
      <c r="O33" s="360"/>
      <c r="P33" s="280"/>
      <c r="Q33" s="147"/>
      <c r="R33" s="360"/>
      <c r="S33" s="280"/>
      <c r="T33" s="147"/>
      <c r="U33" s="360"/>
      <c r="V33" s="280"/>
      <c r="W33" s="147"/>
      <c r="X33" s="360"/>
      <c r="Y33" s="280"/>
      <c r="Z33" s="147"/>
      <c r="AA33" s="360"/>
      <c r="AB33" s="280"/>
      <c r="AC33" s="147"/>
      <c r="AD33" s="360"/>
      <c r="AE33" s="280"/>
      <c r="AF33" s="400">
        <f t="shared" ref="AF33:AG46" si="19">B33+E33+H33+K33+N33+Q33+T33+W33+Z33</f>
        <v>14.226000000000001</v>
      </c>
      <c r="AG33" s="400">
        <f t="shared" si="19"/>
        <v>14.22555</v>
      </c>
      <c r="AH33" s="280">
        <f t="shared" ref="AH33:AH93" si="20">IF(AF33=0, "    ---- ", IF(ABS(ROUND(100/AF33*AG33-100,1))&lt;999,ROUND(100/AF33*AG33-100,1),IF(ROUND(100/AF33*AG33-100,1)&gt;999,999,-999)))</f>
        <v>0</v>
      </c>
      <c r="AI33" s="400">
        <f t="shared" ref="AI33:AJ46" si="21">B33+E33+H33+K33+N33+Q33+T33+W33+Z33+AC33</f>
        <v>14.226000000000001</v>
      </c>
      <c r="AJ33" s="400">
        <f t="shared" si="21"/>
        <v>14.22555</v>
      </c>
      <c r="AK33" s="361">
        <f t="shared" ref="AK33:AK93" si="22">IF(AI33=0, "    ---- ", IF(ABS(ROUND(100/AI33*AJ33-100,1))&lt;999,ROUND(100/AI33*AJ33-100,1),IF(ROUND(100/AI33*AJ33-100,1)&gt;999,999,-999)))</f>
        <v>0</v>
      </c>
    </row>
    <row r="34" spans="1:37" s="372" customFormat="1" ht="20.100000000000001" customHeight="1" x14ac:dyDescent="0.35">
      <c r="A34" s="460" t="s">
        <v>367</v>
      </c>
      <c r="B34" s="709">
        <v>17547.187000000002</v>
      </c>
      <c r="C34" s="360">
        <v>15485.075860000001</v>
      </c>
      <c r="D34" s="360">
        <f t="shared" si="18"/>
        <v>-11.8</v>
      </c>
      <c r="E34" s="147">
        <v>450.51099035999994</v>
      </c>
      <c r="F34" s="360">
        <v>488.30771215999982</v>
      </c>
      <c r="G34" s="360">
        <f t="shared" ref="G34:G36" si="23">IF(E34=0, "    ---- ", IF(ABS(ROUND(100/E34*F34-100,1))&lt;999,ROUND(100/E34*F34-100,1),IF(ROUND(100/E34*F34-100,1)&gt;999,999,-999)))</f>
        <v>8.4</v>
      </c>
      <c r="H34" s="147"/>
      <c r="I34" s="360"/>
      <c r="J34" s="360"/>
      <c r="K34" s="147">
        <v>308</v>
      </c>
      <c r="L34" s="360">
        <v>329</v>
      </c>
      <c r="M34" s="357">
        <f>IF(K34=0, "    ---- ", IF(ABS(ROUND(100/K34*L34-100,1))&lt;999,ROUND(100/K34*L34-100,1),IF(ROUND(100/K34*L34-100,1)&gt;999,999,-999)))</f>
        <v>6.8</v>
      </c>
      <c r="N34" s="147">
        <v>98560.376092940001</v>
      </c>
      <c r="O34" s="360">
        <v>110076.38017477001</v>
      </c>
      <c r="P34" s="280">
        <f>IF(N34=0, "    ---- ", IF(ABS(ROUND(100/N34*O34-100,1))&lt;999,ROUND(100/N34*O34-100,1),IF(ROUND(100/N34*O34-100,1)&gt;999,999,-999)))</f>
        <v>11.7</v>
      </c>
      <c r="Q34" s="147">
        <v>6181.6548137099999</v>
      </c>
      <c r="R34" s="360">
        <v>6868.0773654700006</v>
      </c>
      <c r="S34" s="280">
        <f t="shared" ref="S34:S93" si="24">IF(Q34=0, "    ---- ", IF(ABS(ROUND(100/Q34*R34-100,1))&lt;999,ROUND(100/Q34*R34-100,1),IF(ROUND(100/Q34*R34-100,1)&gt;999,999,-999)))</f>
        <v>11.1</v>
      </c>
      <c r="T34" s="147">
        <v>20404</v>
      </c>
      <c r="U34" s="360">
        <v>21723</v>
      </c>
      <c r="V34" s="280">
        <f t="shared" ref="V34:V42" si="25">IF(T34=0, "    ---- ", IF(ABS(ROUND(100/T34*U34-100,1))&lt;999,ROUND(100/T34*U34-100,1),IF(ROUND(100/T34*U34-100,1)&gt;999,999,-999)))</f>
        <v>6.5</v>
      </c>
      <c r="W34" s="147">
        <v>4169.7629999999999</v>
      </c>
      <c r="X34" s="360">
        <v>4074.5509524100016</v>
      </c>
      <c r="Y34" s="280">
        <f t="shared" ref="Y34:Y93" si="26">IF(W34=0, "    ---- ", IF(ABS(ROUND(100/W34*X34-100,1))&lt;999,ROUND(100/W34*X34-100,1),IF(ROUND(100/W34*X34-100,1)&gt;999,999,-999)))</f>
        <v>-2.2999999999999998</v>
      </c>
      <c r="Z34" s="147">
        <v>21297.332005640001</v>
      </c>
      <c r="AA34" s="360">
        <v>22667.527990139995</v>
      </c>
      <c r="AB34" s="280">
        <f t="shared" ref="AB34:AB93" si="27">IF(Z34=0, "    ---- ", IF(ABS(ROUND(100/Z34*AA34-100,1))&lt;999,ROUND(100/Z34*AA34-100,1),IF(ROUND(100/Z34*AA34-100,1)&gt;999,999,-999)))</f>
        <v>6.4</v>
      </c>
      <c r="AC34" s="147"/>
      <c r="AD34" s="360"/>
      <c r="AE34" s="280"/>
      <c r="AF34" s="400">
        <f t="shared" si="19"/>
        <v>168918.82390265001</v>
      </c>
      <c r="AG34" s="400">
        <f t="shared" si="19"/>
        <v>181711.92005494999</v>
      </c>
      <c r="AH34" s="280">
        <f t="shared" si="20"/>
        <v>7.6</v>
      </c>
      <c r="AI34" s="400">
        <f t="shared" si="21"/>
        <v>168918.82390265001</v>
      </c>
      <c r="AJ34" s="400">
        <f t="shared" si="21"/>
        <v>181711.92005494999</v>
      </c>
      <c r="AK34" s="361">
        <f t="shared" si="22"/>
        <v>7.6</v>
      </c>
    </row>
    <row r="35" spans="1:37" s="372" customFormat="1" ht="20.100000000000001" customHeight="1" x14ac:dyDescent="0.35">
      <c r="A35" s="460" t="s">
        <v>368</v>
      </c>
      <c r="B35" s="709">
        <f>SUM(B36+B38)</f>
        <v>134131.81299999999</v>
      </c>
      <c r="C35" s="360">
        <f>SUM(C36+C38)</f>
        <v>133729.25149999998</v>
      </c>
      <c r="D35" s="360">
        <f t="shared" si="18"/>
        <v>-0.3</v>
      </c>
      <c r="E35" s="147">
        <f>SUM(E36+E38)</f>
        <v>5630.4682022700008</v>
      </c>
      <c r="F35" s="360">
        <f>SUM(F36+F38)</f>
        <v>5946.3022618500017</v>
      </c>
      <c r="G35" s="360">
        <f t="shared" si="23"/>
        <v>5.6</v>
      </c>
      <c r="H35" s="147">
        <f>SUM(H36+H38)</f>
        <v>754.17700000000002</v>
      </c>
      <c r="I35" s="360">
        <f>SUM(I36+I38)</f>
        <v>867.08</v>
      </c>
      <c r="J35" s="360">
        <f t="shared" ref="J35:J37" si="28">IF(H35=0, "    ---- ", IF(ABS(ROUND(100/H35*I35-100,1))&lt;999,ROUND(100/H35*I35-100,1),IF(ROUND(100/H35*I35-100,1)&gt;999,999,-999)))</f>
        <v>15</v>
      </c>
      <c r="K35" s="147">
        <f>SUM(K36+K38)</f>
        <v>9031</v>
      </c>
      <c r="L35" s="360">
        <f>SUM(L36+L38)</f>
        <v>10201</v>
      </c>
      <c r="M35" s="357">
        <f>IF(K35=0, "    ---- ", IF(ABS(ROUND(100/K35*L35-100,1))&lt;999,ROUND(100/K35*L35-100,1),IF(ROUND(100/K35*L35-100,1)&gt;999,999,-999)))</f>
        <v>13</v>
      </c>
      <c r="N35" s="147">
        <v>297388.45949067001</v>
      </c>
      <c r="O35" s="360">
        <v>300008.44695128006</v>
      </c>
      <c r="P35" s="280">
        <f>IF(N35=0, "    ---- ", IF(ABS(ROUND(100/N35*O35-100,1))&lt;999,ROUND(100/N35*O35-100,1),IF(ROUND(100/N35*O35-100,1)&gt;999,999,-999)))</f>
        <v>0.9</v>
      </c>
      <c r="Q35" s="147">
        <f>SUM(Q36+Q38)</f>
        <v>39740.423966029899</v>
      </c>
      <c r="R35" s="360">
        <f>SUM(R36+R38)</f>
        <v>36565.409244750001</v>
      </c>
      <c r="S35" s="280">
        <f t="shared" si="24"/>
        <v>-8</v>
      </c>
      <c r="T35" s="147">
        <f>SUM(T36+T38)</f>
        <v>30677</v>
      </c>
      <c r="U35" s="360">
        <f>SUM(U36+U38)</f>
        <v>32056</v>
      </c>
      <c r="V35" s="280">
        <f t="shared" si="25"/>
        <v>4.5</v>
      </c>
      <c r="W35" s="147">
        <f>SUM(W36+W38)</f>
        <v>11532.14</v>
      </c>
      <c r="X35" s="360">
        <f>SUM(X36+X38)</f>
        <v>12656.120476759968</v>
      </c>
      <c r="Y35" s="280">
        <f t="shared" si="26"/>
        <v>9.6999999999999993</v>
      </c>
      <c r="Z35" s="147">
        <f>SUM(Z36+Z38)</f>
        <v>163828.76795975</v>
      </c>
      <c r="AA35" s="360">
        <f>SUM(AA36+AA38)</f>
        <v>167926.76612558003</v>
      </c>
      <c r="AB35" s="280">
        <f t="shared" si="27"/>
        <v>2.5</v>
      </c>
      <c r="AC35" s="147"/>
      <c r="AD35" s="360"/>
      <c r="AE35" s="280"/>
      <c r="AF35" s="400">
        <f t="shared" si="19"/>
        <v>692714.24961871991</v>
      </c>
      <c r="AG35" s="400">
        <f t="shared" si="19"/>
        <v>699956.37656022003</v>
      </c>
      <c r="AH35" s="280">
        <f t="shared" si="20"/>
        <v>1</v>
      </c>
      <c r="AI35" s="400">
        <f t="shared" si="21"/>
        <v>692714.24961871991</v>
      </c>
      <c r="AJ35" s="400">
        <f t="shared" si="21"/>
        <v>699956.37656022003</v>
      </c>
      <c r="AK35" s="361">
        <f t="shared" si="22"/>
        <v>1</v>
      </c>
    </row>
    <row r="36" spans="1:37" s="372" customFormat="1" ht="20.100000000000001" customHeight="1" x14ac:dyDescent="0.35">
      <c r="A36" s="460" t="s">
        <v>369</v>
      </c>
      <c r="B36" s="709">
        <v>128814.38</v>
      </c>
      <c r="C36" s="360">
        <v>130031.49956</v>
      </c>
      <c r="D36" s="280">
        <f t="shared" si="18"/>
        <v>0.9</v>
      </c>
      <c r="E36" s="147">
        <v>5630.4682022700008</v>
      </c>
      <c r="F36" s="360">
        <v>5946.3022618500017</v>
      </c>
      <c r="G36" s="360">
        <f t="shared" si="23"/>
        <v>5.6</v>
      </c>
      <c r="H36" s="147">
        <v>754.17700000000002</v>
      </c>
      <c r="I36" s="360">
        <v>867.08</v>
      </c>
      <c r="J36" s="360">
        <f t="shared" si="28"/>
        <v>15</v>
      </c>
      <c r="K36" s="147"/>
      <c r="L36" s="360"/>
      <c r="M36" s="357"/>
      <c r="N36" s="147"/>
      <c r="O36" s="360"/>
      <c r="P36" s="280"/>
      <c r="Q36" s="147">
        <v>39740.423966029899</v>
      </c>
      <c r="R36" s="360">
        <v>36565.409244750001</v>
      </c>
      <c r="S36" s="280">
        <f t="shared" si="24"/>
        <v>-8</v>
      </c>
      <c r="T36" s="147">
        <v>25905</v>
      </c>
      <c r="U36" s="360">
        <v>25824</v>
      </c>
      <c r="V36" s="280">
        <f t="shared" si="25"/>
        <v>-0.3</v>
      </c>
      <c r="W36" s="147">
        <v>11532.14</v>
      </c>
      <c r="X36" s="360">
        <v>12656.120476759968</v>
      </c>
      <c r="Y36" s="280">
        <f t="shared" si="26"/>
        <v>9.6999999999999993</v>
      </c>
      <c r="Z36" s="147"/>
      <c r="AA36" s="360"/>
      <c r="AB36" s="280"/>
      <c r="AC36" s="147"/>
      <c r="AD36" s="360"/>
      <c r="AE36" s="280"/>
      <c r="AF36" s="400">
        <f t="shared" si="19"/>
        <v>212376.58916829992</v>
      </c>
      <c r="AG36" s="400">
        <f t="shared" si="19"/>
        <v>211890.41154335998</v>
      </c>
      <c r="AH36" s="280">
        <f t="shared" si="20"/>
        <v>-0.2</v>
      </c>
      <c r="AI36" s="400">
        <f t="shared" si="21"/>
        <v>212376.58916829992</v>
      </c>
      <c r="AJ36" s="400">
        <f t="shared" si="21"/>
        <v>211890.41154335998</v>
      </c>
      <c r="AK36" s="361">
        <f t="shared" si="22"/>
        <v>-0.2</v>
      </c>
    </row>
    <row r="37" spans="1:37" s="372" customFormat="1" ht="20.100000000000001" customHeight="1" x14ac:dyDescent="0.35">
      <c r="A37" s="460" t="s">
        <v>352</v>
      </c>
      <c r="B37" s="709">
        <v>128814.38</v>
      </c>
      <c r="C37" s="360">
        <v>130031.49956</v>
      </c>
      <c r="D37" s="360">
        <f t="shared" si="18"/>
        <v>0.9</v>
      </c>
      <c r="E37" s="147">
        <v>5630.4682022700008</v>
      </c>
      <c r="F37" s="360"/>
      <c r="G37" s="360"/>
      <c r="H37" s="147">
        <v>754.17700000000002</v>
      </c>
      <c r="I37" s="360">
        <v>867.08</v>
      </c>
      <c r="J37" s="360">
        <f t="shared" si="28"/>
        <v>15</v>
      </c>
      <c r="K37" s="147"/>
      <c r="L37" s="360"/>
      <c r="M37" s="357"/>
      <c r="N37" s="147"/>
      <c r="O37" s="360"/>
      <c r="P37" s="280"/>
      <c r="Q37" s="147">
        <v>39740.423966029899</v>
      </c>
      <c r="R37" s="360">
        <v>36565.409244750001</v>
      </c>
      <c r="S37" s="280">
        <f t="shared" si="24"/>
        <v>-8</v>
      </c>
      <c r="T37" s="147"/>
      <c r="U37" s="360"/>
      <c r="V37" s="280"/>
      <c r="W37" s="147">
        <v>33.752145900000102</v>
      </c>
      <c r="X37" s="360">
        <v>12656.120476759968</v>
      </c>
      <c r="Y37" s="280">
        <f t="shared" si="26"/>
        <v>999</v>
      </c>
      <c r="Z37" s="147"/>
      <c r="AA37" s="360"/>
      <c r="AB37" s="280"/>
      <c r="AC37" s="147"/>
      <c r="AD37" s="360"/>
      <c r="AE37" s="280"/>
      <c r="AF37" s="400">
        <f t="shared" si="19"/>
        <v>174973.20131419992</v>
      </c>
      <c r="AG37" s="400">
        <f t="shared" si="19"/>
        <v>180120.10928150997</v>
      </c>
      <c r="AH37" s="280">
        <f t="shared" si="20"/>
        <v>2.9</v>
      </c>
      <c r="AI37" s="400">
        <f t="shared" si="21"/>
        <v>174973.20131419992</v>
      </c>
      <c r="AJ37" s="400">
        <f t="shared" si="21"/>
        <v>180120.10928150997</v>
      </c>
      <c r="AK37" s="361">
        <f t="shared" si="22"/>
        <v>2.9</v>
      </c>
    </row>
    <row r="38" spans="1:37" s="372" customFormat="1" ht="20.100000000000001" customHeight="1" x14ac:dyDescent="0.35">
      <c r="A38" s="460" t="s">
        <v>370</v>
      </c>
      <c r="B38" s="709">
        <v>5317.433</v>
      </c>
      <c r="C38" s="360">
        <v>3697.7519400000001</v>
      </c>
      <c r="D38" s="360">
        <f t="shared" si="18"/>
        <v>-30.5</v>
      </c>
      <c r="E38" s="147"/>
      <c r="F38" s="360"/>
      <c r="G38" s="360"/>
      <c r="H38" s="147"/>
      <c r="I38" s="360"/>
      <c r="J38" s="360"/>
      <c r="K38" s="147">
        <v>9031</v>
      </c>
      <c r="L38" s="360">
        <v>10201</v>
      </c>
      <c r="M38" s="357">
        <f>IF(K38=0, "    ---- ", IF(ABS(ROUND(100/K38*L38-100,1))&lt;999,ROUND(100/K38*L38-100,1),IF(ROUND(100/K38*L38-100,1)&gt;999,999,-999)))</f>
        <v>13</v>
      </c>
      <c r="N38" s="147">
        <v>297388.45949067001</v>
      </c>
      <c r="O38" s="360">
        <v>300008.44695128006</v>
      </c>
      <c r="P38" s="280">
        <f t="shared" ref="P38:P45" si="29">IF(N38=0, "    ---- ", IF(ABS(ROUND(100/N38*O38-100,1))&lt;999,ROUND(100/N38*O38-100,1),IF(ROUND(100/N38*O38-100,1)&gt;999,999,-999)))</f>
        <v>0.9</v>
      </c>
      <c r="Q38" s="147"/>
      <c r="R38" s="360"/>
      <c r="S38" s="280"/>
      <c r="T38" s="147">
        <v>4772</v>
      </c>
      <c r="U38" s="360">
        <v>6232</v>
      </c>
      <c r="V38" s="280">
        <f t="shared" si="25"/>
        <v>30.6</v>
      </c>
      <c r="W38" s="147"/>
      <c r="X38" s="360"/>
      <c r="Y38" s="280"/>
      <c r="Z38" s="147">
        <v>163828.76795975</v>
      </c>
      <c r="AA38" s="360">
        <v>167926.76612558003</v>
      </c>
      <c r="AB38" s="280">
        <f t="shared" si="27"/>
        <v>2.5</v>
      </c>
      <c r="AC38" s="147"/>
      <c r="AD38" s="360"/>
      <c r="AE38" s="280"/>
      <c r="AF38" s="400">
        <f t="shared" si="19"/>
        <v>480337.66045041999</v>
      </c>
      <c r="AG38" s="400">
        <f t="shared" si="19"/>
        <v>488065.96501686005</v>
      </c>
      <c r="AH38" s="280">
        <f t="shared" si="20"/>
        <v>1.6</v>
      </c>
      <c r="AI38" s="400">
        <f t="shared" si="21"/>
        <v>480337.66045041999</v>
      </c>
      <c r="AJ38" s="400">
        <f t="shared" si="21"/>
        <v>488065.96501686005</v>
      </c>
      <c r="AK38" s="361">
        <f t="shared" si="22"/>
        <v>1.6</v>
      </c>
    </row>
    <row r="39" spans="1:37" s="372" customFormat="1" ht="20.100000000000001" customHeight="1" x14ac:dyDescent="0.35">
      <c r="A39" s="460" t="s">
        <v>371</v>
      </c>
      <c r="B39" s="709">
        <f>SUM(B40+B41+B42+B43+B44)</f>
        <v>35704.721000000005</v>
      </c>
      <c r="C39" s="360">
        <f>SUM(C40+C41+C42+C43+C44)</f>
        <v>36652.856120000004</v>
      </c>
      <c r="D39" s="360">
        <f t="shared" si="18"/>
        <v>2.7</v>
      </c>
      <c r="E39" s="147">
        <f>SUM(E40+E41+E42+E43+E44)</f>
        <v>3509.8232536600003</v>
      </c>
      <c r="F39" s="360">
        <f>SUM(F40+F41+F42+F43+F44)</f>
        <v>3983.0480425400015</v>
      </c>
      <c r="G39" s="360">
        <f>IF(E39=0, "    ---- ", IF(ABS(ROUND(100/E39*F39-100,1))&lt;999,ROUND(100/E39*F39-100,1),IF(ROUND(100/E39*F39-100,1)&gt;999,999,-999)))</f>
        <v>13.5</v>
      </c>
      <c r="H39" s="147">
        <f>SUM(H40+H41+H42+H43+H44)</f>
        <v>1305.6390000000001</v>
      </c>
      <c r="I39" s="360">
        <f>SUM(I40+I41+I42+I43+I44)</f>
        <v>1547.2940000000001</v>
      </c>
      <c r="J39" s="360">
        <f t="shared" ref="J39:J46" si="30">IF(H39=0, "    ---- ", IF(ABS(ROUND(100/H39*I39-100,1))&lt;999,ROUND(100/H39*I39-100,1),IF(ROUND(100/H39*I39-100,1)&gt;999,999,-999)))</f>
        <v>18.5</v>
      </c>
      <c r="K39" s="147">
        <f>SUM(K40+K41+K42+K43+K44)</f>
        <v>534</v>
      </c>
      <c r="L39" s="360">
        <f>SUM(L40+L41+L42+L43+L44)</f>
        <v>1352</v>
      </c>
      <c r="M39" s="400">
        <f>IF(K39=0, "    ---- ", IF(ABS(ROUND(100/K39*L39-100,1))&lt;999,ROUND(100/K39*L39-100,1),IF(ROUND(100/K39*L39-100,1)&gt;999,999,-999)))</f>
        <v>153.19999999999999</v>
      </c>
      <c r="N39" s="147">
        <v>407492.26373478002</v>
      </c>
      <c r="O39" s="360">
        <v>469864.88590053003</v>
      </c>
      <c r="P39" s="360">
        <f t="shared" si="29"/>
        <v>15.3</v>
      </c>
      <c r="Q39" s="147">
        <f>SUM(Q40+Q41+Q42+Q43+Q44)</f>
        <v>9428.2311305099993</v>
      </c>
      <c r="R39" s="360">
        <f>SUM(R40+R41+R42+R43+R44)</f>
        <v>13308.512261349999</v>
      </c>
      <c r="S39" s="360">
        <f t="shared" si="24"/>
        <v>41.2</v>
      </c>
      <c r="T39" s="147">
        <f>SUM(T40+T41+T42+T43+T44)</f>
        <v>83517</v>
      </c>
      <c r="U39" s="360">
        <f>SUM(U40+U41+U42+U43+U44)</f>
        <v>89912</v>
      </c>
      <c r="V39" s="360">
        <f t="shared" si="25"/>
        <v>7.7</v>
      </c>
      <c r="W39" s="147">
        <f>SUM(W40+W41+W42+W43+W44)</f>
        <v>8896.9879999999976</v>
      </c>
      <c r="X39" s="360">
        <f>SUM(X40+X41+X42+X43+X44)</f>
        <v>10187.248217890008</v>
      </c>
      <c r="Y39" s="360">
        <f t="shared" si="26"/>
        <v>14.5</v>
      </c>
      <c r="Z39" s="147">
        <f>SUM(Z40+Z41+Z42+Z43+Z44)</f>
        <v>32736.778320699999</v>
      </c>
      <c r="AA39" s="360">
        <f>SUM(AA40+AA41+AA42+AA43+AA44)</f>
        <v>38641.463719050043</v>
      </c>
      <c r="AB39" s="360">
        <f t="shared" si="27"/>
        <v>18</v>
      </c>
      <c r="AC39" s="147">
        <f>SUM(AC40+AC41+AC42+AC43+AC44)</f>
        <v>20</v>
      </c>
      <c r="AD39" s="360">
        <f>SUM(AD40+AD41+AD42+AD43+AD44)</f>
        <v>26</v>
      </c>
      <c r="AE39" s="280">
        <f t="shared" ref="AE39:AE45" si="31">IF(AC39=0, "    ---- ", IF(ABS(ROUND(100/AC39*AD39-100,1))&lt;999,ROUND(100/AC39*AD39-100,1),IF(ROUND(100/AC39*AD39-100,1)&gt;999,999,-999)))</f>
        <v>30</v>
      </c>
      <c r="AF39" s="400">
        <f t="shared" si="19"/>
        <v>583125.44443965005</v>
      </c>
      <c r="AG39" s="400">
        <f t="shared" si="19"/>
        <v>665449.30826136016</v>
      </c>
      <c r="AH39" s="280">
        <f t="shared" si="20"/>
        <v>14.1</v>
      </c>
      <c r="AI39" s="400">
        <f t="shared" si="21"/>
        <v>583145.44443965005</v>
      </c>
      <c r="AJ39" s="400">
        <f t="shared" si="21"/>
        <v>665475.30826136016</v>
      </c>
      <c r="AK39" s="361">
        <f t="shared" si="22"/>
        <v>14.1</v>
      </c>
    </row>
    <row r="40" spans="1:37" s="372" customFormat="1" ht="20.100000000000001" customHeight="1" x14ac:dyDescent="0.35">
      <c r="A40" s="460" t="s">
        <v>372</v>
      </c>
      <c r="B40" s="709">
        <v>16808.606</v>
      </c>
      <c r="C40" s="360">
        <v>19610.681850000001</v>
      </c>
      <c r="D40" s="280">
        <f t="shared" si="18"/>
        <v>16.7</v>
      </c>
      <c r="E40" s="147">
        <v>927.48357097000007</v>
      </c>
      <c r="F40" s="360">
        <v>1193.1781229200003</v>
      </c>
      <c r="G40" s="280">
        <f>IF(E40=0, "    ---- ", IF(ABS(ROUND(100/E40*F40-100,1))&lt;999,ROUND(100/E40*F40-100,1),IF(ROUND(100/E40*F40-100,1)&gt;999,999,-999)))</f>
        <v>28.6</v>
      </c>
      <c r="H40" s="147">
        <v>197.792</v>
      </c>
      <c r="I40" s="360">
        <v>240.934</v>
      </c>
      <c r="J40" s="280">
        <f t="shared" si="30"/>
        <v>21.8</v>
      </c>
      <c r="K40" s="147">
        <v>27</v>
      </c>
      <c r="L40" s="360">
        <v>53</v>
      </c>
      <c r="M40" s="400">
        <f>IF(K40=0, "    ---- ", IF(ABS(ROUND(100/K40*L40-100,1))&lt;999,ROUND(100/K40*L40-100,1),IF(ROUND(100/K40*L40-100,1)&gt;999,999,-999)))</f>
        <v>96.3</v>
      </c>
      <c r="N40" s="147">
        <v>283542.90205715998</v>
      </c>
      <c r="O40" s="360">
        <v>314577.68170890998</v>
      </c>
      <c r="P40" s="280">
        <f t="shared" si="29"/>
        <v>10.9</v>
      </c>
      <c r="Q40" s="147">
        <v>6677.35526372</v>
      </c>
      <c r="R40" s="360">
        <v>10257.37735875</v>
      </c>
      <c r="S40" s="280">
        <f t="shared" si="24"/>
        <v>53.6</v>
      </c>
      <c r="T40" s="147">
        <v>48378</v>
      </c>
      <c r="U40" s="360">
        <v>49617</v>
      </c>
      <c r="V40" s="280">
        <f t="shared" si="25"/>
        <v>2.6</v>
      </c>
      <c r="W40" s="147">
        <v>3432.4459999999999</v>
      </c>
      <c r="X40" s="360">
        <v>3544.7313290900024</v>
      </c>
      <c r="Y40" s="280">
        <f t="shared" si="26"/>
        <v>3.3</v>
      </c>
      <c r="Z40" s="147">
        <v>22676.0345739</v>
      </c>
      <c r="AA40" s="360">
        <v>28109.456160100046</v>
      </c>
      <c r="AB40" s="280">
        <f t="shared" si="27"/>
        <v>24</v>
      </c>
      <c r="AC40" s="147"/>
      <c r="AD40" s="360"/>
      <c r="AE40" s="280"/>
      <c r="AF40" s="400">
        <f t="shared" si="19"/>
        <v>382667.61946574994</v>
      </c>
      <c r="AG40" s="400">
        <f t="shared" si="19"/>
        <v>427204.04052977002</v>
      </c>
      <c r="AH40" s="280">
        <f t="shared" si="20"/>
        <v>11.6</v>
      </c>
      <c r="AI40" s="400">
        <f t="shared" si="21"/>
        <v>382667.61946574994</v>
      </c>
      <c r="AJ40" s="400">
        <f t="shared" si="21"/>
        <v>427204.04052977002</v>
      </c>
      <c r="AK40" s="361">
        <f t="shared" si="22"/>
        <v>11.6</v>
      </c>
    </row>
    <row r="41" spans="1:37" s="372" customFormat="1" ht="20.100000000000001" customHeight="1" x14ac:dyDescent="0.35">
      <c r="A41" s="460" t="s">
        <v>373</v>
      </c>
      <c r="B41" s="709">
        <v>17743.072</v>
      </c>
      <c r="C41" s="360">
        <v>16367.47236</v>
      </c>
      <c r="D41" s="360">
        <f t="shared" si="18"/>
        <v>-7.8</v>
      </c>
      <c r="E41" s="147">
        <v>2696.5687849000001</v>
      </c>
      <c r="F41" s="360">
        <v>2653.6177139800011</v>
      </c>
      <c r="G41" s="360">
        <f>IF(E41=0, "    ---- ", IF(ABS(ROUND(100/E41*F41-100,1))&lt;999,ROUND(100/E41*F41-100,1),IF(ROUND(100/E41*F41-100,1)&gt;999,999,-999)))</f>
        <v>-1.6</v>
      </c>
      <c r="H41" s="147">
        <v>794.745</v>
      </c>
      <c r="I41" s="360">
        <v>950.36199999999997</v>
      </c>
      <c r="J41" s="360">
        <f>IF(H41=0, "    ---- ", IF(ABS(ROUND(100/H41*I41-100,1))&lt;999,ROUND(100/H41*I41-100,1),IF(ROUND(100/H41*I41-100,1)&gt;999,999,-999)))</f>
        <v>19.600000000000001</v>
      </c>
      <c r="K41" s="147">
        <v>484</v>
      </c>
      <c r="L41" s="360">
        <v>1295</v>
      </c>
      <c r="M41" s="357">
        <f>IF(K41=0, "    ---- ", IF(ABS(ROUND(100/K41*L41-100,1))&lt;999,ROUND(100/K41*L41-100,1),IF(ROUND(100/K41*L41-100,1)&gt;999,999,-999)))</f>
        <v>167.6</v>
      </c>
      <c r="N41" s="147">
        <v>106390.37395341</v>
      </c>
      <c r="O41" s="360">
        <v>128718.99480644001</v>
      </c>
      <c r="P41" s="280">
        <f t="shared" si="29"/>
        <v>21</v>
      </c>
      <c r="Q41" s="147">
        <v>2684.5664148000001</v>
      </c>
      <c r="R41" s="360">
        <v>3004.8229659699996</v>
      </c>
      <c r="S41" s="280">
        <f t="shared" si="24"/>
        <v>11.9</v>
      </c>
      <c r="T41" s="147">
        <v>29605</v>
      </c>
      <c r="U41" s="360">
        <v>32290</v>
      </c>
      <c r="V41" s="280">
        <f t="shared" si="25"/>
        <v>9.1</v>
      </c>
      <c r="W41" s="147">
        <v>5273.0659999999998</v>
      </c>
      <c r="X41" s="360">
        <v>6403.024542040017</v>
      </c>
      <c r="Y41" s="280">
        <f t="shared" si="26"/>
        <v>21.4</v>
      </c>
      <c r="Z41" s="147">
        <v>8989.2833830599993</v>
      </c>
      <c r="AA41" s="360">
        <v>9505.5400303200004</v>
      </c>
      <c r="AB41" s="280">
        <f t="shared" si="27"/>
        <v>5.7</v>
      </c>
      <c r="AC41" s="147">
        <v>20</v>
      </c>
      <c r="AD41" s="360">
        <v>22</v>
      </c>
      <c r="AE41" s="280">
        <f t="shared" si="31"/>
        <v>10</v>
      </c>
      <c r="AF41" s="400">
        <f t="shared" si="19"/>
        <v>174660.67553617002</v>
      </c>
      <c r="AG41" s="400">
        <f t="shared" si="19"/>
        <v>201188.83441875002</v>
      </c>
      <c r="AH41" s="280">
        <f t="shared" si="20"/>
        <v>15.2</v>
      </c>
      <c r="AI41" s="400">
        <f t="shared" si="21"/>
        <v>174680.67553617002</v>
      </c>
      <c r="AJ41" s="400">
        <f t="shared" si="21"/>
        <v>201210.83441875002</v>
      </c>
      <c r="AK41" s="361">
        <f t="shared" si="22"/>
        <v>15.2</v>
      </c>
    </row>
    <row r="42" spans="1:37" s="372" customFormat="1" ht="20.100000000000001" customHeight="1" x14ac:dyDescent="0.35">
      <c r="A42" s="460" t="s">
        <v>374</v>
      </c>
      <c r="B42" s="709">
        <v>636.79200000000003</v>
      </c>
      <c r="C42" s="360">
        <v>487.91663999999997</v>
      </c>
      <c r="D42" s="360">
        <f t="shared" si="18"/>
        <v>-23.4</v>
      </c>
      <c r="E42" s="147">
        <v>-119.33483901999996</v>
      </c>
      <c r="F42" s="360">
        <v>22.945697999999993</v>
      </c>
      <c r="G42" s="360"/>
      <c r="H42" s="147"/>
      <c r="I42" s="360"/>
      <c r="J42" s="360"/>
      <c r="K42" s="147"/>
      <c r="L42" s="360"/>
      <c r="M42" s="357"/>
      <c r="N42" s="147">
        <v>16424.036202299998</v>
      </c>
      <c r="O42" s="360">
        <v>18717.427645129999</v>
      </c>
      <c r="P42" s="280">
        <f t="shared" si="29"/>
        <v>14</v>
      </c>
      <c r="Q42" s="147"/>
      <c r="R42" s="360"/>
      <c r="S42" s="280"/>
      <c r="T42" s="147">
        <v>5179</v>
      </c>
      <c r="U42" s="360">
        <v>7107</v>
      </c>
      <c r="V42" s="280">
        <f t="shared" si="25"/>
        <v>37.200000000000003</v>
      </c>
      <c r="W42" s="147">
        <v>-9.7889999999999997</v>
      </c>
      <c r="X42" s="360">
        <v>-37.998206479999851</v>
      </c>
      <c r="Y42" s="280">
        <f t="shared" si="26"/>
        <v>288.2</v>
      </c>
      <c r="Z42" s="147"/>
      <c r="AA42" s="360"/>
      <c r="AB42" s="280"/>
      <c r="AC42" s="147"/>
      <c r="AD42" s="360">
        <v>4</v>
      </c>
      <c r="AE42" s="280" t="str">
        <f t="shared" si="31"/>
        <v xml:space="preserve">    ---- </v>
      </c>
      <c r="AF42" s="400">
        <f t="shared" si="19"/>
        <v>22110.704363279998</v>
      </c>
      <c r="AG42" s="400">
        <f t="shared" si="19"/>
        <v>26297.29177665</v>
      </c>
      <c r="AH42" s="280">
        <f t="shared" si="20"/>
        <v>18.899999999999999</v>
      </c>
      <c r="AI42" s="400">
        <f t="shared" si="21"/>
        <v>22110.704363279998</v>
      </c>
      <c r="AJ42" s="400">
        <f t="shared" si="21"/>
        <v>26301.29177665</v>
      </c>
      <c r="AK42" s="361">
        <f t="shared" si="22"/>
        <v>19</v>
      </c>
    </row>
    <row r="43" spans="1:37" s="372" customFormat="1" ht="20.100000000000001" customHeight="1" x14ac:dyDescent="0.35">
      <c r="A43" s="460" t="s">
        <v>375</v>
      </c>
      <c r="B43" s="709">
        <v>127.754</v>
      </c>
      <c r="C43" s="360">
        <v>125.04931000000001</v>
      </c>
      <c r="D43" s="360">
        <f t="shared" si="18"/>
        <v>-2.1</v>
      </c>
      <c r="E43" s="147"/>
      <c r="F43" s="360"/>
      <c r="G43" s="360"/>
      <c r="H43" s="147"/>
      <c r="I43" s="360"/>
      <c r="J43" s="360"/>
      <c r="K43" s="147"/>
      <c r="L43" s="360"/>
      <c r="M43" s="357"/>
      <c r="N43" s="147">
        <v>758.15093438999997</v>
      </c>
      <c r="O43" s="360">
        <v>1036.08470422</v>
      </c>
      <c r="P43" s="280">
        <f t="shared" si="29"/>
        <v>36.700000000000003</v>
      </c>
      <c r="Q43" s="147">
        <v>3.3864139399999997</v>
      </c>
      <c r="R43" s="360">
        <v>13.75731676</v>
      </c>
      <c r="S43" s="280">
        <f t="shared" si="24"/>
        <v>306.3</v>
      </c>
      <c r="T43" s="147">
        <v>355</v>
      </c>
      <c r="U43" s="360">
        <v>898</v>
      </c>
      <c r="V43" s="280">
        <f>IF(T43=0, "    ---- ", IF(ABS(ROUND(100/T43*U43-100,1))&lt;999,ROUND(100/T43*U43-100,1),IF(ROUND(100/T43*U43-100,1)&gt;999,999,-999)))</f>
        <v>153</v>
      </c>
      <c r="W43" s="147">
        <v>9.48</v>
      </c>
      <c r="X43" s="360">
        <v>13.258440970000013</v>
      </c>
      <c r="Y43" s="280">
        <f t="shared" si="26"/>
        <v>39.9</v>
      </c>
      <c r="Z43" s="147">
        <v>1071.46036374</v>
      </c>
      <c r="AA43" s="360">
        <v>1026.4675286300005</v>
      </c>
      <c r="AB43" s="280">
        <f t="shared" si="27"/>
        <v>-4.2</v>
      </c>
      <c r="AC43" s="147"/>
      <c r="AD43" s="360"/>
      <c r="AE43" s="280"/>
      <c r="AF43" s="400">
        <f t="shared" si="19"/>
        <v>2325.23171207</v>
      </c>
      <c r="AG43" s="400">
        <f t="shared" si="19"/>
        <v>3112.6173005800001</v>
      </c>
      <c r="AH43" s="280">
        <f t="shared" si="20"/>
        <v>33.9</v>
      </c>
      <c r="AI43" s="400">
        <f t="shared" si="21"/>
        <v>2325.23171207</v>
      </c>
      <c r="AJ43" s="400">
        <f t="shared" si="21"/>
        <v>3112.6173005800001</v>
      </c>
      <c r="AK43" s="361">
        <f t="shared" si="22"/>
        <v>33.9</v>
      </c>
    </row>
    <row r="44" spans="1:37" s="372" customFormat="1" ht="20.100000000000001" customHeight="1" x14ac:dyDescent="0.35">
      <c r="A44" s="460" t="s">
        <v>376</v>
      </c>
      <c r="B44" s="709">
        <v>388.49700000000001</v>
      </c>
      <c r="C44" s="360">
        <v>61.735959999999999</v>
      </c>
      <c r="D44" s="360">
        <f t="shared" si="18"/>
        <v>-84.1</v>
      </c>
      <c r="E44" s="147">
        <v>5.1057368100000176</v>
      </c>
      <c r="F44" s="360">
        <v>113.30650763999999</v>
      </c>
      <c r="G44" s="360">
        <f>IF(E44=0, "    ---- ", IF(ABS(ROUND(100/E44*F44-100,1))&lt;999,ROUND(100/E44*F44-100,1),IF(ROUND(100/E44*F44-100,1)&gt;999,999,-999)))</f>
        <v>999</v>
      </c>
      <c r="H44" s="147">
        <v>313.10199999999998</v>
      </c>
      <c r="I44" s="360">
        <v>355.99799999999999</v>
      </c>
      <c r="J44" s="360">
        <f t="shared" si="30"/>
        <v>13.7</v>
      </c>
      <c r="K44" s="147">
        <v>23</v>
      </c>
      <c r="L44" s="360">
        <v>4</v>
      </c>
      <c r="M44" s="357">
        <f>IF(K44=0, "    ---- ", IF(ABS(ROUND(100/K44*L44-100,1))&lt;999,ROUND(100/K44*L44-100,1),IF(ROUND(100/K44*L44-100,1)&gt;999,999,-999)))</f>
        <v>-82.6</v>
      </c>
      <c r="N44" s="147">
        <v>376.80058751999997</v>
      </c>
      <c r="O44" s="360">
        <v>6814.6970358299995</v>
      </c>
      <c r="P44" s="280">
        <f t="shared" si="29"/>
        <v>999</v>
      </c>
      <c r="Q44" s="147">
        <v>62.923038049999995</v>
      </c>
      <c r="R44" s="360">
        <v>32.554619870000003</v>
      </c>
      <c r="S44" s="280">
        <f t="shared" si="24"/>
        <v>-48.3</v>
      </c>
      <c r="T44" s="147"/>
      <c r="U44" s="360"/>
      <c r="V44" s="280"/>
      <c r="W44" s="147">
        <v>191.785</v>
      </c>
      <c r="X44" s="360">
        <v>264.23211226999103</v>
      </c>
      <c r="Y44" s="280">
        <f t="shared" si="26"/>
        <v>37.799999999999997</v>
      </c>
      <c r="Z44" s="147"/>
      <c r="AA44" s="360"/>
      <c r="AB44" s="280"/>
      <c r="AC44" s="147"/>
      <c r="AD44" s="360"/>
      <c r="AE44" s="280"/>
      <c r="AF44" s="400">
        <f t="shared" si="19"/>
        <v>1361.21336238</v>
      </c>
      <c r="AG44" s="400">
        <f t="shared" si="19"/>
        <v>7646.5242356099916</v>
      </c>
      <c r="AH44" s="280">
        <f t="shared" si="20"/>
        <v>461.7</v>
      </c>
      <c r="AI44" s="400">
        <f t="shared" si="21"/>
        <v>1361.21336238</v>
      </c>
      <c r="AJ44" s="400">
        <f t="shared" si="21"/>
        <v>7646.5242356099916</v>
      </c>
      <c r="AK44" s="361">
        <f t="shared" si="22"/>
        <v>461.7</v>
      </c>
    </row>
    <row r="45" spans="1:37" s="372" customFormat="1" ht="20.100000000000001" customHeight="1" x14ac:dyDescent="0.35">
      <c r="A45" s="493" t="s">
        <v>377</v>
      </c>
      <c r="B45" s="709">
        <f>SUM(B33+B34+B35+B39)</f>
        <v>187397.94699999999</v>
      </c>
      <c r="C45" s="360">
        <f>SUM(C33+C34+C35+C39)</f>
        <v>185881.40902999998</v>
      </c>
      <c r="D45" s="280">
        <f t="shared" si="18"/>
        <v>-0.8</v>
      </c>
      <c r="E45" s="147">
        <f>SUM(E33+E34+E35+E39)</f>
        <v>9590.8024462900012</v>
      </c>
      <c r="F45" s="360">
        <f>SUM(F33+F34+F35+F39)</f>
        <v>10417.658016550004</v>
      </c>
      <c r="G45" s="280">
        <f>IF(E45=0, "    ---- ", IF(ABS(ROUND(100/E45*F45-100,1))&lt;999,ROUND(100/E45*F45-100,1),IF(ROUND(100/E45*F45-100,1)&gt;999,999,-999)))</f>
        <v>8.6</v>
      </c>
      <c r="H45" s="147">
        <f>SUM(H33+H34+H35+H39)</f>
        <v>2059.8160000000003</v>
      </c>
      <c r="I45" s="360">
        <f>SUM(I33+I34+I35+I39)</f>
        <v>2414.3740000000003</v>
      </c>
      <c r="J45" s="280">
        <f t="shared" si="30"/>
        <v>17.2</v>
      </c>
      <c r="K45" s="147">
        <f>SUM(K33+K34+K35+K39)</f>
        <v>9873</v>
      </c>
      <c r="L45" s="360">
        <f>SUM(L33+L34+L35+L39)</f>
        <v>11882</v>
      </c>
      <c r="M45" s="357">
        <f>IF(K45=0, "    ---- ", IF(ABS(ROUND(100/K45*L45-100,1))&lt;999,ROUND(100/K45*L45-100,1),IF(ROUND(100/K45*L45-100,1)&gt;999,999,-999)))</f>
        <v>20.3</v>
      </c>
      <c r="N45" s="147">
        <v>803441.09931839001</v>
      </c>
      <c r="O45" s="360">
        <v>879949.71302658017</v>
      </c>
      <c r="P45" s="280">
        <f t="shared" si="29"/>
        <v>9.5</v>
      </c>
      <c r="Q45" s="147">
        <f>SUM(Q33+Q34+Q35+Q39)</f>
        <v>55350.309910249896</v>
      </c>
      <c r="R45" s="360">
        <f>SUM(R33+R34+R35+R39)</f>
        <v>56741.998871570002</v>
      </c>
      <c r="S45" s="280">
        <f t="shared" si="24"/>
        <v>2.5</v>
      </c>
      <c r="T45" s="147">
        <f>SUM(T33+T34+T35+T39)</f>
        <v>134598</v>
      </c>
      <c r="U45" s="360">
        <f>SUM(U33+U34+U35+U39)</f>
        <v>143691</v>
      </c>
      <c r="V45" s="280">
        <f>IF(T45=0, "    ---- ", IF(ABS(ROUND(100/T45*U45-100,1))&lt;999,ROUND(100/T45*U45-100,1),IF(ROUND(100/T45*U45-100,1)&gt;999,999,-999)))</f>
        <v>6.8</v>
      </c>
      <c r="W45" s="147">
        <f>SUM(W33+W34+W35+W39)</f>
        <v>24598.890999999996</v>
      </c>
      <c r="X45" s="360">
        <f>SUM(X33+X34+X35+X39)</f>
        <v>26917.919647059978</v>
      </c>
      <c r="Y45" s="280">
        <f t="shared" si="26"/>
        <v>9.4</v>
      </c>
      <c r="Z45" s="147">
        <f>SUM(Z33+Z34+Z35+Z39)</f>
        <v>217862.87828608998</v>
      </c>
      <c r="AA45" s="360">
        <f>SUM(AA33+AA34+AA35+AA39)</f>
        <v>229235.75783477008</v>
      </c>
      <c r="AB45" s="280">
        <f t="shared" si="27"/>
        <v>5.2</v>
      </c>
      <c r="AC45" s="147">
        <f>SUM(AC33+AC34+AC35+AC39)</f>
        <v>20</v>
      </c>
      <c r="AD45" s="360">
        <f>SUM(AD33+AD34+AD35+AD39)</f>
        <v>26</v>
      </c>
      <c r="AE45" s="280">
        <f t="shared" si="31"/>
        <v>30</v>
      </c>
      <c r="AF45" s="400">
        <f t="shared" si="19"/>
        <v>1444772.7439610199</v>
      </c>
      <c r="AG45" s="400">
        <f t="shared" si="19"/>
        <v>1547131.83042653</v>
      </c>
      <c r="AH45" s="280">
        <f t="shared" si="20"/>
        <v>7.1</v>
      </c>
      <c r="AI45" s="400">
        <f t="shared" si="21"/>
        <v>1444792.7439610199</v>
      </c>
      <c r="AJ45" s="400">
        <f t="shared" si="21"/>
        <v>1547157.83042653</v>
      </c>
      <c r="AK45" s="361">
        <f t="shared" si="22"/>
        <v>7.1</v>
      </c>
    </row>
    <row r="46" spans="1:37" s="372" customFormat="1" ht="20.100000000000001" customHeight="1" x14ac:dyDescent="0.35">
      <c r="A46" s="472" t="s">
        <v>378</v>
      </c>
      <c r="B46" s="709">
        <v>501.91199999999998</v>
      </c>
      <c r="C46" s="360">
        <v>427.13731000000001</v>
      </c>
      <c r="D46" s="360">
        <f t="shared" si="18"/>
        <v>-14.9</v>
      </c>
      <c r="E46" s="147">
        <v>369.34416279000004</v>
      </c>
      <c r="F46" s="360">
        <v>337.92980168999998</v>
      </c>
      <c r="G46" s="280">
        <f>IF(E46=0, "    ---- ", IF(ABS(ROUND(100/E46*F46-100,1))&lt;999,ROUND(100/E46*F46-100,1),IF(ROUND(100/E46*F46-100,1)&gt;999,999,-999)))</f>
        <v>-8.5</v>
      </c>
      <c r="H46" s="147">
        <v>135.04499999999999</v>
      </c>
      <c r="I46" s="360">
        <v>154.41800000000001</v>
      </c>
      <c r="J46" s="280">
        <f t="shared" si="30"/>
        <v>14.3</v>
      </c>
      <c r="K46" s="147">
        <v>1035</v>
      </c>
      <c r="L46" s="360">
        <v>0</v>
      </c>
      <c r="M46" s="357">
        <f>IF(K46=0, "    ---- ", IF(ABS(ROUND(100/K46*L46-100,1))&lt;999,ROUND(100/K46*L46-100,1),IF(ROUND(100/K46*L46-100,1)&gt;999,999,-999)))</f>
        <v>-100</v>
      </c>
      <c r="N46" s="147"/>
      <c r="O46" s="360"/>
      <c r="P46" s="280"/>
      <c r="Q46" s="147">
        <v>67.290000000000006</v>
      </c>
      <c r="R46" s="360">
        <v>71.13</v>
      </c>
      <c r="S46" s="280">
        <f t="shared" si="24"/>
        <v>5.7</v>
      </c>
      <c r="T46" s="147"/>
      <c r="U46" s="360"/>
      <c r="V46" s="280"/>
      <c r="W46" s="147">
        <v>15.574</v>
      </c>
      <c r="X46" s="360">
        <v>16.264610680000001</v>
      </c>
      <c r="Y46" s="280">
        <f t="shared" si="26"/>
        <v>4.4000000000000004</v>
      </c>
      <c r="Z46" s="147">
        <v>157.27681774999999</v>
      </c>
      <c r="AA46" s="360">
        <v>119.67472457</v>
      </c>
      <c r="AB46" s="280">
        <f t="shared" si="27"/>
        <v>-23.9</v>
      </c>
      <c r="AC46" s="147"/>
      <c r="AD46" s="360"/>
      <c r="AE46" s="280"/>
      <c r="AF46" s="400">
        <f t="shared" si="19"/>
        <v>2281.4419805400003</v>
      </c>
      <c r="AG46" s="400">
        <f t="shared" si="19"/>
        <v>1126.5544469400002</v>
      </c>
      <c r="AH46" s="280">
        <f t="shared" si="20"/>
        <v>-50.6</v>
      </c>
      <c r="AI46" s="400">
        <f t="shared" si="21"/>
        <v>2281.4419805400003</v>
      </c>
      <c r="AJ46" s="400">
        <f t="shared" si="21"/>
        <v>1126.5544469400002</v>
      </c>
      <c r="AK46" s="361">
        <f t="shared" si="22"/>
        <v>-50.6</v>
      </c>
    </row>
    <row r="47" spans="1:37" s="372" customFormat="1" ht="20.100000000000001" customHeight="1" x14ac:dyDescent="0.35">
      <c r="A47" s="472" t="s">
        <v>379</v>
      </c>
      <c r="B47" s="709"/>
      <c r="C47" s="360"/>
      <c r="D47" s="360"/>
      <c r="E47" s="147"/>
      <c r="F47" s="360"/>
      <c r="G47" s="360"/>
      <c r="H47" s="147"/>
      <c r="I47" s="360"/>
      <c r="J47" s="360"/>
      <c r="K47" s="147"/>
      <c r="L47" s="360"/>
      <c r="M47" s="357"/>
      <c r="N47" s="147"/>
      <c r="O47" s="360"/>
      <c r="P47" s="280"/>
      <c r="Q47" s="147"/>
      <c r="R47" s="360"/>
      <c r="S47" s="280"/>
      <c r="T47" s="147"/>
      <c r="U47" s="360"/>
      <c r="V47" s="280"/>
      <c r="W47" s="147"/>
      <c r="X47" s="360"/>
      <c r="Y47" s="280"/>
      <c r="Z47" s="147"/>
      <c r="AA47" s="360"/>
      <c r="AB47" s="280"/>
      <c r="AC47" s="147"/>
      <c r="AD47" s="360"/>
      <c r="AE47" s="280"/>
      <c r="AF47" s="357"/>
      <c r="AG47" s="357"/>
      <c r="AH47" s="280"/>
      <c r="AI47" s="357"/>
      <c r="AJ47" s="357"/>
      <c r="AK47" s="361"/>
    </row>
    <row r="48" spans="1:37" s="372" customFormat="1" ht="20.100000000000001" customHeight="1" x14ac:dyDescent="0.35">
      <c r="A48" s="460" t="s">
        <v>380</v>
      </c>
      <c r="B48" s="709"/>
      <c r="C48" s="360"/>
      <c r="D48" s="360"/>
      <c r="E48" s="147"/>
      <c r="F48" s="360"/>
      <c r="G48" s="360"/>
      <c r="H48" s="147"/>
      <c r="I48" s="360"/>
      <c r="J48" s="360"/>
      <c r="K48" s="147"/>
      <c r="L48" s="360"/>
      <c r="M48" s="357"/>
      <c r="N48" s="147"/>
      <c r="O48" s="360"/>
      <c r="P48" s="280"/>
      <c r="Q48" s="147"/>
      <c r="R48" s="360"/>
      <c r="S48" s="280"/>
      <c r="T48" s="147"/>
      <c r="U48" s="360"/>
      <c r="V48" s="280"/>
      <c r="W48" s="147"/>
      <c r="X48" s="360"/>
      <c r="Y48" s="280"/>
      <c r="Z48" s="147"/>
      <c r="AA48" s="360"/>
      <c r="AB48" s="280"/>
      <c r="AC48" s="147"/>
      <c r="AD48" s="360"/>
      <c r="AE48" s="280"/>
      <c r="AF48" s="400">
        <f t="shared" ref="AF48:AG62" si="32">B48+E48+H48+K48+N48+Q48+T48+W48+Z48</f>
        <v>0</v>
      </c>
      <c r="AG48" s="400">
        <f t="shared" si="32"/>
        <v>0</v>
      </c>
      <c r="AH48" s="280" t="str">
        <f t="shared" si="20"/>
        <v xml:space="preserve">    ---- </v>
      </c>
      <c r="AI48" s="400">
        <f t="shared" ref="AI48:AJ62" si="33">B48+E48+H48+K48+N48+Q48+T48+W48+Z48+AC48</f>
        <v>0</v>
      </c>
      <c r="AJ48" s="400">
        <f t="shared" si="33"/>
        <v>0</v>
      </c>
      <c r="AK48" s="361" t="str">
        <f t="shared" si="22"/>
        <v xml:space="preserve">    ---- </v>
      </c>
    </row>
    <row r="49" spans="1:37" s="372" customFormat="1" ht="20.100000000000001" customHeight="1" x14ac:dyDescent="0.35">
      <c r="A49" s="460" t="s">
        <v>381</v>
      </c>
      <c r="B49" s="709">
        <v>6165.8519999999999</v>
      </c>
      <c r="C49" s="360">
        <v>6897.0738499999998</v>
      </c>
      <c r="D49" s="360">
        <f t="shared" ref="D49" si="34">IF(B49=0, "    ---- ", IF(ABS(ROUND(100/B49*C49-100,1))&lt;999,ROUND(100/B49*C49-100,1),IF(ROUND(100/B49*C49-100,1)&gt;999,999,-999)))</f>
        <v>11.9</v>
      </c>
      <c r="E49" s="147"/>
      <c r="F49" s="360"/>
      <c r="G49" s="360"/>
      <c r="H49" s="147"/>
      <c r="I49" s="360"/>
      <c r="J49" s="360"/>
      <c r="K49" s="147">
        <v>1980</v>
      </c>
      <c r="L49" s="360">
        <v>3148</v>
      </c>
      <c r="M49" s="357">
        <f>IF(K49=0, "    ---- ", IF(ABS(ROUND(100/K49*L49-100,1))&lt;999,ROUND(100/K49*L49-100,1),IF(ROUND(100/K49*L49-100,1)&gt;999,999,-999)))</f>
        <v>59</v>
      </c>
      <c r="N49" s="147">
        <v>382.15449783999998</v>
      </c>
      <c r="O49" s="360">
        <v>428.69684883999997</v>
      </c>
      <c r="P49" s="280">
        <f t="shared" ref="P49:P60" si="35">IF(N49=0, "    ---- ", IF(ABS(ROUND(100/N49*O49-100,1))&lt;999,ROUND(100/N49*O49-100,1),IF(ROUND(100/N49*O49-100,1)&gt;999,999,-999)))</f>
        <v>12.2</v>
      </c>
      <c r="Q49" s="147">
        <v>3467.65</v>
      </c>
      <c r="R49" s="360">
        <v>4755.3999999999996</v>
      </c>
      <c r="S49" s="280">
        <f t="shared" si="24"/>
        <v>37.1</v>
      </c>
      <c r="T49" s="147"/>
      <c r="U49" s="360"/>
      <c r="V49" s="280"/>
      <c r="W49" s="147">
        <v>1216.2</v>
      </c>
      <c r="X49" s="360">
        <v>1188.42909951</v>
      </c>
      <c r="Y49" s="280">
        <f t="shared" si="26"/>
        <v>-2.2999999999999998</v>
      </c>
      <c r="Z49" s="147">
        <v>7817.7921718799998</v>
      </c>
      <c r="AA49" s="360">
        <v>8427.9130765100053</v>
      </c>
      <c r="AB49" s="280">
        <f t="shared" si="27"/>
        <v>7.8</v>
      </c>
      <c r="AC49" s="147"/>
      <c r="AD49" s="360"/>
      <c r="AE49" s="280"/>
      <c r="AF49" s="400">
        <f t="shared" si="32"/>
        <v>21029.648669720002</v>
      </c>
      <c r="AG49" s="400">
        <f t="shared" si="32"/>
        <v>24845.512874860004</v>
      </c>
      <c r="AH49" s="280">
        <f t="shared" si="20"/>
        <v>18.100000000000001</v>
      </c>
      <c r="AI49" s="400">
        <f t="shared" si="33"/>
        <v>21029.648669720002</v>
      </c>
      <c r="AJ49" s="400">
        <f t="shared" si="33"/>
        <v>24845.512874860004</v>
      </c>
      <c r="AK49" s="361">
        <f t="shared" si="22"/>
        <v>18.100000000000001</v>
      </c>
    </row>
    <row r="50" spans="1:37" s="372" customFormat="1" ht="20.100000000000001" customHeight="1" x14ac:dyDescent="0.35">
      <c r="A50" s="460" t="s">
        <v>382</v>
      </c>
      <c r="B50" s="709"/>
      <c r="C50" s="360"/>
      <c r="D50" s="360"/>
      <c r="E50" s="147"/>
      <c r="F50" s="360"/>
      <c r="G50" s="360"/>
      <c r="H50" s="147"/>
      <c r="I50" s="360"/>
      <c r="J50" s="360"/>
      <c r="K50" s="147"/>
      <c r="L50" s="360"/>
      <c r="M50" s="357"/>
      <c r="N50" s="147">
        <v>1024.04442924</v>
      </c>
      <c r="O50" s="360">
        <v>1059.5221256299999</v>
      </c>
      <c r="P50" s="280">
        <f t="shared" si="35"/>
        <v>3.5</v>
      </c>
      <c r="Q50" s="147"/>
      <c r="R50" s="360"/>
      <c r="S50" s="280"/>
      <c r="T50" s="147"/>
      <c r="U50" s="360"/>
      <c r="V50" s="280"/>
      <c r="W50" s="147"/>
      <c r="X50" s="360"/>
      <c r="Y50" s="280"/>
      <c r="Z50" s="147">
        <f>SUM(Z51+Z53)</f>
        <v>1672.0258863700001</v>
      </c>
      <c r="AA50" s="360">
        <f>SUM(AA51+AA53)</f>
        <v>3691.1328473099966</v>
      </c>
      <c r="AB50" s="280">
        <f t="shared" si="27"/>
        <v>120.8</v>
      </c>
      <c r="AC50" s="147"/>
      <c r="AD50" s="360"/>
      <c r="AE50" s="280"/>
      <c r="AF50" s="400">
        <f t="shared" si="32"/>
        <v>2696.0703156099999</v>
      </c>
      <c r="AG50" s="400">
        <f t="shared" si="32"/>
        <v>4750.6549729399967</v>
      </c>
      <c r="AH50" s="280">
        <f t="shared" si="20"/>
        <v>76.2</v>
      </c>
      <c r="AI50" s="400">
        <f t="shared" si="33"/>
        <v>2696.0703156099999</v>
      </c>
      <c r="AJ50" s="400">
        <f t="shared" si="33"/>
        <v>4750.6549729399967</v>
      </c>
      <c r="AK50" s="361">
        <f t="shared" si="22"/>
        <v>76.2</v>
      </c>
    </row>
    <row r="51" spans="1:37" s="372" customFormat="1" ht="20.100000000000001" customHeight="1" x14ac:dyDescent="0.35">
      <c r="A51" s="460" t="s">
        <v>383</v>
      </c>
      <c r="B51" s="709"/>
      <c r="C51" s="360"/>
      <c r="D51" s="280"/>
      <c r="E51" s="147"/>
      <c r="F51" s="360"/>
      <c r="G51" s="280"/>
      <c r="H51" s="147"/>
      <c r="I51" s="360"/>
      <c r="J51" s="280"/>
      <c r="K51" s="147"/>
      <c r="L51" s="360"/>
      <c r="M51" s="357"/>
      <c r="N51" s="147">
        <v>1024.04442924</v>
      </c>
      <c r="O51" s="360">
        <v>1059.5221256299999</v>
      </c>
      <c r="P51" s="280">
        <f t="shared" si="35"/>
        <v>3.5</v>
      </c>
      <c r="Q51" s="147"/>
      <c r="R51" s="360"/>
      <c r="S51" s="280"/>
      <c r="T51" s="147"/>
      <c r="U51" s="360"/>
      <c r="V51" s="280"/>
      <c r="W51" s="147"/>
      <c r="X51" s="360"/>
      <c r="Y51" s="280"/>
      <c r="Z51" s="147"/>
      <c r="AA51" s="360"/>
      <c r="AB51" s="280"/>
      <c r="AC51" s="147"/>
      <c r="AD51" s="360"/>
      <c r="AE51" s="280"/>
      <c r="AF51" s="400">
        <f t="shared" si="32"/>
        <v>1024.04442924</v>
      </c>
      <c r="AG51" s="400">
        <f t="shared" si="32"/>
        <v>1059.5221256299999</v>
      </c>
      <c r="AH51" s="280">
        <f t="shared" si="20"/>
        <v>3.5</v>
      </c>
      <c r="AI51" s="400">
        <f t="shared" si="33"/>
        <v>1024.04442924</v>
      </c>
      <c r="AJ51" s="400">
        <f t="shared" si="33"/>
        <v>1059.5221256299999</v>
      </c>
      <c r="AK51" s="361">
        <f t="shared" si="22"/>
        <v>3.5</v>
      </c>
    </row>
    <row r="52" spans="1:37" s="372" customFormat="1" ht="20.100000000000001" customHeight="1" x14ac:dyDescent="0.35">
      <c r="A52" s="460" t="s">
        <v>352</v>
      </c>
      <c r="B52" s="709"/>
      <c r="C52" s="360"/>
      <c r="D52" s="360"/>
      <c r="E52" s="147"/>
      <c r="F52" s="360"/>
      <c r="G52" s="360"/>
      <c r="H52" s="147"/>
      <c r="I52" s="360"/>
      <c r="J52" s="360"/>
      <c r="K52" s="147"/>
      <c r="L52" s="360"/>
      <c r="M52" s="400"/>
      <c r="N52" s="147">
        <v>1024.04442924</v>
      </c>
      <c r="O52" s="360">
        <v>1059.5221256299999</v>
      </c>
      <c r="P52" s="280">
        <f t="shared" si="35"/>
        <v>3.5</v>
      </c>
      <c r="Q52" s="147"/>
      <c r="R52" s="360"/>
      <c r="S52" s="360"/>
      <c r="T52" s="147"/>
      <c r="U52" s="360"/>
      <c r="V52" s="360"/>
      <c r="W52" s="147"/>
      <c r="X52" s="360"/>
      <c r="Y52" s="360"/>
      <c r="Z52" s="147"/>
      <c r="AA52" s="360"/>
      <c r="AB52" s="360"/>
      <c r="AC52" s="147"/>
      <c r="AD52" s="360"/>
      <c r="AE52" s="360"/>
      <c r="AF52" s="400">
        <f t="shared" si="32"/>
        <v>1024.04442924</v>
      </c>
      <c r="AG52" s="400">
        <f t="shared" si="32"/>
        <v>1059.5221256299999</v>
      </c>
      <c r="AH52" s="360">
        <f t="shared" si="20"/>
        <v>3.5</v>
      </c>
      <c r="AI52" s="400">
        <f t="shared" si="33"/>
        <v>1024.04442924</v>
      </c>
      <c r="AJ52" s="400">
        <f t="shared" si="33"/>
        <v>1059.5221256299999</v>
      </c>
      <c r="AK52" s="494">
        <f t="shared" si="22"/>
        <v>3.5</v>
      </c>
    </row>
    <row r="53" spans="1:37" s="372" customFormat="1" ht="20.100000000000001" customHeight="1" x14ac:dyDescent="0.35">
      <c r="A53" s="460" t="s">
        <v>384</v>
      </c>
      <c r="B53" s="709"/>
      <c r="C53" s="360"/>
      <c r="D53" s="360"/>
      <c r="E53" s="147"/>
      <c r="F53" s="360"/>
      <c r="G53" s="360"/>
      <c r="H53" s="147"/>
      <c r="I53" s="360"/>
      <c r="J53" s="360"/>
      <c r="K53" s="147"/>
      <c r="L53" s="360"/>
      <c r="M53" s="357"/>
      <c r="N53" s="147"/>
      <c r="O53" s="360"/>
      <c r="P53" s="280"/>
      <c r="Q53" s="147"/>
      <c r="R53" s="360"/>
      <c r="S53" s="280"/>
      <c r="T53" s="147"/>
      <c r="U53" s="360"/>
      <c r="V53" s="280"/>
      <c r="W53" s="147"/>
      <c r="X53" s="360"/>
      <c r="Y53" s="280"/>
      <c r="Z53" s="147">
        <v>1672.0258863700001</v>
      </c>
      <c r="AA53" s="360">
        <v>3691.1328473099966</v>
      </c>
      <c r="AB53" s="360">
        <f t="shared" si="27"/>
        <v>120.8</v>
      </c>
      <c r="AC53" s="147"/>
      <c r="AD53" s="360"/>
      <c r="AE53" s="280"/>
      <c r="AF53" s="400">
        <f t="shared" si="32"/>
        <v>1672.0258863700001</v>
      </c>
      <c r="AG53" s="400">
        <f t="shared" si="32"/>
        <v>3691.1328473099966</v>
      </c>
      <c r="AH53" s="280">
        <f t="shared" si="20"/>
        <v>120.8</v>
      </c>
      <c r="AI53" s="400">
        <f t="shared" si="33"/>
        <v>1672.0258863700001</v>
      </c>
      <c r="AJ53" s="400">
        <f t="shared" si="33"/>
        <v>3691.1328473099966</v>
      </c>
      <c r="AK53" s="361">
        <f t="shared" si="22"/>
        <v>120.8</v>
      </c>
    </row>
    <row r="54" spans="1:37" s="372" customFormat="1" ht="20.100000000000001" customHeight="1" x14ac:dyDescent="0.35">
      <c r="A54" s="460" t="s">
        <v>385</v>
      </c>
      <c r="B54" s="709">
        <f>SUM(B55+B56+B57+B58+B59)</f>
        <v>196089.02899999998</v>
      </c>
      <c r="C54" s="360">
        <f>SUM(C55+C56+C57+C58+C59)</f>
        <v>238891.32830999998</v>
      </c>
      <c r="D54" s="360">
        <f t="shared" si="18"/>
        <v>21.8</v>
      </c>
      <c r="E54" s="147"/>
      <c r="F54" s="360"/>
      <c r="G54" s="360"/>
      <c r="H54" s="147"/>
      <c r="I54" s="360"/>
      <c r="J54" s="360"/>
      <c r="K54" s="147">
        <f>SUM(K55+K56+K57+K58+K59)</f>
        <v>74912</v>
      </c>
      <c r="L54" s="360">
        <f>SUM(L55+L56+L57+L58+L59)</f>
        <v>88433</v>
      </c>
      <c r="M54" s="400">
        <f>IF(K54=0, "    ---- ", IF(ABS(ROUND(100/K54*L54-100,1))&lt;999,ROUND(100/K54*L54-100,1),IF(ROUND(100/K54*L54-100,1)&gt;999,999,-999)))</f>
        <v>18</v>
      </c>
      <c r="N54" s="147">
        <v>1728.4834318600001</v>
      </c>
      <c r="O54" s="360">
        <v>1900.5738343700002</v>
      </c>
      <c r="P54" s="360">
        <f t="shared" si="35"/>
        <v>10</v>
      </c>
      <c r="Q54" s="147">
        <f>SUM(Q55+Q56+Q57+Q58+Q59)</f>
        <v>180577.18000000002</v>
      </c>
      <c r="R54" s="360">
        <f>SUM(R55+R56+R57+R58+R59)</f>
        <v>210889.09</v>
      </c>
      <c r="S54" s="360">
        <f t="shared" si="24"/>
        <v>16.8</v>
      </c>
      <c r="T54" s="147"/>
      <c r="U54" s="360"/>
      <c r="V54" s="360"/>
      <c r="W54" s="147">
        <f>SUM(W55+W56+W57+W58+W59)</f>
        <v>83005.569999999992</v>
      </c>
      <c r="X54" s="360">
        <f>SUM(X55+X56+X57+X58+X59)</f>
        <v>96587.310449339901</v>
      </c>
      <c r="Y54" s="360">
        <f t="shared" si="26"/>
        <v>16.399999999999999</v>
      </c>
      <c r="Z54" s="147">
        <f>SUM(Z55+Z56+Z57+Z58+Z59)</f>
        <v>241116.05841254999</v>
      </c>
      <c r="AA54" s="360">
        <f>SUM(AA55+AA56+AA57+AA58+AA59)</f>
        <v>269912.22917144984</v>
      </c>
      <c r="AB54" s="360">
        <f t="shared" si="27"/>
        <v>11.9</v>
      </c>
      <c r="AC54" s="147"/>
      <c r="AD54" s="360"/>
      <c r="AE54" s="360"/>
      <c r="AF54" s="400">
        <f t="shared" si="32"/>
        <v>777428.32084440999</v>
      </c>
      <c r="AG54" s="400">
        <f t="shared" si="32"/>
        <v>906613.53176515969</v>
      </c>
      <c r="AH54" s="360">
        <f t="shared" si="20"/>
        <v>16.600000000000001</v>
      </c>
      <c r="AI54" s="400">
        <f t="shared" si="33"/>
        <v>777428.32084440999</v>
      </c>
      <c r="AJ54" s="400">
        <f t="shared" si="33"/>
        <v>906613.53176515969</v>
      </c>
      <c r="AK54" s="494">
        <f t="shared" si="22"/>
        <v>16.600000000000001</v>
      </c>
    </row>
    <row r="55" spans="1:37" s="372" customFormat="1" ht="20.100000000000001" customHeight="1" x14ac:dyDescent="0.35">
      <c r="A55" s="460" t="s">
        <v>386</v>
      </c>
      <c r="B55" s="709">
        <v>127592.89200000001</v>
      </c>
      <c r="C55" s="360">
        <v>157364.47626</v>
      </c>
      <c r="D55" s="360">
        <f t="shared" si="18"/>
        <v>23.3</v>
      </c>
      <c r="E55" s="147"/>
      <c r="F55" s="360"/>
      <c r="G55" s="360"/>
      <c r="H55" s="147"/>
      <c r="I55" s="360"/>
      <c r="J55" s="360"/>
      <c r="K55" s="147">
        <v>62546</v>
      </c>
      <c r="L55" s="360">
        <v>73982</v>
      </c>
      <c r="M55" s="357">
        <f>IF(K55=0, "    ---- ", IF(ABS(ROUND(100/K55*L55-100,1))&lt;999,ROUND(100/K55*L55-100,1),IF(ROUND(100/K55*L55-100,1)&gt;999,999,-999)))</f>
        <v>18.3</v>
      </c>
      <c r="N55" s="147">
        <v>1378.8381204000002</v>
      </c>
      <c r="O55" s="360">
        <v>1516.36627198</v>
      </c>
      <c r="P55" s="280">
        <f t="shared" si="35"/>
        <v>10</v>
      </c>
      <c r="Q55" s="147">
        <v>119432.32000000001</v>
      </c>
      <c r="R55" s="360">
        <v>144127.69</v>
      </c>
      <c r="S55" s="280">
        <f t="shared" si="24"/>
        <v>20.7</v>
      </c>
      <c r="T55" s="147"/>
      <c r="U55" s="360"/>
      <c r="V55" s="280"/>
      <c r="W55" s="147">
        <v>55564.673000000003</v>
      </c>
      <c r="X55" s="360">
        <v>65107.242280519866</v>
      </c>
      <c r="Y55" s="280">
        <f t="shared" si="26"/>
        <v>17.2</v>
      </c>
      <c r="Z55" s="147">
        <v>181407.39910114001</v>
      </c>
      <c r="AA55" s="360">
        <v>206053.42556168995</v>
      </c>
      <c r="AB55" s="280">
        <f t="shared" si="27"/>
        <v>13.6</v>
      </c>
      <c r="AC55" s="147"/>
      <c r="AD55" s="360"/>
      <c r="AE55" s="280"/>
      <c r="AF55" s="400">
        <f t="shared" si="32"/>
        <v>547922.12222154008</v>
      </c>
      <c r="AG55" s="400">
        <f t="shared" si="32"/>
        <v>648151.20037418976</v>
      </c>
      <c r="AH55" s="280">
        <f t="shared" si="20"/>
        <v>18.3</v>
      </c>
      <c r="AI55" s="400">
        <f t="shared" si="33"/>
        <v>547922.12222154008</v>
      </c>
      <c r="AJ55" s="400">
        <f t="shared" si="33"/>
        <v>648151.20037418976</v>
      </c>
      <c r="AK55" s="361">
        <f t="shared" si="22"/>
        <v>18.3</v>
      </c>
    </row>
    <row r="56" spans="1:37" s="372" customFormat="1" ht="20.100000000000001" customHeight="1" x14ac:dyDescent="0.35">
      <c r="A56" s="460" t="s">
        <v>387</v>
      </c>
      <c r="B56" s="709">
        <v>66632.451000000001</v>
      </c>
      <c r="C56" s="360">
        <v>79454.698279999997</v>
      </c>
      <c r="D56" s="360">
        <f t="shared" si="18"/>
        <v>19.2</v>
      </c>
      <c r="E56" s="147"/>
      <c r="F56" s="360"/>
      <c r="G56" s="360"/>
      <c r="H56" s="147"/>
      <c r="I56" s="360"/>
      <c r="J56" s="360"/>
      <c r="K56" s="147">
        <v>12082</v>
      </c>
      <c r="L56" s="360">
        <v>14285</v>
      </c>
      <c r="M56" s="357">
        <f>IF(K56=0, "    ---- ", IF(ABS(ROUND(100/K56*L56-100,1))&lt;999,ROUND(100/K56*L56-100,1),IF(ROUND(100/K56*L56-100,1)&gt;999,999,-999)))</f>
        <v>18.2</v>
      </c>
      <c r="N56" s="147">
        <v>311.09005279000002</v>
      </c>
      <c r="O56" s="360">
        <v>308.99112923000001</v>
      </c>
      <c r="P56" s="280">
        <f t="shared" si="35"/>
        <v>-0.7</v>
      </c>
      <c r="Q56" s="147">
        <v>61614.15</v>
      </c>
      <c r="R56" s="360">
        <v>65810.06</v>
      </c>
      <c r="S56" s="280">
        <f t="shared" si="24"/>
        <v>6.8</v>
      </c>
      <c r="T56" s="147"/>
      <c r="U56" s="360"/>
      <c r="V56" s="280"/>
      <c r="W56" s="147">
        <v>26800.9</v>
      </c>
      <c r="X56" s="360">
        <v>31012.353829419997</v>
      </c>
      <c r="Y56" s="280">
        <f t="shared" si="26"/>
        <v>15.7</v>
      </c>
      <c r="Z56" s="147">
        <v>59414.406023789998</v>
      </c>
      <c r="AA56" s="360">
        <v>63554.489868049932</v>
      </c>
      <c r="AB56" s="280">
        <f t="shared" si="27"/>
        <v>7</v>
      </c>
      <c r="AC56" s="147"/>
      <c r="AD56" s="360"/>
      <c r="AE56" s="280"/>
      <c r="AF56" s="400">
        <f t="shared" si="32"/>
        <v>226854.99707658001</v>
      </c>
      <c r="AG56" s="400">
        <f t="shared" si="32"/>
        <v>254425.59310669993</v>
      </c>
      <c r="AH56" s="280">
        <f t="shared" si="20"/>
        <v>12.2</v>
      </c>
      <c r="AI56" s="400">
        <f t="shared" si="33"/>
        <v>226854.99707658001</v>
      </c>
      <c r="AJ56" s="400">
        <f t="shared" si="33"/>
        <v>254425.59310669993</v>
      </c>
      <c r="AK56" s="361">
        <f t="shared" si="22"/>
        <v>12.2</v>
      </c>
    </row>
    <row r="57" spans="1:37" s="372" customFormat="1" ht="20.100000000000001" customHeight="1" x14ac:dyDescent="0.35">
      <c r="A57" s="460" t="s">
        <v>388</v>
      </c>
      <c r="B57" s="709">
        <v>1863.6859999999999</v>
      </c>
      <c r="C57" s="360">
        <v>2072.1537699999999</v>
      </c>
      <c r="D57" s="280">
        <f t="shared" si="18"/>
        <v>11.2</v>
      </c>
      <c r="E57" s="147"/>
      <c r="F57" s="360"/>
      <c r="G57" s="280"/>
      <c r="H57" s="147"/>
      <c r="I57" s="360"/>
      <c r="J57" s="280"/>
      <c r="K57" s="147">
        <v>36</v>
      </c>
      <c r="L57" s="360">
        <v>-110</v>
      </c>
      <c r="M57" s="280">
        <f>IF(K57=0, "    ---- ", IF(ABS(ROUND(100/K57*L57-100,1))&lt;999,ROUND(100/K57*L57-100,1),IF(ROUND(100/K57*L57-100,1)&gt;999,999,-999)))</f>
        <v>-405.6</v>
      </c>
      <c r="N57" s="147">
        <v>35.937651880000004</v>
      </c>
      <c r="O57" s="360">
        <v>67.590978719999995</v>
      </c>
      <c r="P57" s="280">
        <f t="shared" si="35"/>
        <v>88.1</v>
      </c>
      <c r="Q57" s="147"/>
      <c r="R57" s="360"/>
      <c r="S57" s="280"/>
      <c r="T57" s="147"/>
      <c r="U57" s="360"/>
      <c r="V57" s="280"/>
      <c r="W57" s="147">
        <v>103.063</v>
      </c>
      <c r="X57" s="360">
        <v>80.815206200000574</v>
      </c>
      <c r="Y57" s="280">
        <f t="shared" si="26"/>
        <v>-21.6</v>
      </c>
      <c r="Z57" s="147"/>
      <c r="AA57" s="360"/>
      <c r="AB57" s="280"/>
      <c r="AC57" s="147"/>
      <c r="AD57" s="360"/>
      <c r="AE57" s="280"/>
      <c r="AF57" s="400">
        <f t="shared" si="32"/>
        <v>2038.68665188</v>
      </c>
      <c r="AG57" s="400">
        <f t="shared" si="32"/>
        <v>2110.5599549200006</v>
      </c>
      <c r="AH57" s="280">
        <f t="shared" si="20"/>
        <v>3.5</v>
      </c>
      <c r="AI57" s="400">
        <f t="shared" si="33"/>
        <v>2038.68665188</v>
      </c>
      <c r="AJ57" s="400">
        <f t="shared" si="33"/>
        <v>2110.5599549200006</v>
      </c>
      <c r="AK57" s="361">
        <f t="shared" si="22"/>
        <v>3.5</v>
      </c>
    </row>
    <row r="58" spans="1:37" s="372" customFormat="1" ht="20.100000000000001" customHeight="1" x14ac:dyDescent="0.35">
      <c r="A58" s="460" t="s">
        <v>389</v>
      </c>
      <c r="B58" s="709"/>
      <c r="C58" s="360"/>
      <c r="D58" s="280"/>
      <c r="E58" s="147"/>
      <c r="F58" s="360"/>
      <c r="G58" s="280"/>
      <c r="H58" s="147"/>
      <c r="I58" s="360"/>
      <c r="J58" s="280"/>
      <c r="K58" s="147"/>
      <c r="L58" s="360"/>
      <c r="M58" s="280"/>
      <c r="N58" s="147">
        <v>2.5865192599999998</v>
      </c>
      <c r="O58" s="360">
        <v>7.9365879100000001</v>
      </c>
      <c r="P58" s="280">
        <f t="shared" si="35"/>
        <v>206.8</v>
      </c>
      <c r="Q58" s="147">
        <v>-1124.27</v>
      </c>
      <c r="R58" s="360">
        <v>23.08</v>
      </c>
      <c r="S58" s="280">
        <f t="shared" si="24"/>
        <v>-102.1</v>
      </c>
      <c r="T58" s="147"/>
      <c r="U58" s="360"/>
      <c r="V58" s="280"/>
      <c r="W58" s="147"/>
      <c r="X58" s="360">
        <v>14.569879440000609</v>
      </c>
      <c r="Y58" s="280" t="str">
        <f t="shared" si="26"/>
        <v xml:space="preserve">    ---- </v>
      </c>
      <c r="Z58" s="147">
        <v>294.25328761999998</v>
      </c>
      <c r="AA58" s="360">
        <v>304.31374170999953</v>
      </c>
      <c r="AB58" s="280">
        <f t="shared" si="27"/>
        <v>3.4</v>
      </c>
      <c r="AC58" s="147"/>
      <c r="AD58" s="360"/>
      <c r="AE58" s="280"/>
      <c r="AF58" s="400">
        <f t="shared" si="32"/>
        <v>-827.43019312000001</v>
      </c>
      <c r="AG58" s="400">
        <f t="shared" si="32"/>
        <v>349.90020906000012</v>
      </c>
      <c r="AH58" s="280">
        <f t="shared" si="20"/>
        <v>-142.30000000000001</v>
      </c>
      <c r="AI58" s="400">
        <f t="shared" si="33"/>
        <v>-827.43019312000001</v>
      </c>
      <c r="AJ58" s="400">
        <f t="shared" si="33"/>
        <v>349.90020906000012</v>
      </c>
      <c r="AK58" s="361">
        <f t="shared" si="22"/>
        <v>-142.30000000000001</v>
      </c>
    </row>
    <row r="59" spans="1:37" s="372" customFormat="1" ht="20.100000000000001" customHeight="1" x14ac:dyDescent="0.35">
      <c r="A59" s="460" t="s">
        <v>390</v>
      </c>
      <c r="B59" s="709"/>
      <c r="C59" s="360"/>
      <c r="D59" s="280"/>
      <c r="E59" s="147"/>
      <c r="F59" s="360"/>
      <c r="G59" s="280"/>
      <c r="H59" s="147"/>
      <c r="I59" s="360"/>
      <c r="J59" s="280"/>
      <c r="K59" s="147">
        <v>248</v>
      </c>
      <c r="L59" s="360">
        <v>276</v>
      </c>
      <c r="M59" s="280">
        <f>IF(K59=0, "    ---- ", IF(ABS(ROUND(100/K59*L59-100,1))&lt;999,ROUND(100/K59*L59-100,1),IF(ROUND(100/K59*L59-100,1)&gt;999,999,-999)))</f>
        <v>11.3</v>
      </c>
      <c r="N59" s="147">
        <v>3.1087529999999999E-2</v>
      </c>
      <c r="O59" s="360">
        <v>-0.31113346999999997</v>
      </c>
      <c r="P59" s="280">
        <f t="shared" si="35"/>
        <v>-999</v>
      </c>
      <c r="Q59" s="147">
        <v>654.98</v>
      </c>
      <c r="R59" s="360">
        <v>928.26</v>
      </c>
      <c r="S59" s="280">
        <f t="shared" si="24"/>
        <v>41.7</v>
      </c>
      <c r="T59" s="147"/>
      <c r="U59" s="360"/>
      <c r="V59" s="280"/>
      <c r="W59" s="147">
        <v>536.93399999999997</v>
      </c>
      <c r="X59" s="360">
        <v>372.32925376004482</v>
      </c>
      <c r="Y59" s="280">
        <f t="shared" si="26"/>
        <v>-30.7</v>
      </c>
      <c r="Z59" s="147"/>
      <c r="AA59" s="360"/>
      <c r="AB59" s="280"/>
      <c r="AC59" s="147"/>
      <c r="AD59" s="360"/>
      <c r="AE59" s="280"/>
      <c r="AF59" s="400">
        <f t="shared" si="32"/>
        <v>1439.9450875299999</v>
      </c>
      <c r="AG59" s="400">
        <f t="shared" si="32"/>
        <v>1576.2781202900449</v>
      </c>
      <c r="AH59" s="280">
        <f t="shared" si="20"/>
        <v>9.5</v>
      </c>
      <c r="AI59" s="400">
        <f t="shared" si="33"/>
        <v>1439.9450875299999</v>
      </c>
      <c r="AJ59" s="400">
        <f t="shared" si="33"/>
        <v>1576.2781202900449</v>
      </c>
      <c r="AK59" s="361">
        <f t="shared" si="22"/>
        <v>9.5</v>
      </c>
    </row>
    <row r="60" spans="1:37" s="372" customFormat="1" ht="20.100000000000001" customHeight="1" x14ac:dyDescent="0.35">
      <c r="A60" s="493" t="s">
        <v>391</v>
      </c>
      <c r="B60" s="709">
        <f>SUM(B48+B49+B50+B54)</f>
        <v>202254.88099999999</v>
      </c>
      <c r="C60" s="360">
        <f>SUM(C48+C49+C50+C54)</f>
        <v>245788.40215999997</v>
      </c>
      <c r="D60" s="280">
        <f t="shared" si="18"/>
        <v>21.5</v>
      </c>
      <c r="E60" s="147"/>
      <c r="F60" s="360"/>
      <c r="G60" s="280"/>
      <c r="H60" s="147"/>
      <c r="I60" s="360"/>
      <c r="J60" s="280"/>
      <c r="K60" s="147">
        <f>SUM(K48+K49+K50+K54)</f>
        <v>76892</v>
      </c>
      <c r="L60" s="360">
        <f>SUM(L48+L49+L50+L54)</f>
        <v>91581</v>
      </c>
      <c r="M60" s="280">
        <f>IF(K60=0, "    ---- ", IF(ABS(ROUND(100/K60*L60-100,1))&lt;999,ROUND(100/K60*L60-100,1),IF(ROUND(100/K60*L60-100,1)&gt;999,999,-999)))</f>
        <v>19.100000000000001</v>
      </c>
      <c r="N60" s="147">
        <v>3134.6823589400001</v>
      </c>
      <c r="O60" s="360">
        <v>3388.7928088400004</v>
      </c>
      <c r="P60" s="280">
        <f t="shared" si="35"/>
        <v>8.1</v>
      </c>
      <c r="Q60" s="147">
        <f>SUM(Q48+Q49+Q50+Q54)</f>
        <v>184044.83000000002</v>
      </c>
      <c r="R60" s="360">
        <f>SUM(R48+R49+R50+R54)</f>
        <v>215644.49</v>
      </c>
      <c r="S60" s="280">
        <f t="shared" si="24"/>
        <v>17.2</v>
      </c>
      <c r="T60" s="147"/>
      <c r="U60" s="360"/>
      <c r="V60" s="280"/>
      <c r="W60" s="147">
        <f>SUM(W48+W49+W50+W54)</f>
        <v>84221.76999999999</v>
      </c>
      <c r="X60" s="360">
        <v>97775.739548849888</v>
      </c>
      <c r="Y60" s="280">
        <f t="shared" si="26"/>
        <v>16.100000000000001</v>
      </c>
      <c r="Z60" s="147">
        <f>SUM(Z48+Z49+Z50+Z54)</f>
        <v>250605.87647079999</v>
      </c>
      <c r="AA60" s="360">
        <f>SUM(AA48+AA49+AA50+AA54)</f>
        <v>282031.27509526984</v>
      </c>
      <c r="AB60" s="280">
        <f t="shared" si="27"/>
        <v>12.5</v>
      </c>
      <c r="AC60" s="147"/>
      <c r="AD60" s="360"/>
      <c r="AE60" s="280"/>
      <c r="AF60" s="400">
        <f t="shared" si="32"/>
        <v>801154.03982974007</v>
      </c>
      <c r="AG60" s="400">
        <f t="shared" si="32"/>
        <v>936209.69961295952</v>
      </c>
      <c r="AH60" s="280">
        <f t="shared" si="20"/>
        <v>16.899999999999999</v>
      </c>
      <c r="AI60" s="400">
        <f t="shared" si="33"/>
        <v>801154.03982974007</v>
      </c>
      <c r="AJ60" s="400">
        <f t="shared" si="33"/>
        <v>936209.69961295952</v>
      </c>
      <c r="AK60" s="361">
        <f t="shared" si="22"/>
        <v>16.899999999999999</v>
      </c>
    </row>
    <row r="61" spans="1:37" s="372" customFormat="1" ht="20.100000000000001" customHeight="1" x14ac:dyDescent="0.35">
      <c r="A61" s="472" t="s">
        <v>392</v>
      </c>
      <c r="B61" s="709"/>
      <c r="C61" s="360"/>
      <c r="D61" s="280"/>
      <c r="E61" s="147"/>
      <c r="F61" s="360"/>
      <c r="G61" s="280"/>
      <c r="H61" s="147"/>
      <c r="I61" s="360"/>
      <c r="J61" s="280"/>
      <c r="K61" s="147">
        <v>2</v>
      </c>
      <c r="L61" s="360">
        <v>0</v>
      </c>
      <c r="M61" s="357">
        <f>IF(K61=0, "    ---- ", IF(ABS(ROUND(100/K61*L61-100,1))&lt;999,ROUND(100/K61*L61-100,1),IF(ROUND(100/K61*L61-100,1)&gt;999,999,-999)))</f>
        <v>-100</v>
      </c>
      <c r="N61" s="147"/>
      <c r="O61" s="360"/>
      <c r="P61" s="280"/>
      <c r="Q61" s="147"/>
      <c r="R61" s="360"/>
      <c r="S61" s="280"/>
      <c r="T61" s="147"/>
      <c r="U61" s="360"/>
      <c r="V61" s="280"/>
      <c r="W61" s="147"/>
      <c r="X61" s="360"/>
      <c r="Y61" s="280"/>
      <c r="Z61" s="147"/>
      <c r="AA61" s="360"/>
      <c r="AB61" s="280"/>
      <c r="AC61" s="147"/>
      <c r="AD61" s="360"/>
      <c r="AE61" s="280"/>
      <c r="AF61" s="400">
        <f t="shared" si="32"/>
        <v>2</v>
      </c>
      <c r="AG61" s="400">
        <f t="shared" si="32"/>
        <v>0</v>
      </c>
      <c r="AH61" s="280">
        <f t="shared" si="20"/>
        <v>-100</v>
      </c>
      <c r="AI61" s="400">
        <f>B61+E61+H61+K61+N61+Q61+T61+W61+Z61+AC61</f>
        <v>2</v>
      </c>
      <c r="AJ61" s="400">
        <f t="shared" si="33"/>
        <v>0</v>
      </c>
      <c r="AK61" s="361">
        <f t="shared" si="22"/>
        <v>-100</v>
      </c>
    </row>
    <row r="62" spans="1:37" s="372" customFormat="1" ht="20.100000000000001" customHeight="1" x14ac:dyDescent="0.35">
      <c r="A62" s="460" t="s">
        <v>393</v>
      </c>
      <c r="B62" s="709">
        <f>SUM(B45+B46+B60+B61)</f>
        <v>390154.74</v>
      </c>
      <c r="C62" s="360">
        <f>SUM(C45+C46+C60+C61)</f>
        <v>432096.94849999994</v>
      </c>
      <c r="D62" s="280">
        <f t="shared" si="18"/>
        <v>10.8</v>
      </c>
      <c r="E62" s="147">
        <f>SUM(E45+E46+E60+E61)</f>
        <v>9960.1466090800004</v>
      </c>
      <c r="F62" s="360">
        <f>SUM(F45+F46+F60+F61)</f>
        <v>10755.587818240003</v>
      </c>
      <c r="G62" s="280">
        <f>IF(E62=0, "    ---- ", IF(ABS(ROUND(100/E62*F62-100,1))&lt;999,ROUND(100/E62*F62-100,1),IF(ROUND(100/E62*F62-100,1)&gt;999,999,-999)))</f>
        <v>8</v>
      </c>
      <c r="H62" s="147">
        <f>SUM(H45+H46+H60+H61)</f>
        <v>2194.8610000000003</v>
      </c>
      <c r="I62" s="360">
        <f>SUM(I45+I46+I60+I61)</f>
        <v>2568.7920000000004</v>
      </c>
      <c r="J62" s="280">
        <f>IF(H62=0, "    ---- ", IF(ABS(ROUND(100/H62*I62-100,1))&lt;999,ROUND(100/H62*I62-100,1),IF(ROUND(100/H62*I62-100,1)&gt;999,999,-999)))</f>
        <v>17</v>
      </c>
      <c r="K62" s="147">
        <f>SUM(K45+K46+K60+K61)</f>
        <v>87802</v>
      </c>
      <c r="L62" s="360">
        <f>SUM(L45+L46+L60+L61)</f>
        <v>103463</v>
      </c>
      <c r="M62" s="280">
        <f>IF(K62=0, "    ---- ", IF(ABS(ROUND(100/K62*L62-100,1))&lt;999,ROUND(100/K62*L62-100,1),IF(ROUND(100/K62*L62-100,1)&gt;999,999,-999)))</f>
        <v>17.8</v>
      </c>
      <c r="N62" s="147">
        <v>806575.78167733003</v>
      </c>
      <c r="O62" s="360">
        <v>883338.50583542022</v>
      </c>
      <c r="P62" s="280">
        <f>IF(N62=0, "    ---- ", IF(ABS(ROUND(100/N62*O62-100,1))&lt;999,ROUND(100/N62*O62-100,1),IF(ROUND(100/N62*O62-100,1)&gt;999,999,-999)))</f>
        <v>9.5</v>
      </c>
      <c r="Q62" s="147">
        <f>SUM(Q45+Q46+Q60+Q61)</f>
        <v>239462.42991024992</v>
      </c>
      <c r="R62" s="360">
        <f>SUM(R45+R46+R60+R61)</f>
        <v>272457.61887156998</v>
      </c>
      <c r="S62" s="280">
        <f t="shared" si="24"/>
        <v>13.8</v>
      </c>
      <c r="T62" s="147">
        <f>SUM(T45+T46+T60+T61)</f>
        <v>134598</v>
      </c>
      <c r="U62" s="360">
        <f>SUM(U45+U46+U60+U61)</f>
        <v>143691</v>
      </c>
      <c r="V62" s="280">
        <f>IF(T62=0, "    ---- ", IF(ABS(ROUND(100/T62*U62-100,1))&lt;999,ROUND(100/T62*U62-100,1),IF(ROUND(100/T62*U62-100,1)&gt;999,999,-999)))</f>
        <v>6.8</v>
      </c>
      <c r="W62" s="147">
        <f>SUM(W45+W46+W60+W61)</f>
        <v>108836.23499999999</v>
      </c>
      <c r="X62" s="360">
        <f>SUM(X45+X46+X60+X61)</f>
        <v>124709.92380658987</v>
      </c>
      <c r="Y62" s="280">
        <f t="shared" si="26"/>
        <v>14.6</v>
      </c>
      <c r="Z62" s="147">
        <f>SUM(Z45+Z46+Z60+Z61)</f>
        <v>468626.03157463996</v>
      </c>
      <c r="AA62" s="360">
        <f>SUM(AA45+AA46+AA60+AA61)</f>
        <v>511386.70765460993</v>
      </c>
      <c r="AB62" s="280">
        <f t="shared" si="27"/>
        <v>9.1</v>
      </c>
      <c r="AC62" s="147">
        <f>SUM(AC45+AC46+AC60+AC61)</f>
        <v>20</v>
      </c>
      <c r="AD62" s="360">
        <f>SUM(AD45+AD46+AD60+AD61)</f>
        <v>26</v>
      </c>
      <c r="AE62" s="280">
        <f>IF(AC62=0, "    ---- ", IF(ABS(ROUND(100/AC62*AD62-100,1))&lt;999,ROUND(100/AC62*AD62-100,1),IF(ROUND(100/AC62*AD62-100,1)&gt;999,999,-999)))</f>
        <v>30</v>
      </c>
      <c r="AF62" s="400">
        <f t="shared" si="32"/>
        <v>2248210.2257713</v>
      </c>
      <c r="AG62" s="400">
        <f t="shared" si="32"/>
        <v>2484468.08448643</v>
      </c>
      <c r="AH62" s="280">
        <f t="shared" si="20"/>
        <v>10.5</v>
      </c>
      <c r="AI62" s="400">
        <f>B62+E62+H62+K62+N62+Q62+T62+W62+Z62+AC62</f>
        <v>2248230.2257713</v>
      </c>
      <c r="AJ62" s="400">
        <f t="shared" si="33"/>
        <v>2484494.08448643</v>
      </c>
      <c r="AK62" s="361">
        <f t="shared" si="22"/>
        <v>10.5</v>
      </c>
    </row>
    <row r="63" spans="1:37" s="380" customFormat="1" ht="20.100000000000001" customHeight="1" x14ac:dyDescent="0.3">
      <c r="A63" s="472"/>
      <c r="B63" s="708"/>
      <c r="C63" s="359"/>
      <c r="D63" s="358"/>
      <c r="E63" s="149"/>
      <c r="F63" s="359"/>
      <c r="G63" s="358"/>
      <c r="H63" s="149"/>
      <c r="I63" s="359"/>
      <c r="J63" s="358"/>
      <c r="K63" s="149"/>
      <c r="L63" s="359"/>
      <c r="M63" s="362"/>
      <c r="N63" s="149"/>
      <c r="O63" s="359"/>
      <c r="P63" s="358"/>
      <c r="Q63" s="149"/>
      <c r="R63" s="359"/>
      <c r="S63" s="358"/>
      <c r="T63" s="149"/>
      <c r="U63" s="359"/>
      <c r="V63" s="358"/>
      <c r="W63" s="149"/>
      <c r="X63" s="359"/>
      <c r="Y63" s="358"/>
      <c r="Z63" s="149"/>
      <c r="AA63" s="359"/>
      <c r="AB63" s="358"/>
      <c r="AC63" s="149"/>
      <c r="AD63" s="359"/>
      <c r="AE63" s="358"/>
      <c r="AF63" s="362"/>
      <c r="AG63" s="362"/>
      <c r="AH63" s="358"/>
      <c r="AI63" s="362"/>
      <c r="AJ63" s="362"/>
      <c r="AK63" s="363"/>
    </row>
    <row r="64" spans="1:37" s="380" customFormat="1" ht="20.100000000000001" customHeight="1" x14ac:dyDescent="0.3">
      <c r="A64" s="472" t="s">
        <v>394</v>
      </c>
      <c r="B64" s="708">
        <f>SUM(B29+B62)</f>
        <v>422073.98134417</v>
      </c>
      <c r="C64" s="359">
        <f>SUM(C29+C62)</f>
        <v>461949.21977999993</v>
      </c>
      <c r="D64" s="358">
        <f t="shared" si="18"/>
        <v>9.4</v>
      </c>
      <c r="E64" s="149">
        <f>SUM(E29+E62)</f>
        <v>14479.090889470001</v>
      </c>
      <c r="F64" s="359">
        <f>SUM(F29+F62)</f>
        <v>14956.119086060004</v>
      </c>
      <c r="G64" s="358">
        <f>IF(E64=0, "    ---- ", IF(ABS(ROUND(100/E64*F64-100,1))&lt;999,ROUND(100/E64*F64-100,1),IF(ROUND(100/E64*F64-100,1)&gt;999,999,-999)))</f>
        <v>3.3</v>
      </c>
      <c r="H64" s="149">
        <f>SUM(H29+H62)</f>
        <v>2844.8550000000005</v>
      </c>
      <c r="I64" s="359">
        <f>SUM(I29+I62)</f>
        <v>3289.3560000000007</v>
      </c>
      <c r="J64" s="358">
        <f>IF(H64=0, "    ---- ", IF(ABS(ROUND(100/H64*I64-100,1))&lt;999,ROUND(100/H64*I64-100,1),IF(ROUND(100/H64*I64-100,1)&gt;999,999,-999)))</f>
        <v>15.6</v>
      </c>
      <c r="K64" s="149">
        <f>SUM(K29+K62)</f>
        <v>89504</v>
      </c>
      <c r="L64" s="359">
        <f>SUM(L29+L62)</f>
        <v>105637</v>
      </c>
      <c r="M64" s="362">
        <f>IF(K64=0, "    ---- ", IF(ABS(ROUND(100/K64*L64-100,1))&lt;999,ROUND(100/K64*L64-100,1),IF(ROUND(100/K64*L64-100,1)&gt;999,999,-999)))</f>
        <v>18</v>
      </c>
      <c r="N64" s="149">
        <v>863946.07267890999</v>
      </c>
      <c r="O64" s="359">
        <v>935891.2735647402</v>
      </c>
      <c r="P64" s="358">
        <f>IF(N64=0, "    ---- ", IF(ABS(ROUND(100/N64*O64-100,1))&lt;999,ROUND(100/N64*O64-100,1),IF(ROUND(100/N64*O64-100,1)&gt;999,999,-999)))</f>
        <v>8.3000000000000007</v>
      </c>
      <c r="Q64" s="149">
        <f>SUM(Q29+Q62)</f>
        <v>251714.17991024992</v>
      </c>
      <c r="R64" s="359">
        <f>SUM(R29+R62)</f>
        <v>283996.55887156999</v>
      </c>
      <c r="S64" s="358">
        <f t="shared" si="24"/>
        <v>12.8</v>
      </c>
      <c r="T64" s="149">
        <f>SUM(T29+T62)</f>
        <v>146635</v>
      </c>
      <c r="U64" s="359">
        <f>SUM(U29+U62)</f>
        <v>156480</v>
      </c>
      <c r="V64" s="358">
        <f>IF(T64=0, "    ---- ", IF(ABS(ROUND(100/T64*U64-100,1))&lt;999,ROUND(100/T64*U64-100,1),IF(ROUND(100/T64*U64-100,1)&gt;999,999,-999)))</f>
        <v>6.7</v>
      </c>
      <c r="W64" s="149">
        <f>SUM(W29+W62)</f>
        <v>115561.03399999999</v>
      </c>
      <c r="X64" s="359">
        <f>SUM(X29+X62)</f>
        <v>131796.48812835987</v>
      </c>
      <c r="Y64" s="358">
        <f t="shared" si="26"/>
        <v>14</v>
      </c>
      <c r="Z64" s="149">
        <f>SUM(Z29+Z62)</f>
        <v>513487.32695480995</v>
      </c>
      <c r="AA64" s="359">
        <f>SUM(AA29+AA62)</f>
        <v>553862.73161272996</v>
      </c>
      <c r="AB64" s="358">
        <f t="shared" si="27"/>
        <v>7.9</v>
      </c>
      <c r="AC64" s="149">
        <f>SUM(AC29+AC62)</f>
        <v>147</v>
      </c>
      <c r="AD64" s="359">
        <f>SUM(AD29+AD62)</f>
        <v>258</v>
      </c>
      <c r="AE64" s="358">
        <f>IF(AC64=0, "    ---- ", IF(ABS(ROUND(100/AC64*AD64-100,1))&lt;999,ROUND(100/AC64*AD64-100,1),IF(ROUND(100/AC64*AD64-100,1)&gt;999,999,-999)))</f>
        <v>75.5</v>
      </c>
      <c r="AF64" s="496">
        <f t="shared" ref="AF64:AG64" si="36">B64+E64+H64+K64+N64+Q64+T64+W64+Z64</f>
        <v>2420245.5407776097</v>
      </c>
      <c r="AG64" s="496">
        <f t="shared" si="36"/>
        <v>2647858.7470434601</v>
      </c>
      <c r="AH64" s="358">
        <f t="shared" si="20"/>
        <v>9.4</v>
      </c>
      <c r="AI64" s="496">
        <f>B64+E64+H64+K64+N64+Q64+T64+W64+Z64+AC64</f>
        <v>2420392.5407776097</v>
      </c>
      <c r="AJ64" s="496">
        <f>C64+F64+I64+L64+O64+R64+U64+X64+AA64+AD64</f>
        <v>2648116.7470434601</v>
      </c>
      <c r="AK64" s="363">
        <f t="shared" si="22"/>
        <v>9.4</v>
      </c>
    </row>
    <row r="65" spans="1:37" s="372" customFormat="1" ht="20.100000000000001" customHeight="1" x14ac:dyDescent="0.35">
      <c r="A65" s="495"/>
      <c r="B65" s="709"/>
      <c r="C65" s="360"/>
      <c r="D65" s="280"/>
      <c r="E65" s="147"/>
      <c r="F65" s="360"/>
      <c r="G65" s="280"/>
      <c r="H65" s="147"/>
      <c r="I65" s="360"/>
      <c r="J65" s="280"/>
      <c r="K65" s="147"/>
      <c r="L65" s="360"/>
      <c r="M65" s="357"/>
      <c r="N65" s="147"/>
      <c r="O65" s="360"/>
      <c r="P65" s="280"/>
      <c r="Q65" s="147"/>
      <c r="R65" s="360"/>
      <c r="S65" s="280"/>
      <c r="T65" s="147"/>
      <c r="U65" s="360"/>
      <c r="V65" s="280"/>
      <c r="W65" s="147"/>
      <c r="X65" s="360"/>
      <c r="Y65" s="280"/>
      <c r="Z65" s="147"/>
      <c r="AA65" s="360"/>
      <c r="AB65" s="280"/>
      <c r="AC65" s="147"/>
      <c r="AD65" s="360"/>
      <c r="AE65" s="280"/>
      <c r="AF65" s="357"/>
      <c r="AG65" s="357"/>
      <c r="AH65" s="280"/>
      <c r="AI65" s="357"/>
      <c r="AJ65" s="357"/>
      <c r="AK65" s="361"/>
    </row>
    <row r="66" spans="1:37" s="372" customFormat="1" ht="20.100000000000001" customHeight="1" x14ac:dyDescent="0.35">
      <c r="A66" s="472" t="s">
        <v>395</v>
      </c>
      <c r="B66" s="709"/>
      <c r="C66" s="360"/>
      <c r="D66" s="280"/>
      <c r="E66" s="147"/>
      <c r="F66" s="360"/>
      <c r="G66" s="280"/>
      <c r="H66" s="147"/>
      <c r="I66" s="360"/>
      <c r="J66" s="280"/>
      <c r="K66" s="147"/>
      <c r="L66" s="360"/>
      <c r="M66" s="357"/>
      <c r="N66" s="147"/>
      <c r="O66" s="360"/>
      <c r="P66" s="280"/>
      <c r="Q66" s="147"/>
      <c r="R66" s="360"/>
      <c r="S66" s="280"/>
      <c r="T66" s="147"/>
      <c r="U66" s="360"/>
      <c r="V66" s="280"/>
      <c r="W66" s="147"/>
      <c r="X66" s="360"/>
      <c r="Y66" s="280"/>
      <c r="Z66" s="147"/>
      <c r="AA66" s="360"/>
      <c r="AB66" s="280"/>
      <c r="AC66" s="147"/>
      <c r="AD66" s="360"/>
      <c r="AE66" s="280"/>
      <c r="AF66" s="357"/>
      <c r="AG66" s="357"/>
      <c r="AH66" s="280"/>
      <c r="AI66" s="357"/>
      <c r="AJ66" s="357"/>
      <c r="AK66" s="361"/>
    </row>
    <row r="67" spans="1:37" s="372" customFormat="1" ht="20.100000000000001" customHeight="1" x14ac:dyDescent="0.35">
      <c r="A67" s="472"/>
      <c r="B67" s="709"/>
      <c r="C67" s="360"/>
      <c r="D67" s="280"/>
      <c r="E67" s="147"/>
      <c r="F67" s="360"/>
      <c r="G67" s="280"/>
      <c r="H67" s="147"/>
      <c r="I67" s="360"/>
      <c r="J67" s="280"/>
      <c r="K67" s="147"/>
      <c r="L67" s="360"/>
      <c r="M67" s="357"/>
      <c r="N67" s="147"/>
      <c r="O67" s="360"/>
      <c r="P67" s="280"/>
      <c r="Q67" s="147"/>
      <c r="R67" s="360"/>
      <c r="S67" s="280"/>
      <c r="T67" s="147"/>
      <c r="U67" s="360"/>
      <c r="V67" s="280"/>
      <c r="W67" s="147"/>
      <c r="X67" s="360"/>
      <c r="Y67" s="280"/>
      <c r="Z67" s="147"/>
      <c r="AA67" s="360"/>
      <c r="AB67" s="280"/>
      <c r="AC67" s="147"/>
      <c r="AD67" s="360"/>
      <c r="AE67" s="280"/>
      <c r="AF67" s="357"/>
      <c r="AG67" s="357"/>
      <c r="AH67" s="280"/>
      <c r="AI67" s="357"/>
      <c r="AJ67" s="357"/>
      <c r="AK67" s="361"/>
    </row>
    <row r="68" spans="1:37" s="372" customFormat="1" ht="20.100000000000001" customHeight="1" x14ac:dyDescent="0.35">
      <c r="A68" s="460" t="s">
        <v>396</v>
      </c>
      <c r="B68" s="709">
        <v>7657</v>
      </c>
      <c r="C68" s="360">
        <v>7657.0531499999997</v>
      </c>
      <c r="D68" s="280">
        <f t="shared" si="18"/>
        <v>0</v>
      </c>
      <c r="E68" s="147">
        <v>2452.057311</v>
      </c>
      <c r="F68" s="360">
        <v>2452.057311</v>
      </c>
      <c r="G68" s="280">
        <f>IF(E68=0, "    ---- ", IF(ABS(ROUND(100/E68*F68-100,1))&lt;999,ROUND(100/E68*F68-100,1),IF(ROUND(100/E68*F68-100,1)&gt;999,999,-999)))</f>
        <v>0</v>
      </c>
      <c r="H68" s="147">
        <v>221</v>
      </c>
      <c r="I68" s="360">
        <v>221.25</v>
      </c>
      <c r="J68" s="280">
        <f>IF(H68=0, "    ---- ", IF(ABS(ROUND(100/H68*I68-100,1))&lt;999,ROUND(100/H68*I68-100,1),IF(ROUND(100/H68*I68-100,1)&gt;999,999,-999)))</f>
        <v>0.1</v>
      </c>
      <c r="K68" s="147">
        <v>124</v>
      </c>
      <c r="L68" s="360">
        <v>775</v>
      </c>
      <c r="M68" s="357">
        <f>IF(K68=0, "    ---- ", IF(ABS(ROUND(100/K68*L68-100,1))&lt;999,ROUND(100/K68*L68-100,1),IF(ROUND(100/K68*L68-100,1)&gt;999,999,-999)))</f>
        <v>525</v>
      </c>
      <c r="N68" s="147">
        <v>25276.526158000001</v>
      </c>
      <c r="O68" s="360">
        <v>27939.364938999999</v>
      </c>
      <c r="P68" s="280">
        <f t="shared" ref="P68:P80" si="37">IF(N68=0, "    ---- ", IF(ABS(ROUND(100/N68*O68-100,1))&lt;999,ROUND(100/N68*O68-100,1),IF(ROUND(100/N68*O68-100,1)&gt;999,999,-999)))</f>
        <v>10.5</v>
      </c>
      <c r="Q68" s="147">
        <v>1126.76</v>
      </c>
      <c r="R68" s="360">
        <v>1126.76</v>
      </c>
      <c r="S68" s="280">
        <f t="shared" si="24"/>
        <v>0</v>
      </c>
      <c r="T68" s="147">
        <v>1430</v>
      </c>
      <c r="U68" s="360">
        <v>1430</v>
      </c>
      <c r="V68" s="280">
        <f>IF(T68=0, "    ---- ", IF(ABS(ROUND(100/T68*U68-100,1))&lt;999,ROUND(100/T68*U68-100,1),IF(ROUND(100/T68*U68-100,1)&gt;999,999,-999)))</f>
        <v>0</v>
      </c>
      <c r="W68" s="147">
        <v>4972.6959999999999</v>
      </c>
      <c r="X68" s="360">
        <v>4972.6955527999999</v>
      </c>
      <c r="Y68" s="280">
        <f t="shared" si="26"/>
        <v>0</v>
      </c>
      <c r="Z68" s="147">
        <v>16373.951613499999</v>
      </c>
      <c r="AA68" s="360">
        <v>17931.426817740001</v>
      </c>
      <c r="AB68" s="280">
        <f t="shared" si="27"/>
        <v>9.5</v>
      </c>
      <c r="AC68" s="147">
        <v>86</v>
      </c>
      <c r="AD68" s="360">
        <v>86</v>
      </c>
      <c r="AE68" s="280">
        <f>IF(AC68=0, "    ---- ", IF(ABS(ROUND(100/AC68*AD68-100,1))&lt;999,ROUND(100/AC68*AD68-100,1),IF(ROUND(100/AC68*AD68-100,1)&gt;999,999,-999)))</f>
        <v>0</v>
      </c>
      <c r="AF68" s="400">
        <f t="shared" ref="AF68:AG71" si="38">B68+E68+H68+K68+N68+Q68+T68+W68+Z68</f>
        <v>59633.991082500012</v>
      </c>
      <c r="AG68" s="400">
        <f t="shared" si="38"/>
        <v>64505.607770540002</v>
      </c>
      <c r="AH68" s="280">
        <f t="shared" si="20"/>
        <v>8.1999999999999993</v>
      </c>
      <c r="AI68" s="400">
        <f t="shared" ref="AI68:AJ71" si="39">B68+E68+H68+K68+N68+Q68+T68+W68+Z68+AC68</f>
        <v>59719.991082500012</v>
      </c>
      <c r="AJ68" s="400">
        <f t="shared" si="39"/>
        <v>64591.607770540002</v>
      </c>
      <c r="AK68" s="361">
        <f t="shared" si="22"/>
        <v>8.1999999999999993</v>
      </c>
    </row>
    <row r="69" spans="1:37" s="372" customFormat="1" ht="20.100000000000001" customHeight="1" x14ac:dyDescent="0.35">
      <c r="A69" s="460" t="s">
        <v>397</v>
      </c>
      <c r="B69" s="709">
        <v>16371.758</v>
      </c>
      <c r="C69" s="360">
        <v>15441.771210000001</v>
      </c>
      <c r="D69" s="280">
        <f t="shared" si="18"/>
        <v>-5.7</v>
      </c>
      <c r="E69" s="147">
        <v>6.0356077400015558</v>
      </c>
      <c r="F69" s="360">
        <v>20.186415299999993</v>
      </c>
      <c r="G69" s="280">
        <f>IF(E69=0, "    ---- ", IF(ABS(ROUND(100/E69*F69-100,1))&lt;999,ROUND(100/E69*F69-100,1),IF(ROUND(100/E69*F69-100,1)&gt;999,999,-999)))</f>
        <v>234.5</v>
      </c>
      <c r="H69" s="147">
        <v>427.25700000000001</v>
      </c>
      <c r="I69" s="360">
        <v>510.06599999999997</v>
      </c>
      <c r="J69" s="280">
        <f>IF(H69=0, "    ---- ", IF(ABS(ROUND(100/H69*I69-100,1))&lt;999,ROUND(100/H69*I69-100,1),IF(ROUND(100/H69*I69-100,1)&gt;999,999,-999)))</f>
        <v>19.399999999999999</v>
      </c>
      <c r="K69" s="147">
        <v>879</v>
      </c>
      <c r="L69" s="360">
        <v>869</v>
      </c>
      <c r="M69" s="357">
        <f>IF(K69=0, "    ---- ", IF(ABS(ROUND(100/K69*L69-100,1))&lt;999,ROUND(100/K69*L69-100,1),IF(ROUND(100/K69*L69-100,1)&gt;999,999,-999)))</f>
        <v>-1.1000000000000001</v>
      </c>
      <c r="N69" s="147">
        <v>21957.925518299999</v>
      </c>
      <c r="O69" s="360">
        <v>23221.410816</v>
      </c>
      <c r="P69" s="280">
        <f t="shared" si="37"/>
        <v>5.8</v>
      </c>
      <c r="Q69" s="147">
        <v>7443.37</v>
      </c>
      <c r="R69" s="360">
        <v>7492.79</v>
      </c>
      <c r="S69" s="280">
        <f t="shared" si="24"/>
        <v>0.7</v>
      </c>
      <c r="T69" s="147">
        <v>11965</v>
      </c>
      <c r="U69" s="360">
        <v>13039</v>
      </c>
      <c r="V69" s="280">
        <f>IF(T69=0, "    ---- ", IF(ABS(ROUND(100/T69*U69-100,1))&lt;999,ROUND(100/T69*U69-100,1),IF(ROUND(100/T69*U69-100,1)&gt;999,999,-999)))</f>
        <v>9</v>
      </c>
      <c r="W69" s="147">
        <v>1054.973</v>
      </c>
      <c r="X69" s="360">
        <v>1012.6275662799986</v>
      </c>
      <c r="Y69" s="280">
        <f t="shared" si="26"/>
        <v>-4</v>
      </c>
      <c r="Z69" s="147">
        <v>8691.8391124722293</v>
      </c>
      <c r="AA69" s="360">
        <v>5688.0860783600001</v>
      </c>
      <c r="AB69" s="280">
        <f t="shared" si="27"/>
        <v>-34.6</v>
      </c>
      <c r="AC69" s="147">
        <v>-122</v>
      </c>
      <c r="AD69" s="360">
        <f>-122-33</f>
        <v>-155</v>
      </c>
      <c r="AE69" s="280">
        <f>IF(AC69=0, "    ---- ", IF(ABS(ROUND(100/AC69*AD69-100,1))&lt;999,ROUND(100/AC69*AD69-100,1),IF(ROUND(100/AC69*AD69-100,1)&gt;999,999,-999)))</f>
        <v>27</v>
      </c>
      <c r="AF69" s="400">
        <f t="shared" si="38"/>
        <v>68797.158238512231</v>
      </c>
      <c r="AG69" s="400">
        <f t="shared" si="38"/>
        <v>67294.938085939997</v>
      </c>
      <c r="AH69" s="280">
        <f t="shared" si="20"/>
        <v>-2.2000000000000002</v>
      </c>
      <c r="AI69" s="400">
        <f t="shared" si="39"/>
        <v>68675.158238512231</v>
      </c>
      <c r="AJ69" s="400">
        <f t="shared" si="39"/>
        <v>67139.938085939997</v>
      </c>
      <c r="AK69" s="361">
        <f t="shared" si="22"/>
        <v>-2.2000000000000002</v>
      </c>
    </row>
    <row r="70" spans="1:37" s="372" customFormat="1" ht="20.100000000000001" customHeight="1" x14ac:dyDescent="0.35">
      <c r="A70" s="460" t="s">
        <v>398</v>
      </c>
      <c r="B70" s="709">
        <v>1471.6210000000001</v>
      </c>
      <c r="C70" s="360">
        <v>1597.9034200000001</v>
      </c>
      <c r="D70" s="280">
        <f>IF(B70=0, "    ---- ", IF(ABS(ROUND(100/B70*C70-100,1))&lt;999,ROUND(100/B70*C70-100,1),IF(ROUND(100/B70*C70-100,1)&gt;999,999,-999)))</f>
        <v>8.6</v>
      </c>
      <c r="E70" s="147"/>
      <c r="F70" s="360"/>
      <c r="G70" s="280"/>
      <c r="H70" s="147"/>
      <c r="I70" s="360"/>
      <c r="J70" s="280"/>
      <c r="K70" s="147">
        <v>70</v>
      </c>
      <c r="L70" s="360">
        <v>164</v>
      </c>
      <c r="M70" s="280">
        <f>IF(K70=0, "    ---- ", IF(ABS(ROUND(100/K70*L70-100,1))&lt;999,ROUND(100/K70*L70-100,1),IF(ROUND(100/K70*L70-100,1)&gt;999,999,-999)))</f>
        <v>134.30000000000001</v>
      </c>
      <c r="N70" s="147">
        <v>3999.0301622100001</v>
      </c>
      <c r="O70" s="360">
        <v>4309.67215691</v>
      </c>
      <c r="P70" s="280">
        <f t="shared" si="37"/>
        <v>7.8</v>
      </c>
      <c r="Q70" s="147">
        <v>310.41000000000003</v>
      </c>
      <c r="R70" s="360">
        <v>347.88</v>
      </c>
      <c r="S70" s="280">
        <f t="shared" si="24"/>
        <v>12.1</v>
      </c>
      <c r="T70" s="147"/>
      <c r="U70" s="360"/>
      <c r="V70" s="280"/>
      <c r="W70" s="147">
        <v>333.52800000000002</v>
      </c>
      <c r="X70" s="360">
        <v>291.18289196000006</v>
      </c>
      <c r="Y70" s="280">
        <f>IF(W70=0, "    ---- ", IF(ABS(ROUND(100/W70*X70-100,1))&lt;999,ROUND(100/W70*X70-100,1),IF(ROUND(100/W70*X70-100,1)&gt;999,999,-999)))</f>
        <v>-12.7</v>
      </c>
      <c r="Z70" s="147">
        <v>1242.29251305</v>
      </c>
      <c r="AA70" s="360">
        <v>1415.9334870499995</v>
      </c>
      <c r="AB70" s="280">
        <f t="shared" si="27"/>
        <v>14</v>
      </c>
      <c r="AC70" s="147">
        <v>1</v>
      </c>
      <c r="AD70" s="360">
        <v>1</v>
      </c>
      <c r="AE70" s="280">
        <f>IF(AC70=0, "    ---- ", IF(ABS(ROUND(100/AC70*AD70-100,1))&lt;999,ROUND(100/AC70*AD70-100,1),IF(ROUND(100/AC70*AD70-100,1)&gt;999,999,-999)))</f>
        <v>0</v>
      </c>
      <c r="AF70" s="400">
        <f t="shared" si="38"/>
        <v>7426.8816752600005</v>
      </c>
      <c r="AG70" s="400">
        <f t="shared" si="38"/>
        <v>8126.5719559199997</v>
      </c>
      <c r="AH70" s="280">
        <f t="shared" si="20"/>
        <v>9.4</v>
      </c>
      <c r="AI70" s="400">
        <f t="shared" si="39"/>
        <v>7427.8816752600005</v>
      </c>
      <c r="AJ70" s="400">
        <f t="shared" si="39"/>
        <v>8127.5719559199997</v>
      </c>
      <c r="AK70" s="361">
        <f t="shared" si="22"/>
        <v>9.4</v>
      </c>
    </row>
    <row r="71" spans="1:37" s="372" customFormat="1" ht="20.100000000000001" customHeight="1" x14ac:dyDescent="0.35">
      <c r="A71" s="460" t="s">
        <v>399</v>
      </c>
      <c r="B71" s="709">
        <v>7000</v>
      </c>
      <c r="C71" s="360">
        <v>5500</v>
      </c>
      <c r="D71" s="280">
        <f t="shared" si="18"/>
        <v>-21.4</v>
      </c>
      <c r="E71" s="147">
        <v>550</v>
      </c>
      <c r="F71" s="360">
        <v>250</v>
      </c>
      <c r="G71" s="280">
        <f>IF(E71=0, "    ---- ", IF(ABS(ROUND(100/E71*F71-100,1))&lt;999,ROUND(100/E71*F71-100,1),IF(ROUND(100/E71*F71-100,1)&gt;999,999,-999)))</f>
        <v>-54.5</v>
      </c>
      <c r="H71" s="147"/>
      <c r="I71" s="360"/>
      <c r="J71" s="280"/>
      <c r="K71" s="147">
        <v>301</v>
      </c>
      <c r="L71" s="360">
        <v>301</v>
      </c>
      <c r="M71" s="280">
        <f>IF(K71=0, "    ---- ", IF(ABS(ROUND(100/K71*L71-100,1))&lt;999,ROUND(100/K71*L71-100,1),IF(ROUND(100/K71*L71-100,1)&gt;999,999,-999)))</f>
        <v>0</v>
      </c>
      <c r="N71" s="147">
        <v>4954.2602640200002</v>
      </c>
      <c r="O71" s="360">
        <v>0</v>
      </c>
      <c r="P71" s="280">
        <f t="shared" si="37"/>
        <v>-100</v>
      </c>
      <c r="Q71" s="147">
        <v>2830</v>
      </c>
      <c r="R71" s="360">
        <v>2000</v>
      </c>
      <c r="S71" s="280">
        <f t="shared" si="24"/>
        <v>-29.3</v>
      </c>
      <c r="T71" s="147"/>
      <c r="U71" s="360"/>
      <c r="V71" s="280"/>
      <c r="W71" s="147"/>
      <c r="X71" s="360"/>
      <c r="Y71" s="280"/>
      <c r="Z71" s="147">
        <v>9978.7163019500003</v>
      </c>
      <c r="AA71" s="360">
        <v>9905.2649065599999</v>
      </c>
      <c r="AB71" s="280">
        <f t="shared" si="27"/>
        <v>-0.7</v>
      </c>
      <c r="AC71" s="147"/>
      <c r="AD71" s="360"/>
      <c r="AE71" s="280"/>
      <c r="AF71" s="400">
        <f t="shared" si="38"/>
        <v>25613.976565969999</v>
      </c>
      <c r="AG71" s="400">
        <f t="shared" si="38"/>
        <v>17956.264906559998</v>
      </c>
      <c r="AH71" s="280">
        <f t="shared" si="20"/>
        <v>-29.9</v>
      </c>
      <c r="AI71" s="400">
        <f t="shared" si="39"/>
        <v>25613.976565969999</v>
      </c>
      <c r="AJ71" s="400">
        <f t="shared" si="39"/>
        <v>17956.264906559998</v>
      </c>
      <c r="AK71" s="361">
        <f t="shared" si="22"/>
        <v>-29.9</v>
      </c>
    </row>
    <row r="72" spans="1:37" s="372" customFormat="1" ht="20.100000000000001" customHeight="1" x14ac:dyDescent="0.35">
      <c r="A72" s="460" t="s">
        <v>400</v>
      </c>
      <c r="B72" s="709"/>
      <c r="C72" s="360"/>
      <c r="D72" s="280"/>
      <c r="E72" s="147"/>
      <c r="F72" s="360"/>
      <c r="G72" s="280"/>
      <c r="H72" s="147"/>
      <c r="I72" s="360"/>
      <c r="J72" s="280"/>
      <c r="K72" s="147"/>
      <c r="L72" s="360"/>
      <c r="M72" s="357"/>
      <c r="N72" s="147"/>
      <c r="O72" s="360"/>
      <c r="P72" s="280"/>
      <c r="Q72" s="147"/>
      <c r="R72" s="360"/>
      <c r="S72" s="280"/>
      <c r="T72" s="147"/>
      <c r="U72" s="360"/>
      <c r="V72" s="280"/>
      <c r="W72" s="147"/>
      <c r="X72" s="360"/>
      <c r="Y72" s="280"/>
      <c r="Z72" s="147"/>
      <c r="AA72" s="360"/>
      <c r="AB72" s="280"/>
      <c r="AC72" s="147"/>
      <c r="AD72" s="360"/>
      <c r="AE72" s="280"/>
      <c r="AF72" s="357"/>
      <c r="AG72" s="357"/>
      <c r="AH72" s="280"/>
      <c r="AI72" s="357"/>
      <c r="AJ72" s="357"/>
      <c r="AK72" s="361"/>
    </row>
    <row r="73" spans="1:37" s="372" customFormat="1" ht="20.100000000000001" customHeight="1" x14ac:dyDescent="0.35">
      <c r="A73" s="460" t="s">
        <v>401</v>
      </c>
      <c r="B73" s="709">
        <v>173177.12700000001</v>
      </c>
      <c r="C73" s="360">
        <v>170368.56677999999</v>
      </c>
      <c r="D73" s="280">
        <f t="shared" si="18"/>
        <v>-1.6</v>
      </c>
      <c r="E73" s="147">
        <v>9686.1368891700004</v>
      </c>
      <c r="F73" s="360">
        <v>10511.113092749996</v>
      </c>
      <c r="G73" s="280">
        <f>IF(E73=0, "    ---- ", IF(ABS(ROUND(100/E73*F73-100,1))&lt;999,ROUND(100/E73*F73-100,1),IF(ROUND(100/E73*F73-100,1)&gt;999,999,-999)))</f>
        <v>8.5</v>
      </c>
      <c r="H73" s="147">
        <v>1992.164</v>
      </c>
      <c r="I73" s="360">
        <v>2360.0610000000001</v>
      </c>
      <c r="J73" s="280">
        <f>IF(H73=0, "    ---- ", IF(ABS(ROUND(100/H73*I73-100,1))&lt;999,ROUND(100/H73*I73-100,1),IF(ROUND(100/H73*I73-100,1)&gt;999,999,-999)))</f>
        <v>18.5</v>
      </c>
      <c r="K73" s="147">
        <v>10495</v>
      </c>
      <c r="L73" s="360">
        <v>11281</v>
      </c>
      <c r="M73" s="357">
        <f>IF(K73=0, "    ---- ", IF(ABS(ROUND(100/K73*L73-100,1))&lt;999,ROUND(100/K73*L73-100,1),IF(ROUND(100/K73*L73-100,1)&gt;999,999,-999)))</f>
        <v>7.5</v>
      </c>
      <c r="N73" s="147">
        <v>613543.38080131996</v>
      </c>
      <c r="O73" s="360">
        <v>658326.35563471995</v>
      </c>
      <c r="P73" s="280">
        <f t="shared" si="37"/>
        <v>7.3</v>
      </c>
      <c r="Q73" s="147">
        <v>47828.81</v>
      </c>
      <c r="R73" s="360">
        <v>48848.59</v>
      </c>
      <c r="S73" s="280">
        <f t="shared" si="24"/>
        <v>2.1</v>
      </c>
      <c r="T73" s="147">
        <v>91509</v>
      </c>
      <c r="U73" s="360">
        <v>96747</v>
      </c>
      <c r="V73" s="280">
        <f>IF(T73=0, "    ---- ", IF(ABS(ROUND(100/T73*U73-100,1))&lt;999,ROUND(100/T73*U73-100,1),IF(ROUND(100/T73*U73-100,1)&gt;999,999,-999)))</f>
        <v>5.7</v>
      </c>
      <c r="W73" s="147">
        <v>20236.294000000002</v>
      </c>
      <c r="X73" s="360">
        <v>22243.782118799976</v>
      </c>
      <c r="Y73" s="280">
        <f t="shared" si="26"/>
        <v>9.9</v>
      </c>
      <c r="Z73" s="147">
        <v>195551.19810974001</v>
      </c>
      <c r="AA73" s="360">
        <v>201885.8791854601</v>
      </c>
      <c r="AB73" s="280">
        <f t="shared" si="27"/>
        <v>3.2</v>
      </c>
      <c r="AC73" s="147">
        <v>121</v>
      </c>
      <c r="AD73" s="360">
        <v>222</v>
      </c>
      <c r="AE73" s="280">
        <f t="shared" ref="AE73:AE77" si="40">IF(AC73=0, "    ---- ", IF(ABS(ROUND(100/AC73*AD73-100,1))&lt;999,ROUND(100/AC73*AD73-100,1),IF(ROUND(100/AC73*AD73-100,1)&gt;999,999,-999)))</f>
        <v>83.5</v>
      </c>
      <c r="AF73" s="400">
        <f t="shared" ref="AF73:AG80" si="41">B73+E73+H73+K73+N73+Q73+T73+W73+Z73</f>
        <v>1164019.1108002299</v>
      </c>
      <c r="AG73" s="400">
        <f t="shared" si="41"/>
        <v>1222572.3478117299</v>
      </c>
      <c r="AH73" s="280">
        <f t="shared" si="20"/>
        <v>5</v>
      </c>
      <c r="AI73" s="400">
        <f t="shared" ref="AI73:AJ80" si="42">B73+E73+H73+K73+N73+Q73+T73+W73+Z73+AC73</f>
        <v>1164140.1108002299</v>
      </c>
      <c r="AJ73" s="400">
        <f t="shared" si="42"/>
        <v>1222794.3478117299</v>
      </c>
      <c r="AK73" s="361">
        <f t="shared" si="22"/>
        <v>5</v>
      </c>
    </row>
    <row r="74" spans="1:37" s="372" customFormat="1" ht="20.100000000000001" customHeight="1" x14ac:dyDescent="0.35">
      <c r="A74" s="739" t="s">
        <v>496</v>
      </c>
      <c r="B74" s="694"/>
      <c r="C74" s="400"/>
      <c r="D74" s="280"/>
      <c r="E74" s="76"/>
      <c r="F74" s="400"/>
      <c r="G74" s="280"/>
      <c r="H74" s="76"/>
      <c r="I74" s="400"/>
      <c r="J74" s="280"/>
      <c r="K74" s="76"/>
      <c r="L74" s="400"/>
      <c r="M74" s="357"/>
      <c r="N74" s="76"/>
      <c r="O74" s="400"/>
      <c r="P74" s="280"/>
      <c r="Q74" s="76"/>
      <c r="R74" s="400"/>
      <c r="S74" s="280"/>
      <c r="T74" s="76"/>
      <c r="U74" s="400"/>
      <c r="V74" s="280"/>
      <c r="W74" s="76"/>
      <c r="X74" s="400"/>
      <c r="Y74" s="280"/>
      <c r="Z74" s="76"/>
      <c r="AA74" s="400"/>
      <c r="AB74" s="280"/>
      <c r="AC74" s="76"/>
      <c r="AD74" s="400"/>
      <c r="AE74" s="280"/>
      <c r="AF74" s="400">
        <f t="shared" si="41"/>
        <v>0</v>
      </c>
      <c r="AG74" s="400">
        <f t="shared" si="41"/>
        <v>0</v>
      </c>
      <c r="AH74" s="280" t="str">
        <f t="shared" si="20"/>
        <v xml:space="preserve">    ---- </v>
      </c>
      <c r="AI74" s="400">
        <f t="shared" si="42"/>
        <v>0</v>
      </c>
      <c r="AJ74" s="400">
        <f t="shared" si="42"/>
        <v>0</v>
      </c>
      <c r="AK74" s="361" t="str">
        <f t="shared" si="22"/>
        <v xml:space="preserve">    ---- </v>
      </c>
    </row>
    <row r="75" spans="1:37" s="372" customFormat="1" ht="20.100000000000001" customHeight="1" x14ac:dyDescent="0.35">
      <c r="A75" s="739" t="s">
        <v>402</v>
      </c>
      <c r="B75" s="694"/>
      <c r="C75" s="400"/>
      <c r="D75" s="280"/>
      <c r="E75" s="76"/>
      <c r="F75" s="400"/>
      <c r="G75" s="280"/>
      <c r="H75" s="76"/>
      <c r="I75" s="400"/>
      <c r="J75" s="280"/>
      <c r="K75" s="76"/>
      <c r="L75" s="400"/>
      <c r="M75" s="357"/>
      <c r="N75" s="76">
        <v>1E-8</v>
      </c>
      <c r="O75" s="400">
        <v>1E-8</v>
      </c>
      <c r="P75" s="280">
        <f t="shared" si="37"/>
        <v>0</v>
      </c>
      <c r="Q75" s="76"/>
      <c r="R75" s="400"/>
      <c r="S75" s="280"/>
      <c r="T75" s="76"/>
      <c r="U75" s="400"/>
      <c r="V75" s="280"/>
      <c r="W75" s="76"/>
      <c r="X75" s="400"/>
      <c r="Y75" s="280"/>
      <c r="Z75" s="76">
        <v>3.4600000000000001E-4</v>
      </c>
      <c r="AA75" s="400">
        <v>66.546062990000038</v>
      </c>
      <c r="AB75" s="280">
        <f t="shared" si="27"/>
        <v>999</v>
      </c>
      <c r="AC75" s="76"/>
      <c r="AD75" s="400"/>
      <c r="AE75" s="280"/>
      <c r="AF75" s="400">
        <f t="shared" si="41"/>
        <v>3.4601E-4</v>
      </c>
      <c r="AG75" s="400">
        <f t="shared" si="41"/>
        <v>66.546063000000032</v>
      </c>
      <c r="AH75" s="280">
        <f t="shared" si="20"/>
        <v>999</v>
      </c>
      <c r="AI75" s="400">
        <f t="shared" si="42"/>
        <v>3.4601E-4</v>
      </c>
      <c r="AJ75" s="400">
        <f t="shared" si="42"/>
        <v>66.546063000000032</v>
      </c>
      <c r="AK75" s="361">
        <f t="shared" si="22"/>
        <v>999</v>
      </c>
    </row>
    <row r="76" spans="1:37" s="372" customFormat="1" ht="20.100000000000001" customHeight="1" x14ac:dyDescent="0.35">
      <c r="A76" s="460" t="s">
        <v>403</v>
      </c>
      <c r="B76" s="709">
        <v>7680.7510000000002</v>
      </c>
      <c r="C76" s="360">
        <v>9124.1888299999991</v>
      </c>
      <c r="D76" s="280">
        <f>IF(B76=0, "    ---- ", IF(ABS(ROUND(100/B76*C76-100,1))&lt;999,ROUND(100/B76*C76-100,1),IF(ROUND(100/B76*C76-100,1)&gt;999,999,-999)))</f>
        <v>18.8</v>
      </c>
      <c r="E76" s="147">
        <v>9.13512111</v>
      </c>
      <c r="F76" s="360">
        <v>16.836259469999998</v>
      </c>
      <c r="G76" s="280">
        <f>IF(E76=0, "    ---- ", IF(ABS(ROUND(100/E76*F76-100,1))&lt;999,ROUND(100/E76*F76-100,1),IF(ROUND(100/E76*F76-100,1)&gt;999,999,-999)))</f>
        <v>84.3</v>
      </c>
      <c r="H76" s="147"/>
      <c r="I76" s="360"/>
      <c r="J76" s="280"/>
      <c r="K76" s="76">
        <v>315</v>
      </c>
      <c r="L76" s="360">
        <v>399</v>
      </c>
      <c r="M76" s="280">
        <f>IF(K76=0, "    ---- ", IF(ABS(ROUND(100/K76*L76-100,1))&lt;999,ROUND(100/K76*L76-100,1),IF(ROUND(100/K76*L76-100,1)&gt;999,999,-999)))</f>
        <v>26.7</v>
      </c>
      <c r="N76" s="147">
        <v>122975.73772664</v>
      </c>
      <c r="O76" s="360">
        <v>144513.70622804001</v>
      </c>
      <c r="P76" s="280">
        <f>IF(N76=0, "    ---- ", IF(ABS(ROUND(100/N76*O76-100,1))&lt;999,ROUND(100/N76*O76-100,1),IF(ROUND(100/N76*O76-100,1)&gt;999,999,-999)))</f>
        <v>17.5</v>
      </c>
      <c r="Q76" s="147">
        <v>5898.67</v>
      </c>
      <c r="R76" s="360">
        <v>6215.31</v>
      </c>
      <c r="S76" s="280">
        <f>IF(Q76=0, "    ---- ", IF(ABS(ROUND(100/Q76*R76-100,1))&lt;999,ROUND(100/Q76*R76-100,1),IF(ROUND(100/Q76*R76-100,1)&gt;999,999,-999)))</f>
        <v>5.4</v>
      </c>
      <c r="T76" s="147">
        <v>32468</v>
      </c>
      <c r="U76" s="360">
        <v>36219</v>
      </c>
      <c r="V76" s="280">
        <f>IF(T76=0, "    ---- ", IF(ABS(ROUND(100/T76*U76-100,1))&lt;999,ROUND(100/T76*U76-100,1),IF(ROUND(100/T76*U76-100,1)&gt;999,999,-999)))</f>
        <v>11.6</v>
      </c>
      <c r="W76" s="147">
        <v>3721.5659999999998</v>
      </c>
      <c r="X76" s="360">
        <v>4085.2558919600019</v>
      </c>
      <c r="Y76" s="280">
        <f>IF(W76=0, "    ---- ", IF(ABS(ROUND(100/W76*X76-100,1))&lt;999,ROUND(100/W76*X76-100,1),IF(ROUND(100/W76*X76-100,1)&gt;999,999,-999)))</f>
        <v>9.8000000000000007</v>
      </c>
      <c r="Z76" s="147">
        <v>14128.322942270001</v>
      </c>
      <c r="AA76" s="360">
        <v>16849.178522760001</v>
      </c>
      <c r="AB76" s="280">
        <f>IF(Z76=0, "    ---- ", IF(ABS(ROUND(100/Z76*AA76-100,1))&lt;999,ROUND(100/Z76*AA76-100,1),IF(ROUND(100/Z76*AA76-100,1)&gt;999,999,-999)))</f>
        <v>19.3</v>
      </c>
      <c r="AC76" s="147">
        <v>2</v>
      </c>
      <c r="AD76" s="360">
        <v>3</v>
      </c>
      <c r="AE76" s="280">
        <f t="shared" si="40"/>
        <v>50</v>
      </c>
      <c r="AF76" s="400">
        <f t="shared" si="41"/>
        <v>187197.18279001999</v>
      </c>
      <c r="AG76" s="400">
        <f t="shared" si="41"/>
        <v>217422.47573223</v>
      </c>
      <c r="AH76" s="280">
        <f>IF(AF76=0, "    ---- ", IF(ABS(ROUND(100/AF76*AG76-100,1))&lt;999,ROUND(100/AF76*AG76-100,1),IF(ROUND(100/AF76*AG76-100,1)&gt;999,999,-999)))</f>
        <v>16.100000000000001</v>
      </c>
      <c r="AI76" s="400">
        <f t="shared" si="42"/>
        <v>187199.18279001999</v>
      </c>
      <c r="AJ76" s="400">
        <f t="shared" si="42"/>
        <v>217425.47573223</v>
      </c>
      <c r="AK76" s="280">
        <f>IF(AI76=0, "    ---- ", IF(ABS(ROUND(100/AI76*AJ76-100,1))&lt;999,ROUND(100/AI76*AJ76-100,1),IF(ROUND(100/AI76*AJ76-100,1)&gt;999,999,-999)))</f>
        <v>16.100000000000001</v>
      </c>
    </row>
    <row r="77" spans="1:37" s="372" customFormat="1" ht="20.100000000000001" customHeight="1" x14ac:dyDescent="0.35">
      <c r="A77" s="460" t="s">
        <v>404</v>
      </c>
      <c r="B77" s="709">
        <v>341.47899999999998</v>
      </c>
      <c r="C77" s="360">
        <v>381.19900999999999</v>
      </c>
      <c r="D77" s="280">
        <f t="shared" si="18"/>
        <v>11.6</v>
      </c>
      <c r="E77" s="147"/>
      <c r="F77" s="360"/>
      <c r="G77" s="280"/>
      <c r="H77" s="147"/>
      <c r="I77" s="360"/>
      <c r="J77" s="280"/>
      <c r="K77" s="147">
        <v>39</v>
      </c>
      <c r="L77" s="360">
        <v>111</v>
      </c>
      <c r="M77" s="357">
        <f>IF(K77=0, "    ---- ", IF(ABS(ROUND(100/K77*L77-100,1))&lt;999,ROUND(100/K77*L77-100,1),IF(ROUND(100/K77*L77-100,1)&gt;999,999,-999)))</f>
        <v>184.6</v>
      </c>
      <c r="N77" s="147">
        <v>63370.699209650003</v>
      </c>
      <c r="O77" s="360">
        <v>64698.55573362</v>
      </c>
      <c r="P77" s="280">
        <f t="shared" si="37"/>
        <v>2.1</v>
      </c>
      <c r="Q77" s="147">
        <v>1020.87</v>
      </c>
      <c r="R77" s="360">
        <v>1133.6300000000001</v>
      </c>
      <c r="S77" s="280">
        <f t="shared" si="24"/>
        <v>11</v>
      </c>
      <c r="T77" s="147">
        <v>6143</v>
      </c>
      <c r="U77" s="360">
        <v>7555</v>
      </c>
      <c r="V77" s="280">
        <f>IF(T77=0, "    ---- ", IF(ABS(ROUND(100/T77*U77-100,1))&lt;999,ROUND(100/T77*U77-100,1),IF(ROUND(100/T77*U77-100,1)&gt;999,999,-999)))</f>
        <v>23</v>
      </c>
      <c r="W77" s="147">
        <v>275.39699999999999</v>
      </c>
      <c r="X77" s="360">
        <v>301.28660088999982</v>
      </c>
      <c r="Y77" s="280">
        <f t="shared" si="26"/>
        <v>9.4</v>
      </c>
      <c r="Z77" s="147">
        <v>3908.4173929899998</v>
      </c>
      <c r="AA77" s="360">
        <v>5564.7678650000007</v>
      </c>
      <c r="AB77" s="280">
        <f t="shared" si="27"/>
        <v>42.4</v>
      </c>
      <c r="AC77" s="147">
        <v>5</v>
      </c>
      <c r="AD77" s="360">
        <v>5</v>
      </c>
      <c r="AE77" s="280">
        <f t="shared" si="40"/>
        <v>0</v>
      </c>
      <c r="AF77" s="400">
        <f t="shared" si="41"/>
        <v>75098.862602640002</v>
      </c>
      <c r="AG77" s="400">
        <f t="shared" si="41"/>
        <v>79745.439209510005</v>
      </c>
      <c r="AH77" s="280">
        <f t="shared" si="20"/>
        <v>6.2</v>
      </c>
      <c r="AI77" s="400">
        <f t="shared" si="42"/>
        <v>75103.862602640002</v>
      </c>
      <c r="AJ77" s="400">
        <f t="shared" si="42"/>
        <v>79750.439209510005</v>
      </c>
      <c r="AK77" s="361">
        <f t="shared" si="22"/>
        <v>6.2</v>
      </c>
    </row>
    <row r="78" spans="1:37" s="372" customFormat="1" ht="20.100000000000001" customHeight="1" x14ac:dyDescent="0.35">
      <c r="A78" s="460" t="s">
        <v>405</v>
      </c>
      <c r="B78" s="709">
        <v>3478.5079999999998</v>
      </c>
      <c r="C78" s="360">
        <v>3648.3559599999999</v>
      </c>
      <c r="D78" s="280">
        <f t="shared" si="18"/>
        <v>4.9000000000000004</v>
      </c>
      <c r="E78" s="147"/>
      <c r="F78" s="360"/>
      <c r="G78" s="280"/>
      <c r="H78" s="147">
        <v>67.652000000000001</v>
      </c>
      <c r="I78" s="360">
        <v>79.58</v>
      </c>
      <c r="J78" s="280">
        <f>IF(H78=0, "    ---- ", IF(ABS(ROUND(100/H78*I78-100,1))&lt;999,ROUND(100/H78*I78-100,1),IF(ROUND(100/H78*I78-100,1)&gt;999,999,-999)))</f>
        <v>17.600000000000001</v>
      </c>
      <c r="K78" s="147"/>
      <c r="L78" s="360"/>
      <c r="M78" s="357"/>
      <c r="N78" s="147"/>
      <c r="O78" s="360"/>
      <c r="P78" s="280"/>
      <c r="Q78" s="147"/>
      <c r="R78" s="360"/>
      <c r="S78" s="280"/>
      <c r="T78" s="147"/>
      <c r="U78" s="360"/>
      <c r="V78" s="280"/>
      <c r="W78" s="147"/>
      <c r="X78" s="360"/>
      <c r="Y78" s="280"/>
      <c r="Z78" s="147">
        <v>905.25723943000003</v>
      </c>
      <c r="AA78" s="360">
        <v>1014.8043098399999</v>
      </c>
      <c r="AB78" s="280">
        <f t="shared" si="27"/>
        <v>12.1</v>
      </c>
      <c r="AC78" s="147"/>
      <c r="AD78" s="360"/>
      <c r="AE78" s="280"/>
      <c r="AF78" s="400">
        <f t="shared" si="41"/>
        <v>4451.4172394300003</v>
      </c>
      <c r="AG78" s="400">
        <f t="shared" si="41"/>
        <v>4742.7402698400001</v>
      </c>
      <c r="AH78" s="280">
        <f t="shared" si="20"/>
        <v>6.5</v>
      </c>
      <c r="AI78" s="400">
        <f t="shared" si="42"/>
        <v>4451.4172394300003</v>
      </c>
      <c r="AJ78" s="400">
        <f t="shared" si="42"/>
        <v>4742.7402698400001</v>
      </c>
      <c r="AK78" s="361">
        <f t="shared" si="22"/>
        <v>6.5</v>
      </c>
    </row>
    <row r="79" spans="1:37" s="372" customFormat="1" ht="20.100000000000001" customHeight="1" x14ac:dyDescent="0.35">
      <c r="A79" s="460" t="s">
        <v>406</v>
      </c>
      <c r="B79" s="709"/>
      <c r="C79" s="360"/>
      <c r="D79" s="280"/>
      <c r="E79" s="147"/>
      <c r="F79" s="360"/>
      <c r="G79" s="280"/>
      <c r="H79" s="147"/>
      <c r="I79" s="360"/>
      <c r="J79" s="280"/>
      <c r="K79" s="147"/>
      <c r="L79" s="360"/>
      <c r="M79" s="357"/>
      <c r="N79" s="147"/>
      <c r="O79" s="360"/>
      <c r="P79" s="280"/>
      <c r="Q79" s="147"/>
      <c r="R79" s="360"/>
      <c r="S79" s="280"/>
      <c r="T79" s="147"/>
      <c r="U79" s="360"/>
      <c r="V79" s="280"/>
      <c r="W79" s="147"/>
      <c r="X79" s="360">
        <v>-9.6000025421380995E-7</v>
      </c>
      <c r="Y79" s="280" t="str">
        <f t="shared" si="26"/>
        <v xml:space="preserve">    ---- </v>
      </c>
      <c r="Z79" s="147"/>
      <c r="AA79" s="360"/>
      <c r="AB79" s="280"/>
      <c r="AC79" s="147"/>
      <c r="AD79" s="360"/>
      <c r="AE79" s="280"/>
      <c r="AF79" s="400">
        <f t="shared" si="41"/>
        <v>0</v>
      </c>
      <c r="AG79" s="400">
        <f t="shared" si="41"/>
        <v>-9.6000025421380995E-7</v>
      </c>
      <c r="AH79" s="280" t="str">
        <f t="shared" si="20"/>
        <v xml:space="preserve">    ---- </v>
      </c>
      <c r="AI79" s="400">
        <f t="shared" si="42"/>
        <v>0</v>
      </c>
      <c r="AJ79" s="400">
        <f t="shared" si="42"/>
        <v>-9.6000025421380995E-7</v>
      </c>
      <c r="AK79" s="361" t="str">
        <f t="shared" si="22"/>
        <v xml:space="preserve">    ---- </v>
      </c>
    </row>
    <row r="80" spans="1:37" s="372" customFormat="1" ht="20.100000000000001" customHeight="1" x14ac:dyDescent="0.35">
      <c r="A80" s="493" t="s">
        <v>407</v>
      </c>
      <c r="B80" s="709">
        <f>SUM(B73:B79)</f>
        <v>184677.86499999999</v>
      </c>
      <c r="C80" s="360">
        <f>SUM(C73:C79)</f>
        <v>183522.31057999999</v>
      </c>
      <c r="D80" s="280">
        <f t="shared" si="18"/>
        <v>-0.6</v>
      </c>
      <c r="E80" s="147">
        <f>SUM(E73:E79)</f>
        <v>9695.2720102800013</v>
      </c>
      <c r="F80" s="360">
        <f>SUM(F73:F79)</f>
        <v>10527.949352219995</v>
      </c>
      <c r="G80" s="280">
        <f>IF(E80=0, "    ---- ", IF(ABS(ROUND(100/E80*F80-100,1))&lt;999,ROUND(100/E80*F80-100,1),IF(ROUND(100/E80*F80-100,1)&gt;999,999,-999)))</f>
        <v>8.6</v>
      </c>
      <c r="H80" s="147">
        <f>SUM(H73:H79)</f>
        <v>2059.8159999999998</v>
      </c>
      <c r="I80" s="360">
        <f>SUM(I73:I79)</f>
        <v>2439.6410000000001</v>
      </c>
      <c r="J80" s="280">
        <f>IF(H80=0, "    ---- ", IF(ABS(ROUND(100/H80*I80-100,1))&lt;999,ROUND(100/H80*I80-100,1),IF(ROUND(100/H80*I80-100,1)&gt;999,999,-999)))</f>
        <v>18.399999999999999</v>
      </c>
      <c r="K80" s="147">
        <f>SUM(K73:K79)</f>
        <v>10849</v>
      </c>
      <c r="L80" s="360">
        <f>SUM(L73:L79)</f>
        <v>11791</v>
      </c>
      <c r="M80" s="357">
        <f>IF(K80=0, "    ---- ", IF(ABS(ROUND(100/K80*L80-100,1))&lt;999,ROUND(100/K80*L80-100,1),IF(ROUND(100/K80*L80-100,1)&gt;999,999,-999)))</f>
        <v>8.6999999999999993</v>
      </c>
      <c r="N80" s="147">
        <v>799889.81773761997</v>
      </c>
      <c r="O80" s="360">
        <v>867538.61759638996</v>
      </c>
      <c r="P80" s="280">
        <f t="shared" si="37"/>
        <v>8.5</v>
      </c>
      <c r="Q80" s="147">
        <f>SUM(Q73:Q79)</f>
        <v>54748.35</v>
      </c>
      <c r="R80" s="360">
        <f>SUM(R73:R79)</f>
        <v>56197.529999999992</v>
      </c>
      <c r="S80" s="280">
        <f t="shared" si="24"/>
        <v>2.6</v>
      </c>
      <c r="T80" s="147">
        <f>SUM(T73:T79)</f>
        <v>130120</v>
      </c>
      <c r="U80" s="360">
        <f>SUM(U73:U79)</f>
        <v>140521</v>
      </c>
      <c r="V80" s="280">
        <f>IF(T80=0, "    ---- ", IF(ABS(ROUND(100/T80*U80-100,1))&lt;999,ROUND(100/T80*U80-100,1),IF(ROUND(100/T80*U80-100,1)&gt;999,999,-999)))</f>
        <v>8</v>
      </c>
      <c r="W80" s="147">
        <f>SUM(W73:W79)</f>
        <v>24233.257000000001</v>
      </c>
      <c r="X80" s="360">
        <f>SUM(X73:X79)</f>
        <v>26630.324610689975</v>
      </c>
      <c r="Y80" s="280">
        <f t="shared" si="26"/>
        <v>9.9</v>
      </c>
      <c r="Z80" s="147">
        <f>SUM(Z73:Z79)</f>
        <v>214493.19603043</v>
      </c>
      <c r="AA80" s="360">
        <f>SUM(AA73:AA79)</f>
        <v>225381.17594605009</v>
      </c>
      <c r="AB80" s="280">
        <f t="shared" si="27"/>
        <v>5.0999999999999996</v>
      </c>
      <c r="AC80" s="147">
        <f>SUM(AC73:AC79)</f>
        <v>128</v>
      </c>
      <c r="AD80" s="360">
        <f>SUM(AD73:AD79)</f>
        <v>230</v>
      </c>
      <c r="AE80" s="280">
        <f>IF(AC80=0, "    ---- ", IF(ABS(ROUND(100/AC80*AD80-100,1))&lt;999,ROUND(100/AC80*AD80-100,1),IF(ROUND(100/AC80*AD80-100,1)&gt;999,999,-999)))</f>
        <v>79.7</v>
      </c>
      <c r="AF80" s="400">
        <f t="shared" si="41"/>
        <v>1430766.5737783301</v>
      </c>
      <c r="AG80" s="400">
        <f t="shared" si="41"/>
        <v>1524549.54908535</v>
      </c>
      <c r="AH80" s="280">
        <f t="shared" si="20"/>
        <v>6.6</v>
      </c>
      <c r="AI80" s="400">
        <f t="shared" si="42"/>
        <v>1430894.5737783301</v>
      </c>
      <c r="AJ80" s="400">
        <f t="shared" si="42"/>
        <v>1524779.54908535</v>
      </c>
      <c r="AK80" s="361">
        <f t="shared" si="22"/>
        <v>6.6</v>
      </c>
    </row>
    <row r="81" spans="1:37" s="372" customFormat="1" ht="20.100000000000001" customHeight="1" x14ac:dyDescent="0.35">
      <c r="A81" s="460" t="s">
        <v>408</v>
      </c>
      <c r="B81" s="709"/>
      <c r="C81" s="360"/>
      <c r="D81" s="280"/>
      <c r="E81" s="147"/>
      <c r="F81" s="360"/>
      <c r="G81" s="280"/>
      <c r="H81" s="147"/>
      <c r="I81" s="360"/>
      <c r="J81" s="280"/>
      <c r="K81" s="147"/>
      <c r="L81" s="360"/>
      <c r="M81" s="357"/>
      <c r="N81" s="147"/>
      <c r="O81" s="360"/>
      <c r="P81" s="280"/>
      <c r="Q81" s="147"/>
      <c r="R81" s="360"/>
      <c r="S81" s="280"/>
      <c r="T81" s="147"/>
      <c r="U81" s="360"/>
      <c r="V81" s="280"/>
      <c r="W81" s="147"/>
      <c r="X81" s="360"/>
      <c r="Y81" s="280"/>
      <c r="Z81" s="147"/>
      <c r="AA81" s="360"/>
      <c r="AB81" s="280"/>
      <c r="AC81" s="147"/>
      <c r="AD81" s="360"/>
      <c r="AE81" s="280"/>
      <c r="AF81" s="357"/>
      <c r="AG81" s="357"/>
      <c r="AH81" s="280"/>
      <c r="AI81" s="357"/>
      <c r="AJ81" s="357"/>
      <c r="AK81" s="361"/>
    </row>
    <row r="82" spans="1:37" s="372" customFormat="1" ht="20.100000000000001" customHeight="1" x14ac:dyDescent="0.35">
      <c r="A82" s="460" t="s">
        <v>409</v>
      </c>
      <c r="B82" s="709">
        <v>202011.88399999999</v>
      </c>
      <c r="C82" s="360">
        <v>245706.15179</v>
      </c>
      <c r="D82" s="280">
        <f t="shared" si="18"/>
        <v>21.6</v>
      </c>
      <c r="E82" s="147"/>
      <c r="F82" s="360"/>
      <c r="G82" s="280"/>
      <c r="H82" s="147"/>
      <c r="I82" s="360"/>
      <c r="J82" s="280"/>
      <c r="K82" s="147">
        <v>76786</v>
      </c>
      <c r="L82" s="360">
        <v>91474</v>
      </c>
      <c r="M82" s="357">
        <f>IF(K82=0, "    ---- ", IF(ABS(ROUND(100/K82*L82-100,1))&lt;999,ROUND(100/K82*L82-100,1),IF(ROUND(100/K82*L82-100,1)&gt;999,999,-999)))</f>
        <v>19.100000000000001</v>
      </c>
      <c r="N82" s="147">
        <v>2290.2169535399998</v>
      </c>
      <c r="O82" s="360">
        <v>2400.0454005400002</v>
      </c>
      <c r="P82" s="280">
        <f t="shared" ref="P82:P93" si="43">IF(N82=0, "    ---- ", IF(ABS(ROUND(100/N82*O82-100,1))&lt;999,ROUND(100/N82*O82-100,1),IF(ROUND(100/N82*O82-100,1)&gt;999,999,-999)))</f>
        <v>4.8</v>
      </c>
      <c r="Q82" s="147">
        <v>184044.04</v>
      </c>
      <c r="R82" s="360">
        <v>215644.49</v>
      </c>
      <c r="S82" s="280">
        <f t="shared" si="24"/>
        <v>17.2</v>
      </c>
      <c r="T82" s="147"/>
      <c r="U82" s="360"/>
      <c r="V82" s="280"/>
      <c r="W82" s="147">
        <v>82844.668000000005</v>
      </c>
      <c r="X82" s="360">
        <v>96664.130364659883</v>
      </c>
      <c r="Y82" s="280">
        <f t="shared" si="26"/>
        <v>16.7</v>
      </c>
      <c r="Z82" s="147">
        <v>248179.15064440001</v>
      </c>
      <c r="AA82" s="360">
        <v>282147.47801427962</v>
      </c>
      <c r="AB82" s="280">
        <f t="shared" si="27"/>
        <v>13.7</v>
      </c>
      <c r="AC82" s="147"/>
      <c r="AD82" s="360"/>
      <c r="AE82" s="280"/>
      <c r="AF82" s="400">
        <f t="shared" ref="AF82:AG91" si="44">B82+E82+H82+K82+N82+Q82+T82+W82+Z82</f>
        <v>796155.95959793997</v>
      </c>
      <c r="AG82" s="400">
        <f t="shared" si="44"/>
        <v>934036.29556947947</v>
      </c>
      <c r="AH82" s="280">
        <f t="shared" si="20"/>
        <v>17.3</v>
      </c>
      <c r="AI82" s="400">
        <f t="shared" ref="AI82:AJ91" si="45">B82+E82+H82+K82+N82+Q82+T82+W82+Z82+AC82</f>
        <v>796155.95959793997</v>
      </c>
      <c r="AJ82" s="400">
        <f t="shared" si="45"/>
        <v>934036.29556947947</v>
      </c>
      <c r="AK82" s="361">
        <f t="shared" si="22"/>
        <v>17.3</v>
      </c>
    </row>
    <row r="83" spans="1:37" s="372" customFormat="1" ht="20.100000000000001" customHeight="1" x14ac:dyDescent="0.35">
      <c r="A83" s="739" t="s">
        <v>496</v>
      </c>
      <c r="B83" s="694"/>
      <c r="C83" s="400"/>
      <c r="D83" s="280"/>
      <c r="E83" s="76"/>
      <c r="F83" s="400"/>
      <c r="G83" s="280"/>
      <c r="H83" s="76"/>
      <c r="I83" s="400"/>
      <c r="J83" s="280"/>
      <c r="K83" s="76"/>
      <c r="L83" s="400"/>
      <c r="M83" s="280"/>
      <c r="N83" s="76"/>
      <c r="O83" s="400"/>
      <c r="P83" s="280"/>
      <c r="Q83" s="76"/>
      <c r="R83" s="400"/>
      <c r="S83" s="280"/>
      <c r="T83" s="76"/>
      <c r="U83" s="400"/>
      <c r="V83" s="280"/>
      <c r="W83" s="76"/>
      <c r="X83" s="400"/>
      <c r="Y83" s="280"/>
      <c r="Z83" s="76"/>
      <c r="AA83" s="400"/>
      <c r="AB83" s="280"/>
      <c r="AC83" s="76"/>
      <c r="AD83" s="400"/>
      <c r="AE83" s="280"/>
      <c r="AF83" s="400">
        <f t="shared" si="44"/>
        <v>0</v>
      </c>
      <c r="AG83" s="400">
        <f t="shared" si="44"/>
        <v>0</v>
      </c>
      <c r="AH83" s="280" t="str">
        <f t="shared" si="20"/>
        <v xml:space="preserve">    ---- </v>
      </c>
      <c r="AI83" s="400">
        <f t="shared" si="45"/>
        <v>0</v>
      </c>
      <c r="AJ83" s="400">
        <f t="shared" si="45"/>
        <v>0</v>
      </c>
      <c r="AK83" s="361" t="str">
        <f t="shared" si="22"/>
        <v xml:space="preserve">    ---- </v>
      </c>
    </row>
    <row r="84" spans="1:37" s="372" customFormat="1" ht="20.100000000000001" customHeight="1" x14ac:dyDescent="0.35">
      <c r="A84" s="460" t="s">
        <v>410</v>
      </c>
      <c r="B84" s="709"/>
      <c r="C84" s="360"/>
      <c r="D84" s="280"/>
      <c r="E84" s="147"/>
      <c r="F84" s="360"/>
      <c r="G84" s="280"/>
      <c r="H84" s="147"/>
      <c r="I84" s="360"/>
      <c r="J84" s="280"/>
      <c r="K84" s="147"/>
      <c r="L84" s="360"/>
      <c r="M84" s="280"/>
      <c r="N84" s="147">
        <v>259.79510754</v>
      </c>
      <c r="O84" s="360">
        <v>376.82027805000001</v>
      </c>
      <c r="P84" s="280">
        <f t="shared" si="43"/>
        <v>45</v>
      </c>
      <c r="Q84" s="147"/>
      <c r="R84" s="360"/>
      <c r="S84" s="280"/>
      <c r="T84" s="147"/>
      <c r="U84" s="360"/>
      <c r="V84" s="280"/>
      <c r="W84" s="147"/>
      <c r="X84" s="360"/>
      <c r="Y84" s="280"/>
      <c r="Z84" s="147"/>
      <c r="AA84" s="360"/>
      <c r="AB84" s="280"/>
      <c r="AC84" s="147"/>
      <c r="AD84" s="360"/>
      <c r="AE84" s="280"/>
      <c r="AF84" s="400">
        <f t="shared" si="44"/>
        <v>259.79510754</v>
      </c>
      <c r="AG84" s="400">
        <f t="shared" si="44"/>
        <v>376.82027805000001</v>
      </c>
      <c r="AH84" s="280"/>
      <c r="AI84" s="400">
        <f t="shared" si="45"/>
        <v>259.79510754</v>
      </c>
      <c r="AJ84" s="400">
        <f t="shared" si="45"/>
        <v>376.82027805000001</v>
      </c>
      <c r="AK84" s="361"/>
    </row>
    <row r="85" spans="1:37" s="372" customFormat="1" ht="20.100000000000001" customHeight="1" x14ac:dyDescent="0.35">
      <c r="A85" s="460" t="s">
        <v>411</v>
      </c>
      <c r="B85" s="709">
        <v>242.99700000000001</v>
      </c>
      <c r="C85" s="280">
        <v>82.250370000000004</v>
      </c>
      <c r="D85" s="280">
        <f t="shared" si="18"/>
        <v>-66.2</v>
      </c>
      <c r="E85" s="468"/>
      <c r="F85" s="280"/>
      <c r="G85" s="280"/>
      <c r="H85" s="468"/>
      <c r="I85" s="280"/>
      <c r="J85" s="280"/>
      <c r="K85" s="468">
        <v>106</v>
      </c>
      <c r="L85" s="280">
        <v>106</v>
      </c>
      <c r="M85" s="280">
        <f>IF(K85=0, "    ---- ", IF(ABS(ROUND(100/K85*L85-100,1))&lt;999,ROUND(100/K85*L85-100,1),IF(ROUND(100/K85*L85-100,1)&gt;999,999,-999)))</f>
        <v>0</v>
      </c>
      <c r="N85" s="147">
        <v>596.55018525000003</v>
      </c>
      <c r="O85" s="280">
        <v>613.44864267999992</v>
      </c>
      <c r="P85" s="280">
        <f t="shared" si="43"/>
        <v>2.8</v>
      </c>
      <c r="Q85" s="468"/>
      <c r="R85" s="280"/>
      <c r="S85" s="280"/>
      <c r="T85" s="468"/>
      <c r="U85" s="280"/>
      <c r="V85" s="280"/>
      <c r="W85" s="468">
        <v>911.24400000000003</v>
      </c>
      <c r="X85" s="280">
        <v>1085.5131577299996</v>
      </c>
      <c r="Y85" s="280">
        <f t="shared" si="26"/>
        <v>19.100000000000001</v>
      </c>
      <c r="Z85" s="468"/>
      <c r="AA85" s="280"/>
      <c r="AB85" s="280"/>
      <c r="AC85" s="468"/>
      <c r="AD85" s="280"/>
      <c r="AE85" s="280"/>
      <c r="AF85" s="400">
        <f t="shared" si="44"/>
        <v>1856.7911852500001</v>
      </c>
      <c r="AG85" s="400">
        <f t="shared" si="44"/>
        <v>1887.2121704099995</v>
      </c>
      <c r="AH85" s="280">
        <f t="shared" si="20"/>
        <v>1.6</v>
      </c>
      <c r="AI85" s="400">
        <f t="shared" si="45"/>
        <v>1856.7911852500001</v>
      </c>
      <c r="AJ85" s="400">
        <f t="shared" si="45"/>
        <v>1887.2121704099995</v>
      </c>
      <c r="AK85" s="361">
        <f t="shared" si="22"/>
        <v>1.6</v>
      </c>
    </row>
    <row r="86" spans="1:37" s="372" customFormat="1" ht="20.100000000000001" customHeight="1" x14ac:dyDescent="0.35">
      <c r="A86" s="460" t="s">
        <v>406</v>
      </c>
      <c r="B86" s="709"/>
      <c r="C86" s="360"/>
      <c r="D86" s="360"/>
      <c r="E86" s="147"/>
      <c r="F86" s="360"/>
      <c r="G86" s="360"/>
      <c r="H86" s="147"/>
      <c r="I86" s="360"/>
      <c r="J86" s="360"/>
      <c r="K86" s="147"/>
      <c r="L86" s="360"/>
      <c r="M86" s="357"/>
      <c r="N86" s="147"/>
      <c r="O86" s="360"/>
      <c r="P86" s="280"/>
      <c r="Q86" s="147"/>
      <c r="R86" s="360"/>
      <c r="S86" s="280"/>
      <c r="T86" s="147"/>
      <c r="U86" s="360"/>
      <c r="V86" s="280"/>
      <c r="W86" s="147"/>
      <c r="X86" s="360"/>
      <c r="Y86" s="280"/>
      <c r="Z86" s="147"/>
      <c r="AA86" s="360"/>
      <c r="AB86" s="280"/>
      <c r="AC86" s="147"/>
      <c r="AD86" s="360"/>
      <c r="AE86" s="280"/>
      <c r="AF86" s="400">
        <f t="shared" si="44"/>
        <v>0</v>
      </c>
      <c r="AG86" s="400">
        <f t="shared" si="44"/>
        <v>0</v>
      </c>
      <c r="AH86" s="280" t="str">
        <f t="shared" si="20"/>
        <v xml:space="preserve">    ---- </v>
      </c>
      <c r="AI86" s="400">
        <f t="shared" si="45"/>
        <v>0</v>
      </c>
      <c r="AJ86" s="400">
        <f t="shared" si="45"/>
        <v>0</v>
      </c>
      <c r="AK86" s="361" t="str">
        <f t="shared" si="22"/>
        <v xml:space="preserve">    ---- </v>
      </c>
    </row>
    <row r="87" spans="1:37" s="372" customFormat="1" ht="20.100000000000001" customHeight="1" x14ac:dyDescent="0.35">
      <c r="A87" s="493" t="s">
        <v>412</v>
      </c>
      <c r="B87" s="709">
        <f>SUM(B82:B86)</f>
        <v>202254.88099999999</v>
      </c>
      <c r="C87" s="360">
        <f>SUM(C82:C86)</f>
        <v>245788.40216</v>
      </c>
      <c r="D87" s="360">
        <f t="shared" si="18"/>
        <v>21.5</v>
      </c>
      <c r="E87" s="147"/>
      <c r="F87" s="360"/>
      <c r="G87" s="360"/>
      <c r="H87" s="147"/>
      <c r="I87" s="360"/>
      <c r="J87" s="360"/>
      <c r="K87" s="147">
        <f>SUM(K82:K86)</f>
        <v>76892</v>
      </c>
      <c r="L87" s="360">
        <f>SUM(L82:L86)</f>
        <v>91580</v>
      </c>
      <c r="M87" s="357">
        <f>IF(K87=0, "    ---- ", IF(ABS(ROUND(100/K87*L87-100,1))&lt;999,ROUND(100/K87*L87-100,1),IF(ROUND(100/K87*L87-100,1)&gt;999,999,-999)))</f>
        <v>19.100000000000001</v>
      </c>
      <c r="N87" s="147">
        <v>3146.5622463300001</v>
      </c>
      <c r="O87" s="360">
        <v>3390.3143212700002</v>
      </c>
      <c r="P87" s="280">
        <f t="shared" si="43"/>
        <v>7.7</v>
      </c>
      <c r="Q87" s="147">
        <f>SUM(Q82:Q86)</f>
        <v>184044.04</v>
      </c>
      <c r="R87" s="360">
        <f>SUM(R82:R86)</f>
        <v>215644.49</v>
      </c>
      <c r="S87" s="280">
        <f t="shared" si="24"/>
        <v>17.2</v>
      </c>
      <c r="T87" s="147"/>
      <c r="U87" s="360"/>
      <c r="V87" s="280"/>
      <c r="W87" s="147">
        <f>SUM(W82:W86)</f>
        <v>83755.912000000011</v>
      </c>
      <c r="X87" s="360">
        <f>SUM(X82:X86)</f>
        <v>97749.643522389888</v>
      </c>
      <c r="Y87" s="280">
        <f t="shared" si="26"/>
        <v>16.7</v>
      </c>
      <c r="Z87" s="147">
        <f>SUM(Z82:Z86)</f>
        <v>248179.15064440001</v>
      </c>
      <c r="AA87" s="360">
        <f>SUM(AA82:AA86)</f>
        <v>282147.47801427962</v>
      </c>
      <c r="AB87" s="280">
        <f t="shared" si="27"/>
        <v>13.7</v>
      </c>
      <c r="AC87" s="147"/>
      <c r="AD87" s="360"/>
      <c r="AE87" s="280"/>
      <c r="AF87" s="400">
        <f t="shared" si="44"/>
        <v>798272.54589073011</v>
      </c>
      <c r="AG87" s="400">
        <f t="shared" si="44"/>
        <v>936300.32801793958</v>
      </c>
      <c r="AH87" s="280">
        <f t="shared" si="20"/>
        <v>17.3</v>
      </c>
      <c r="AI87" s="400">
        <f t="shared" si="45"/>
        <v>798272.54589073011</v>
      </c>
      <c r="AJ87" s="400">
        <f t="shared" si="45"/>
        <v>936300.32801793958</v>
      </c>
      <c r="AK87" s="361">
        <f t="shared" si="22"/>
        <v>17.3</v>
      </c>
    </row>
    <row r="88" spans="1:37" s="372" customFormat="1" ht="20.100000000000001" customHeight="1" x14ac:dyDescent="0.35">
      <c r="A88" s="460" t="s">
        <v>413</v>
      </c>
      <c r="B88" s="709">
        <v>1391.8679999999999</v>
      </c>
      <c r="C88" s="360">
        <v>1664.3378299999999</v>
      </c>
      <c r="D88" s="280">
        <f t="shared" si="18"/>
        <v>19.600000000000001</v>
      </c>
      <c r="E88" s="147">
        <v>1413.3474659699998</v>
      </c>
      <c r="F88" s="360">
        <v>1291.2330723399998</v>
      </c>
      <c r="G88" s="280">
        <f>IF(E88=0, "    ---- ", IF(ABS(ROUND(100/E88*F88-100,1))&lt;999,ROUND(100/E88*F88-100,1),IF(ROUND(100/E88*F88-100,1)&gt;999,999,-999)))</f>
        <v>-8.6</v>
      </c>
      <c r="H88" s="147">
        <v>38.920999999999999</v>
      </c>
      <c r="I88" s="360">
        <v>39.627000000000002</v>
      </c>
      <c r="J88" s="280">
        <f>IF(H88=0, "    ---- ", IF(ABS(ROUND(100/H88*I88-100,1))&lt;999,ROUND(100/H88*I88-100,1),IF(ROUND(100/H88*I88-100,1)&gt;999,999,-999)))</f>
        <v>1.8</v>
      </c>
      <c r="K88" s="147">
        <v>131</v>
      </c>
      <c r="L88" s="360">
        <v>46</v>
      </c>
      <c r="M88" s="280">
        <f>IF(K88=0, "    ---- ", IF(ABS(ROUND(100/K88*L88-100,1))&lt;999,ROUND(100/K88*L88-100,1),IF(ROUND(100/K88*L88-100,1)&gt;999,999,-999)))</f>
        <v>-64.900000000000006</v>
      </c>
      <c r="N88" s="147">
        <v>1463.05176536</v>
      </c>
      <c r="O88" s="360">
        <v>1531.7121823900002</v>
      </c>
      <c r="P88" s="280">
        <f t="shared" si="43"/>
        <v>4.7</v>
      </c>
      <c r="Q88" s="147">
        <v>997.11</v>
      </c>
      <c r="R88" s="360">
        <v>1024.2</v>
      </c>
      <c r="S88" s="280">
        <f t="shared" si="24"/>
        <v>2.7</v>
      </c>
      <c r="T88" s="147">
        <f>734+2312+73+1</f>
        <v>3120</v>
      </c>
      <c r="U88" s="360">
        <f>666+747+77</f>
        <v>1490</v>
      </c>
      <c r="V88" s="280">
        <f>IF(T88=0, "    ---- ", IF(ABS(ROUND(100/T88*U88-100,1))&lt;999,ROUND(100/T88*U88-100,1),IF(ROUND(100/T88*U88-100,1)&gt;999,999,-999)))</f>
        <v>-52.2</v>
      </c>
      <c r="W88" s="147">
        <v>205.23699999999999</v>
      </c>
      <c r="X88" s="360">
        <v>208.41584108999996</v>
      </c>
      <c r="Y88" s="280">
        <f t="shared" si="26"/>
        <v>1.5</v>
      </c>
      <c r="Z88" s="147">
        <v>158.26531091999999</v>
      </c>
      <c r="AA88" s="360">
        <v>480.67897818464172</v>
      </c>
      <c r="AB88" s="280">
        <f t="shared" si="27"/>
        <v>203.7</v>
      </c>
      <c r="AC88" s="147"/>
      <c r="AD88" s="360"/>
      <c r="AE88" s="280"/>
      <c r="AF88" s="400">
        <f t="shared" si="44"/>
        <v>8918.8005422499973</v>
      </c>
      <c r="AG88" s="400">
        <f t="shared" si="44"/>
        <v>7776.2049040046413</v>
      </c>
      <c r="AH88" s="280">
        <f t="shared" si="20"/>
        <v>-12.8</v>
      </c>
      <c r="AI88" s="400">
        <f t="shared" si="45"/>
        <v>8918.8005422499973</v>
      </c>
      <c r="AJ88" s="400">
        <f t="shared" si="45"/>
        <v>7776.2049040046413</v>
      </c>
      <c r="AK88" s="361">
        <f t="shared" si="22"/>
        <v>-12.8</v>
      </c>
    </row>
    <row r="89" spans="1:37" s="372" customFormat="1" ht="20.100000000000001" customHeight="1" x14ac:dyDescent="0.35">
      <c r="A89" s="460" t="s">
        <v>414</v>
      </c>
      <c r="B89" s="709"/>
      <c r="C89" s="360"/>
      <c r="D89" s="280"/>
      <c r="E89" s="147">
        <v>230.82745503999999</v>
      </c>
      <c r="F89" s="360">
        <v>187.14814250000001</v>
      </c>
      <c r="G89" s="280">
        <f t="shared" ref="G89:G90" si="46">IF(E89=0, "    ---- ", IF(ABS(ROUND(100/E89*F89-100,1))&lt;999,ROUND(100/E89*F89-100,1),IF(ROUND(100/E89*F89-100,1)&gt;999,999,-999)))</f>
        <v>-18.899999999999999</v>
      </c>
      <c r="H89" s="147"/>
      <c r="I89" s="360"/>
      <c r="J89" s="280"/>
      <c r="K89" s="147"/>
      <c r="L89" s="360"/>
      <c r="M89" s="280"/>
      <c r="N89" s="147"/>
      <c r="O89" s="360"/>
      <c r="P89" s="280"/>
      <c r="Q89" s="147"/>
      <c r="R89" s="360"/>
      <c r="S89" s="280"/>
      <c r="T89" s="147"/>
      <c r="U89" s="360"/>
      <c r="V89" s="280"/>
      <c r="W89" s="147">
        <v>15.574</v>
      </c>
      <c r="X89" s="360">
        <v>16.264610680000001</v>
      </c>
      <c r="Y89" s="280">
        <f t="shared" si="26"/>
        <v>4.4000000000000004</v>
      </c>
      <c r="Z89" s="147"/>
      <c r="AA89" s="360"/>
      <c r="AB89" s="280"/>
      <c r="AC89" s="147"/>
      <c r="AD89" s="360"/>
      <c r="AE89" s="280"/>
      <c r="AF89" s="400">
        <f t="shared" si="44"/>
        <v>246.40145504</v>
      </c>
      <c r="AG89" s="400">
        <f t="shared" si="44"/>
        <v>203.41275318000001</v>
      </c>
      <c r="AH89" s="280">
        <f t="shared" si="20"/>
        <v>-17.399999999999999</v>
      </c>
      <c r="AI89" s="400">
        <f t="shared" si="45"/>
        <v>246.40145504</v>
      </c>
      <c r="AJ89" s="400">
        <f t="shared" si="45"/>
        <v>203.41275318000001</v>
      </c>
      <c r="AK89" s="361">
        <f t="shared" si="22"/>
        <v>-17.399999999999999</v>
      </c>
    </row>
    <row r="90" spans="1:37" s="372" customFormat="1" ht="20.100000000000001" customHeight="1" x14ac:dyDescent="0.35">
      <c r="A90" s="460" t="s">
        <v>415</v>
      </c>
      <c r="B90" s="709">
        <v>2638.6469999999999</v>
      </c>
      <c r="C90" s="360">
        <v>2296.5008400000002</v>
      </c>
      <c r="D90" s="360">
        <f t="shared" si="18"/>
        <v>-13</v>
      </c>
      <c r="E90" s="147">
        <v>131.55103943999995</v>
      </c>
      <c r="F90" s="360">
        <v>227.65652231999999</v>
      </c>
      <c r="G90" s="280">
        <f t="shared" si="46"/>
        <v>73.099999999999994</v>
      </c>
      <c r="H90" s="147">
        <v>59.497999999999998</v>
      </c>
      <c r="I90" s="360">
        <v>50.357999999999997</v>
      </c>
      <c r="J90" s="280">
        <f>IF(H90=0, "    ---- ", IF(ABS(ROUND(100/H90*I90-100,1))&lt;999,ROUND(100/H90*I90-100,1),IF(ROUND(100/H90*I90-100,1)&gt;999,999,-999)))</f>
        <v>-15.4</v>
      </c>
      <c r="K90" s="147">
        <v>289</v>
      </c>
      <c r="L90" s="360">
        <v>233</v>
      </c>
      <c r="M90" s="357">
        <f>IF(K90=0, "    ---- ", IF(ABS(ROUND(100/K90*L90-100,1))&lt;999,ROUND(100/K90*L90-100,1),IF(ROUND(100/K90*L90-100,1)&gt;999,999,-999)))</f>
        <v>-19.399999999999999</v>
      </c>
      <c r="N90" s="147">
        <v>6888.5925043199995</v>
      </c>
      <c r="O90" s="360">
        <v>12015.58113757</v>
      </c>
      <c r="P90" s="280">
        <f t="shared" si="43"/>
        <v>74.400000000000006</v>
      </c>
      <c r="Q90" s="147">
        <v>473.71</v>
      </c>
      <c r="R90" s="360">
        <v>458.05</v>
      </c>
      <c r="S90" s="280">
        <f t="shared" si="24"/>
        <v>-3.3</v>
      </c>
      <c r="T90" s="147"/>
      <c r="U90" s="360"/>
      <c r="V90" s="280"/>
      <c r="W90" s="147">
        <v>1275.654</v>
      </c>
      <c r="X90" s="360">
        <v>1157.7917735199942</v>
      </c>
      <c r="Y90" s="280">
        <f t="shared" si="26"/>
        <v>-9.1999999999999993</v>
      </c>
      <c r="Z90" s="147">
        <v>15398</v>
      </c>
      <c r="AA90" s="360">
        <v>12101.324433070213</v>
      </c>
      <c r="AB90" s="280">
        <f t="shared" si="27"/>
        <v>-21.4</v>
      </c>
      <c r="AC90" s="147">
        <v>43</v>
      </c>
      <c r="AD90" s="360">
        <v>88</v>
      </c>
      <c r="AE90" s="280">
        <f>IF(AC90=0, "    ---- ", IF(ABS(ROUND(100/AC90*AD90-100,1))&lt;999,ROUND(100/AC90*AD90-100,1),IF(ROUND(100/AC90*AD90-100,1)&gt;999,999,-999)))</f>
        <v>104.7</v>
      </c>
      <c r="AF90" s="400">
        <f t="shared" si="44"/>
        <v>27154.652543759999</v>
      </c>
      <c r="AG90" s="400">
        <f t="shared" si="44"/>
        <v>28540.262706480207</v>
      </c>
      <c r="AH90" s="280">
        <f t="shared" si="20"/>
        <v>5.0999999999999996</v>
      </c>
      <c r="AI90" s="400">
        <f t="shared" si="45"/>
        <v>27197.652543759999</v>
      </c>
      <c r="AJ90" s="400">
        <f t="shared" si="45"/>
        <v>28628.262706480207</v>
      </c>
      <c r="AK90" s="361">
        <f t="shared" si="22"/>
        <v>5.3</v>
      </c>
    </row>
    <row r="91" spans="1:37" s="372" customFormat="1" ht="20.100000000000001" customHeight="1" x14ac:dyDescent="0.35">
      <c r="A91" s="460" t="s">
        <v>416</v>
      </c>
      <c r="B91" s="709">
        <v>82.368899999999996</v>
      </c>
      <c r="C91" s="360">
        <v>78.844030000000004</v>
      </c>
      <c r="D91" s="360">
        <f t="shared" si="18"/>
        <v>-4.3</v>
      </c>
      <c r="E91" s="147"/>
      <c r="F91" s="360"/>
      <c r="G91" s="360"/>
      <c r="H91" s="147">
        <v>38.113999999999997</v>
      </c>
      <c r="I91" s="360">
        <v>28.416</v>
      </c>
      <c r="J91" s="360">
        <f>IF(H91=0, "    ---- ", IF(ABS(ROUND(100/H91*I91-100,1))&lt;999,ROUND(100/H91*I91-100,1),IF(ROUND(100/H91*I91-100,1)&gt;999,999,-999)))</f>
        <v>-25.4</v>
      </c>
      <c r="K91" s="147">
        <v>39</v>
      </c>
      <c r="L91" s="360">
        <v>42</v>
      </c>
      <c r="M91" s="280">
        <f>IF(K91=0, "    ---- ", IF(ABS(ROUND(100/K91*L91-100,1))&lt;999,ROUND(100/K91*L91-100,1),IF(ROUND(100/K91*L91-100,1)&gt;999,999,-999)))</f>
        <v>7.7</v>
      </c>
      <c r="N91" s="147">
        <v>369.33648497000001</v>
      </c>
      <c r="O91" s="360">
        <v>254.27257252999999</v>
      </c>
      <c r="P91" s="280">
        <f t="shared" si="43"/>
        <v>-31.2</v>
      </c>
      <c r="Q91" s="147">
        <v>50.81</v>
      </c>
      <c r="R91" s="360">
        <v>53.58</v>
      </c>
      <c r="S91" s="280">
        <f t="shared" si="24"/>
        <v>5.5</v>
      </c>
      <c r="T91" s="147"/>
      <c r="U91" s="360"/>
      <c r="V91" s="280"/>
      <c r="W91" s="147">
        <v>47.732999999999997</v>
      </c>
      <c r="X91" s="360">
        <v>48.724660900000266</v>
      </c>
      <c r="Y91" s="280">
        <f t="shared" si="26"/>
        <v>2.1</v>
      </c>
      <c r="Z91" s="147">
        <v>214.36661089805401</v>
      </c>
      <c r="AA91" s="360">
        <v>227.29643851464166</v>
      </c>
      <c r="AB91" s="280">
        <f t="shared" si="27"/>
        <v>6</v>
      </c>
      <c r="AC91" s="147">
        <v>12</v>
      </c>
      <c r="AD91" s="360">
        <v>9</v>
      </c>
      <c r="AE91" s="280">
        <f>IF(AC91=0, "    ---- ", IF(ABS(ROUND(100/AC91*AD91-100,1))&lt;999,ROUND(100/AC91*AD91-100,1),IF(ROUND(100/AC91*AD91-100,1)&gt;999,999,-999)))</f>
        <v>-25</v>
      </c>
      <c r="AF91" s="400">
        <f t="shared" si="44"/>
        <v>841.72899586805397</v>
      </c>
      <c r="AG91" s="400">
        <f t="shared" si="44"/>
        <v>733.13370194464187</v>
      </c>
      <c r="AH91" s="280">
        <f t="shared" si="20"/>
        <v>-12.9</v>
      </c>
      <c r="AI91" s="400">
        <f t="shared" si="45"/>
        <v>853.72899586805397</v>
      </c>
      <c r="AJ91" s="400">
        <f t="shared" si="45"/>
        <v>742.13370194464187</v>
      </c>
      <c r="AK91" s="361">
        <f t="shared" si="22"/>
        <v>-13.1</v>
      </c>
    </row>
    <row r="92" spans="1:37" s="372" customFormat="1" ht="20.100000000000001" customHeight="1" x14ac:dyDescent="0.35">
      <c r="A92" s="460"/>
      <c r="B92" s="709"/>
      <c r="C92" s="360"/>
      <c r="D92" s="280"/>
      <c r="E92" s="147"/>
      <c r="F92" s="360"/>
      <c r="G92" s="280"/>
      <c r="H92" s="147"/>
      <c r="I92" s="360"/>
      <c r="J92" s="280"/>
      <c r="K92" s="147"/>
      <c r="L92" s="360"/>
      <c r="M92" s="280"/>
      <c r="N92" s="147"/>
      <c r="O92" s="360"/>
      <c r="P92" s="280"/>
      <c r="Q92" s="147"/>
      <c r="R92" s="360"/>
      <c r="S92" s="280"/>
      <c r="T92" s="147"/>
      <c r="U92" s="360"/>
      <c r="V92" s="280"/>
      <c r="W92" s="147"/>
      <c r="X92" s="360"/>
      <c r="Y92" s="280"/>
      <c r="Z92" s="147"/>
      <c r="AA92" s="360"/>
      <c r="AB92" s="280"/>
      <c r="AC92" s="147"/>
      <c r="AD92" s="360"/>
      <c r="AE92" s="280"/>
      <c r="AF92" s="357"/>
      <c r="AG92" s="357"/>
      <c r="AH92" s="280"/>
      <c r="AI92" s="357"/>
      <c r="AJ92" s="357"/>
      <c r="AK92" s="361"/>
    </row>
    <row r="93" spans="1:37" s="380" customFormat="1" ht="20.100000000000001" customHeight="1" x14ac:dyDescent="0.3">
      <c r="A93" s="471" t="s">
        <v>417</v>
      </c>
      <c r="B93" s="710">
        <f>SUM(B68+B69+B71+B80+B87+B88+B89+B90+B91)</f>
        <v>422074.38789999997</v>
      </c>
      <c r="C93" s="364">
        <f>SUM(C68+C69+C71+C80+C87+C88+C89+C90+C91)</f>
        <v>461949.2197999999</v>
      </c>
      <c r="D93" s="365">
        <f t="shared" si="18"/>
        <v>9.4</v>
      </c>
      <c r="E93" s="150">
        <f>SUM(E68+E69+E71+E80+E87+E88+E89+E90+E91)</f>
        <v>14479.090889470004</v>
      </c>
      <c r="F93" s="364">
        <f>SUM(F68+F69+F71+F80+F87+F88+F89+F90+F91)</f>
        <v>14956.230815679994</v>
      </c>
      <c r="G93" s="365">
        <f>IF(E93=0, "    ---- ", IF(ABS(ROUND(100/E93*F93-100,1))&lt;999,ROUND(100/E93*F93-100,1),IF(ROUND(100/E93*F93-100,1)&gt;999,999,-999)))</f>
        <v>3.3</v>
      </c>
      <c r="H93" s="150">
        <f>SUM(H68+H69+H71+H80+H87+H88+H89+H90+H91)</f>
        <v>2844.6059999999998</v>
      </c>
      <c r="I93" s="364">
        <f>SUM(I68+I69+I71+I80+I87+I88+I89+I90+I91)</f>
        <v>3289.3580000000006</v>
      </c>
      <c r="J93" s="365">
        <f>IF(H93=0, "    ---- ", IF(ABS(ROUND(100/H93*I93-100,1))&lt;999,ROUND(100/H93*I93-100,1),IF(ROUND(100/H93*I93-100,1)&gt;999,999,-999)))</f>
        <v>15.6</v>
      </c>
      <c r="K93" s="150">
        <f>SUM(K68+K69+K71+K80+K87+K88+K89+K90+K91)</f>
        <v>89504</v>
      </c>
      <c r="L93" s="364">
        <f>SUM(L68+L69+L71+L80+L87+L88+L89+L90+L91)</f>
        <v>105637</v>
      </c>
      <c r="M93" s="365">
        <f>IF(K93=0, "    ---- ", IF(ABS(ROUND(100/K93*L93-100,1))&lt;999,ROUND(100/K93*L93-100,1),IF(ROUND(100/K93*L93-100,1)&gt;999,999,-999)))</f>
        <v>18</v>
      </c>
      <c r="N93" s="150">
        <v>863946.07267891988</v>
      </c>
      <c r="O93" s="364">
        <v>935891.27356514987</v>
      </c>
      <c r="P93" s="365">
        <f t="shared" si="43"/>
        <v>8.3000000000000007</v>
      </c>
      <c r="Q93" s="150">
        <f>SUM(Q68+Q69+Q71+Q80+Q87+Q88+Q89+Q90+Q91)</f>
        <v>251714.15</v>
      </c>
      <c r="R93" s="364">
        <f>SUM(R68+R69+R71+R80+R87+R88+R89+R90+R91)</f>
        <v>283997.39999999997</v>
      </c>
      <c r="S93" s="365">
        <f t="shared" si="24"/>
        <v>12.8</v>
      </c>
      <c r="T93" s="150">
        <f>SUM(T68+T69+T71+T80+T87+T88+T89+T90+T91)</f>
        <v>146635</v>
      </c>
      <c r="U93" s="364">
        <f>SUM(U68+U69+U71+U80+U87+U88+U89+U90+U91)</f>
        <v>156480</v>
      </c>
      <c r="V93" s="365">
        <f>IF(T93=0, "    ---- ", IF(ABS(ROUND(100/T93*U93-100,1))&lt;999,ROUND(100/T93*U93-100,1),IF(ROUND(100/T93*U93-100,1)&gt;999,999,-999)))</f>
        <v>6.7</v>
      </c>
      <c r="W93" s="150">
        <f>SUM(W68+W69+W71+W80+W87+W88+W89+W90+W91)</f>
        <v>115561.03599999999</v>
      </c>
      <c r="X93" s="364">
        <f>SUM(X68+X69+X71+X80+X87+X88+X89+X90+X91)</f>
        <v>131796.48813834987</v>
      </c>
      <c r="Y93" s="365">
        <f t="shared" si="26"/>
        <v>14</v>
      </c>
      <c r="Z93" s="150">
        <f>SUM(Z68+Z69+Z71+Z80+Z87+Z88+Z89+Z90+Z91)</f>
        <v>513487.48562457034</v>
      </c>
      <c r="AA93" s="364">
        <f>SUM(AA68+AA69+AA71+AA80+AA87+AA88+AA89+AA90+AA91)</f>
        <v>553862.73161275918</v>
      </c>
      <c r="AB93" s="365">
        <f t="shared" si="27"/>
        <v>7.9</v>
      </c>
      <c r="AC93" s="150">
        <f>SUM(AC68+AC69+AC71+AC80+AC87+AC88+AC89+AC90+AC91)</f>
        <v>147</v>
      </c>
      <c r="AD93" s="364">
        <f>SUM(AD68+AD69+AD71+AD80+AD87+AD88+AD89+AD90+AD91)</f>
        <v>258</v>
      </c>
      <c r="AE93" s="365">
        <f>IF(AC93=0, "    ---- ", IF(ABS(ROUND(100/AC93*AD93-100,1))&lt;999,ROUND(100/AC93*AD93-100,1),IF(ROUND(100/AC93*AD93-100,1)&gt;999,999,-999)))</f>
        <v>75.5</v>
      </c>
      <c r="AF93" s="594">
        <f t="shared" ref="AF93:AG93" si="47">B93+E93+H93+K93+N93+Q93+T93+W93+Z93</f>
        <v>2420245.8290929599</v>
      </c>
      <c r="AG93" s="594">
        <f t="shared" si="47"/>
        <v>2647859.7019319385</v>
      </c>
      <c r="AH93" s="365">
        <f t="shared" si="20"/>
        <v>9.4</v>
      </c>
      <c r="AI93" s="364">
        <f>B93+E93+H93+K93+N93+Q93+T93+W93+Z93+AC93</f>
        <v>2420392.8290929599</v>
      </c>
      <c r="AJ93" s="364">
        <f>C93+F93+I93+L93+O93+R93+U93+X93+AA93+AD93</f>
        <v>2648117.7019319385</v>
      </c>
      <c r="AK93" s="366">
        <f t="shared" si="22"/>
        <v>9.4</v>
      </c>
    </row>
    <row r="94" spans="1:37" ht="18.75" customHeight="1" x14ac:dyDescent="0.35">
      <c r="A94" s="370" t="s">
        <v>298</v>
      </c>
      <c r="N94" s="370"/>
      <c r="R94" s="497"/>
      <c r="S94" s="497"/>
      <c r="T94" s="497"/>
      <c r="U94" s="497"/>
      <c r="V94" s="497"/>
      <c r="W94" s="370"/>
      <c r="Z94" s="370"/>
      <c r="AC94" s="370"/>
    </row>
    <row r="95" spans="1:37" ht="18.75" customHeight="1" x14ac:dyDescent="0.35">
      <c r="A95" s="370" t="s">
        <v>299</v>
      </c>
      <c r="N95" s="370"/>
      <c r="R95" s="497"/>
      <c r="S95" s="497"/>
      <c r="T95" s="497"/>
      <c r="U95" s="497"/>
      <c r="V95" s="497"/>
      <c r="W95" s="370"/>
      <c r="Z95" s="370"/>
      <c r="AC95" s="370"/>
    </row>
    <row r="96" spans="1:37" s="373" customFormat="1" ht="18.75" customHeight="1" x14ac:dyDescent="0.35">
      <c r="A96" s="370" t="s">
        <v>300</v>
      </c>
      <c r="S96" s="498"/>
      <c r="T96" s="498"/>
      <c r="U96" s="498"/>
      <c r="V96" s="498"/>
    </row>
    <row r="97" s="373" customFormat="1" ht="18" x14ac:dyDescent="0.35"/>
    <row r="98" s="373" customFormat="1" ht="18" x14ac:dyDescent="0.35"/>
    <row r="99" s="373" customFormat="1" ht="18" x14ac:dyDescent="0.35"/>
    <row r="100" s="373" customFormat="1" ht="18" x14ac:dyDescent="0.35"/>
    <row r="101" s="373" customFormat="1" ht="18" x14ac:dyDescent="0.35"/>
    <row r="102" s="373" customFormat="1" ht="18" x14ac:dyDescent="0.35"/>
    <row r="103" s="373" customFormat="1" ht="18" x14ac:dyDescent="0.35"/>
    <row r="104" s="373" customFormat="1" ht="18" x14ac:dyDescent="0.35"/>
    <row r="105" s="381" customFormat="1" ht="15.6" x14ac:dyDescent="0.3"/>
    <row r="106" s="381" customFormat="1" ht="15.6" x14ac:dyDescent="0.3"/>
  </sheetData>
  <mergeCells count="30">
    <mergeCell ref="AT6:AV6"/>
    <mergeCell ref="AW6:AY6"/>
    <mergeCell ref="Z6:AB6"/>
    <mergeCell ref="AC6:AE6"/>
    <mergeCell ref="AF6:AH6"/>
    <mergeCell ref="AI6:AK6"/>
    <mergeCell ref="AN6:AP6"/>
    <mergeCell ref="AQ6:AS6"/>
    <mergeCell ref="AT5:AV5"/>
    <mergeCell ref="AW5:AY5"/>
    <mergeCell ref="B6:D6"/>
    <mergeCell ref="E6:G6"/>
    <mergeCell ref="H6:J6"/>
    <mergeCell ref="K6:M6"/>
    <mergeCell ref="N6:P6"/>
    <mergeCell ref="Q6:S6"/>
    <mergeCell ref="T6:V6"/>
    <mergeCell ref="W6:Y6"/>
    <mergeCell ref="Z5:AB5"/>
    <mergeCell ref="AC5:AE5"/>
    <mergeCell ref="AF5:AH5"/>
    <mergeCell ref="AI5:AK5"/>
    <mergeCell ref="AN5:AP5"/>
    <mergeCell ref="AQ5:AS5"/>
    <mergeCell ref="W5:Y5"/>
    <mergeCell ref="B5:D5"/>
    <mergeCell ref="E5:G5"/>
    <mergeCell ref="H5:J5"/>
    <mergeCell ref="K5:M5"/>
    <mergeCell ref="T5:V5"/>
  </mergeCells>
  <conditionalFormatting sqref="B35:C35">
    <cfRule type="expression" dxfId="237" priority="158">
      <formula>#REF! ="35≠36+38"</formula>
    </cfRule>
  </conditionalFormatting>
  <conditionalFormatting sqref="B39:C39">
    <cfRule type="expression" dxfId="236" priority="159">
      <formula>#REF! ="39≠40+41+42+43+44"</formula>
    </cfRule>
  </conditionalFormatting>
  <conditionalFormatting sqref="B45:C45">
    <cfRule type="expression" dxfId="235" priority="160">
      <formula>#REF! ="45≠33+34+35+39"</formula>
    </cfRule>
  </conditionalFormatting>
  <conditionalFormatting sqref="B50:C50">
    <cfRule type="expression" dxfId="234" priority="161">
      <formula>#REF! ="50≠51+53"</formula>
    </cfRule>
  </conditionalFormatting>
  <conditionalFormatting sqref="B54:C54">
    <cfRule type="expression" dxfId="233" priority="162">
      <formula>#REF! ="54≠55+56+57+58+59"</formula>
    </cfRule>
  </conditionalFormatting>
  <conditionalFormatting sqref="B60:C60">
    <cfRule type="expression" dxfId="232" priority="163">
      <formula>#REF! ="60≠48+49+50+54"</formula>
    </cfRule>
  </conditionalFormatting>
  <conditionalFormatting sqref="B62:C62">
    <cfRule type="expression" dxfId="231" priority="164">
      <formula>#REF! ="62≠45+46+60+61"</formula>
    </cfRule>
  </conditionalFormatting>
  <conditionalFormatting sqref="B64:C64">
    <cfRule type="expression" dxfId="230" priority="165">
      <formula>#REF! ="64≠29+62"</formula>
    </cfRule>
  </conditionalFormatting>
  <conditionalFormatting sqref="B74:C75">
    <cfRule type="expression" dxfId="229" priority="171">
      <formula>kvartal &lt; 4</formula>
    </cfRule>
  </conditionalFormatting>
  <conditionalFormatting sqref="B80:C80">
    <cfRule type="expression" dxfId="228" priority="166">
      <formula>#REF! ="80≠73+74+75+76+77+78+79"</formula>
    </cfRule>
  </conditionalFormatting>
  <conditionalFormatting sqref="B83:C83">
    <cfRule type="expression" dxfId="227" priority="170">
      <formula>kvartal &lt; 4</formula>
    </cfRule>
  </conditionalFormatting>
  <conditionalFormatting sqref="B87:C87">
    <cfRule type="expression" dxfId="226" priority="167">
      <formula>#REF! ="88≠82+83+84+85+86+87"</formula>
    </cfRule>
  </conditionalFormatting>
  <conditionalFormatting sqref="B93:C93">
    <cfRule type="expression" dxfId="225" priority="168">
      <formula>#REF! = "64≠94"</formula>
    </cfRule>
    <cfRule type="expression" dxfId="224" priority="169">
      <formula>#REF! = "94≠68+69+71+80+88+89+90+91+92"</formula>
    </cfRule>
  </conditionalFormatting>
  <conditionalFormatting sqref="E35:F35">
    <cfRule type="expression" dxfId="223" priority="184">
      <formula>#REF! ="35≠36+38"</formula>
    </cfRule>
  </conditionalFormatting>
  <conditionalFormatting sqref="E39:F39">
    <cfRule type="expression" dxfId="222" priority="185">
      <formula>#REF! ="39≠40+41+42+43+44"</formula>
    </cfRule>
  </conditionalFormatting>
  <conditionalFormatting sqref="E45:F45">
    <cfRule type="expression" dxfId="221" priority="186">
      <formula>#REF! ="45≠33+34+35+39"</formula>
    </cfRule>
  </conditionalFormatting>
  <conditionalFormatting sqref="E50:F50">
    <cfRule type="expression" dxfId="220" priority="187">
      <formula>#REF! ="50≠51+53"</formula>
    </cfRule>
  </conditionalFormatting>
  <conditionalFormatting sqref="E54:F54">
    <cfRule type="expression" dxfId="219" priority="188">
      <formula>#REF! ="54≠55+56+57+58+59"</formula>
    </cfRule>
  </conditionalFormatting>
  <conditionalFormatting sqref="E60:F60">
    <cfRule type="expression" dxfId="218" priority="189">
      <formula>#REF! ="60≠48+49+50+54"</formula>
    </cfRule>
  </conditionalFormatting>
  <conditionalFormatting sqref="E62:F62">
    <cfRule type="expression" dxfId="217" priority="190">
      <formula>#REF! ="62≠45+46+60+61"</formula>
    </cfRule>
  </conditionalFormatting>
  <conditionalFormatting sqref="E64:F64">
    <cfRule type="expression" dxfId="216" priority="191">
      <formula>#REF! ="64≠29+62"</formula>
    </cfRule>
  </conditionalFormatting>
  <conditionalFormatting sqref="E74:F75">
    <cfRule type="expression" dxfId="215" priority="197">
      <formula>kvartal &lt; 4</formula>
    </cfRule>
  </conditionalFormatting>
  <conditionalFormatting sqref="E80:F80">
    <cfRule type="expression" dxfId="214" priority="192">
      <formula>#REF! ="80≠73+74+75+76+77+78+79"</formula>
    </cfRule>
  </conditionalFormatting>
  <conditionalFormatting sqref="E83:F83">
    <cfRule type="expression" dxfId="213" priority="196">
      <formula>kvartal &lt; 4</formula>
    </cfRule>
  </conditionalFormatting>
  <conditionalFormatting sqref="E87:F87">
    <cfRule type="expression" dxfId="212" priority="193">
      <formula>#REF! ="88≠82+83+84+85+86+87"</formula>
    </cfRule>
  </conditionalFormatting>
  <conditionalFormatting sqref="E93:F93">
    <cfRule type="expression" dxfId="211" priority="194">
      <formula>#REF! = "64≠94"</formula>
    </cfRule>
    <cfRule type="expression" dxfId="210" priority="195">
      <formula>#REF! = "94≠68+69+71+80+88+89+90+91+92"</formula>
    </cfRule>
  </conditionalFormatting>
  <conditionalFormatting sqref="H35:I35">
    <cfRule type="expression" dxfId="209" priority="132">
      <formula>#REF! ="35≠36+38"</formula>
    </cfRule>
  </conditionalFormatting>
  <conditionalFormatting sqref="H39:I39">
    <cfRule type="expression" dxfId="208" priority="133">
      <formula>#REF! ="39≠40+41+42+43+44"</formula>
    </cfRule>
  </conditionalFormatting>
  <conditionalFormatting sqref="H45:I45">
    <cfRule type="expression" dxfId="207" priority="134">
      <formula>#REF! ="45≠33+34+35+39"</formula>
    </cfRule>
  </conditionalFormatting>
  <conditionalFormatting sqref="H50:I50">
    <cfRule type="expression" dxfId="206" priority="135">
      <formula>#REF! ="50≠51+53"</formula>
    </cfRule>
  </conditionalFormatting>
  <conditionalFormatting sqref="H54:I54">
    <cfRule type="expression" dxfId="205" priority="136">
      <formula>#REF! ="54≠55+56+57+58+59"</formula>
    </cfRule>
  </conditionalFormatting>
  <conditionalFormatting sqref="H60:I60">
    <cfRule type="expression" dxfId="204" priority="137">
      <formula>#REF! ="60≠48+49+50+54"</formula>
    </cfRule>
  </conditionalFormatting>
  <conditionalFormatting sqref="H62:I62">
    <cfRule type="expression" dxfId="203" priority="138">
      <formula>#REF! ="62≠45+46+60+61"</formula>
    </cfRule>
  </conditionalFormatting>
  <conditionalFormatting sqref="H64:I64">
    <cfRule type="expression" dxfId="202" priority="139">
      <formula>#REF! ="64≠29+62"</formula>
    </cfRule>
  </conditionalFormatting>
  <conditionalFormatting sqref="H74:I75">
    <cfRule type="expression" dxfId="201" priority="145">
      <formula>kvartal &lt; 4</formula>
    </cfRule>
  </conditionalFormatting>
  <conditionalFormatting sqref="H80:I80">
    <cfRule type="expression" dxfId="200" priority="140">
      <formula>#REF! ="80≠73+74+75+76+77+78+79"</formula>
    </cfRule>
  </conditionalFormatting>
  <conditionalFormatting sqref="H83:I83">
    <cfRule type="expression" dxfId="199" priority="144">
      <formula>kvartal &lt; 4</formula>
    </cfRule>
  </conditionalFormatting>
  <conditionalFormatting sqref="H87:I87">
    <cfRule type="expression" dxfId="198" priority="141">
      <formula>#REF! ="88≠82+83+84+85+86+87"</formula>
    </cfRule>
  </conditionalFormatting>
  <conditionalFormatting sqref="H93:I93">
    <cfRule type="expression" dxfId="197" priority="142">
      <formula>#REF! = "64≠94"</formula>
    </cfRule>
    <cfRule type="expression" dxfId="196" priority="143">
      <formula>#REF! = "94≠68+69+71+80+88+89+90+91+92"</formula>
    </cfRule>
  </conditionalFormatting>
  <conditionalFormatting sqref="K74:K76">
    <cfRule type="expression" dxfId="195" priority="40">
      <formula>kvartal &lt; 4</formula>
    </cfRule>
  </conditionalFormatting>
  <conditionalFormatting sqref="K35:L35">
    <cfRule type="expression" dxfId="194" priority="27">
      <formula>#REF! ="35≠36+38"</formula>
    </cfRule>
  </conditionalFormatting>
  <conditionalFormatting sqref="K39:L39">
    <cfRule type="expression" dxfId="193" priority="28">
      <formula>#REF! ="39≠40+41+42+43+44"</formula>
    </cfRule>
  </conditionalFormatting>
  <conditionalFormatting sqref="K45:L45">
    <cfRule type="expression" dxfId="192" priority="29">
      <formula>#REF! ="45≠33+34+35+39"</formula>
    </cfRule>
  </conditionalFormatting>
  <conditionalFormatting sqref="K50:L50">
    <cfRule type="expression" dxfId="191" priority="30">
      <formula>#REF! ="50≠51+53"</formula>
    </cfRule>
  </conditionalFormatting>
  <conditionalFormatting sqref="K54:L54">
    <cfRule type="expression" dxfId="190" priority="31">
      <formula>#REF! ="54≠55+56+57+58+59"</formula>
    </cfRule>
  </conditionalFormatting>
  <conditionalFormatting sqref="K60:L60">
    <cfRule type="expression" dxfId="189" priority="32">
      <formula>#REF! ="60≠48+49+50+54"</formula>
    </cfRule>
  </conditionalFormatting>
  <conditionalFormatting sqref="K62:L62">
    <cfRule type="expression" dxfId="188" priority="33">
      <formula>#REF! ="62≠45+46+60+61"</formula>
    </cfRule>
  </conditionalFormatting>
  <conditionalFormatting sqref="K64:L64">
    <cfRule type="expression" dxfId="187" priority="34">
      <formula>#REF! ="64≠29+62"</formula>
    </cfRule>
  </conditionalFormatting>
  <conditionalFormatting sqref="K80:L80">
    <cfRule type="expression" dxfId="186" priority="35">
      <formula>#REF! ="80≠73+74+75+76+77+78+79"</formula>
    </cfRule>
  </conditionalFormatting>
  <conditionalFormatting sqref="K83:L83">
    <cfRule type="expression" dxfId="185" priority="39">
      <formula>kvartal &lt; 4</formula>
    </cfRule>
  </conditionalFormatting>
  <conditionalFormatting sqref="K87:L87">
    <cfRule type="expression" dxfId="184" priority="36">
      <formula>#REF! ="88≠82+83+84+85+86+87"</formula>
    </cfRule>
  </conditionalFormatting>
  <conditionalFormatting sqref="K93:L93">
    <cfRule type="expression" dxfId="183" priority="38">
      <formula>#REF! = "94≠68+69+71+80+88+89+90+91+92"</formula>
    </cfRule>
    <cfRule type="expression" dxfId="182" priority="37">
      <formula>#REF! = "64≠94"</formula>
    </cfRule>
  </conditionalFormatting>
  <conditionalFormatting sqref="L74:L75">
    <cfRule type="expression" dxfId="181" priority="43">
      <formula>kvartal &lt; 4</formula>
    </cfRule>
  </conditionalFormatting>
  <conditionalFormatting sqref="N35:O35">
    <cfRule type="expression" dxfId="180" priority="1">
      <formula>#REF! ="35≠36+38"</formula>
    </cfRule>
  </conditionalFormatting>
  <conditionalFormatting sqref="N39:O39">
    <cfRule type="expression" dxfId="179" priority="2">
      <formula>#REF! ="39≠40+41+42+43+44"</formula>
    </cfRule>
  </conditionalFormatting>
  <conditionalFormatting sqref="N45:O45">
    <cfRule type="expression" dxfId="178" priority="3">
      <formula>#REF! ="45≠33+34+35+39"</formula>
    </cfRule>
  </conditionalFormatting>
  <conditionalFormatting sqref="N50:O50">
    <cfRule type="expression" dxfId="177" priority="4">
      <formula>#REF! ="50≠51+53"</formula>
    </cfRule>
  </conditionalFormatting>
  <conditionalFormatting sqref="N54:O54">
    <cfRule type="expression" dxfId="176" priority="5">
      <formula>#REF! ="54≠55+56+57+58+59"</formula>
    </cfRule>
  </conditionalFormatting>
  <conditionalFormatting sqref="N60:O60">
    <cfRule type="expression" dxfId="175" priority="6">
      <formula>#REF! ="60≠48+49+50+54"</formula>
    </cfRule>
  </conditionalFormatting>
  <conditionalFormatting sqref="N62:O62">
    <cfRule type="expression" dxfId="174" priority="7">
      <formula>#REF! ="62≠45+46+60+61"</formula>
    </cfRule>
  </conditionalFormatting>
  <conditionalFormatting sqref="N64:O64">
    <cfRule type="expression" dxfId="173" priority="8">
      <formula>#REF! ="64≠29+62"</formula>
    </cfRule>
  </conditionalFormatting>
  <conditionalFormatting sqref="N74:O75">
    <cfRule type="expression" dxfId="172" priority="14">
      <formula>kvartal &lt; 4</formula>
    </cfRule>
  </conditionalFormatting>
  <conditionalFormatting sqref="N80:O80">
    <cfRule type="expression" dxfId="171" priority="9">
      <formula>#REF! ="80≠73+74+75+76+77+78+79"</formula>
    </cfRule>
  </conditionalFormatting>
  <conditionalFormatting sqref="N83:O83">
    <cfRule type="expression" dxfId="170" priority="13">
      <formula>kvartal &lt; 4</formula>
    </cfRule>
  </conditionalFormatting>
  <conditionalFormatting sqref="N87:O87">
    <cfRule type="expression" dxfId="169" priority="10">
      <formula>#REF! ="88≠82+83+84+85+86+87"</formula>
    </cfRule>
  </conditionalFormatting>
  <conditionalFormatting sqref="N93:O93">
    <cfRule type="expression" dxfId="168" priority="11">
      <formula>#REF! = "64≠94"</formula>
    </cfRule>
    <cfRule type="expression" dxfId="167" priority="12">
      <formula>#REF! = "94≠68+69+71+80+88+89+90+91+92"</formula>
    </cfRule>
  </conditionalFormatting>
  <conditionalFormatting sqref="Q35:R35">
    <cfRule type="expression" dxfId="166" priority="210">
      <formula>#REF! ="35≠36+38"</formula>
    </cfRule>
  </conditionalFormatting>
  <conditionalFormatting sqref="Q39:R39">
    <cfRule type="expression" dxfId="165" priority="211">
      <formula>#REF! ="39≠40+41+42+43+44"</formula>
    </cfRule>
  </conditionalFormatting>
  <conditionalFormatting sqref="Q45:R45">
    <cfRule type="expression" dxfId="164" priority="212">
      <formula>#REF! ="45≠33+34+35+39"</formula>
    </cfRule>
  </conditionalFormatting>
  <conditionalFormatting sqref="Q50:R50">
    <cfRule type="expression" dxfId="163" priority="213">
      <formula>#REF! ="50≠51+53"</formula>
    </cfRule>
  </conditionalFormatting>
  <conditionalFormatting sqref="Q54:R54">
    <cfRule type="expression" dxfId="162" priority="214">
      <formula>#REF! ="54≠55+56+57+58+59"</formula>
    </cfRule>
  </conditionalFormatting>
  <conditionalFormatting sqref="Q60:R60">
    <cfRule type="expression" dxfId="161" priority="215">
      <formula>#REF! ="60≠48+49+50+54"</formula>
    </cfRule>
  </conditionalFormatting>
  <conditionalFormatting sqref="Q62:R62">
    <cfRule type="expression" dxfId="160" priority="216">
      <formula>#REF! ="62≠45+46+60+61"</formula>
    </cfRule>
  </conditionalFormatting>
  <conditionalFormatting sqref="Q64:R64">
    <cfRule type="expression" dxfId="159" priority="217">
      <formula>#REF! ="64≠29+62"</formula>
    </cfRule>
  </conditionalFormatting>
  <conditionalFormatting sqref="Q74:R75">
    <cfRule type="expression" dxfId="158" priority="223">
      <formula>kvartal &lt; 4</formula>
    </cfRule>
  </conditionalFormatting>
  <conditionalFormatting sqref="Q80:R80">
    <cfRule type="expression" dxfId="157" priority="218">
      <formula>#REF! ="80≠73+74+75+76+77+78+79"</formula>
    </cfRule>
  </conditionalFormatting>
  <conditionalFormatting sqref="Q83:R83">
    <cfRule type="expression" dxfId="156" priority="222">
      <formula>kvartal &lt; 4</formula>
    </cfRule>
  </conditionalFormatting>
  <conditionalFormatting sqref="Q87:R87">
    <cfRule type="expression" dxfId="155" priority="219">
      <formula>#REF! ="88≠82+83+84+85+86+87"</formula>
    </cfRule>
  </conditionalFormatting>
  <conditionalFormatting sqref="Q93:R93">
    <cfRule type="expression" dxfId="154" priority="221">
      <formula>#REF! = "94≠68+69+71+80+88+89+90+91+92"</formula>
    </cfRule>
    <cfRule type="expression" dxfId="153" priority="220">
      <formula>#REF! = "64≠94"</formula>
    </cfRule>
  </conditionalFormatting>
  <conditionalFormatting sqref="T35:U35">
    <cfRule type="expression" dxfId="152" priority="236">
      <formula>#REF! ="35≠36+38"</formula>
    </cfRule>
  </conditionalFormatting>
  <conditionalFormatting sqref="T39:U39">
    <cfRule type="expression" dxfId="151" priority="237">
      <formula>#REF! ="39≠40+41+42+43+44"</formula>
    </cfRule>
  </conditionalFormatting>
  <conditionalFormatting sqref="T45:U45">
    <cfRule type="expression" dxfId="150" priority="238">
      <formula>#REF! ="45≠33+34+35+39"</formula>
    </cfRule>
  </conditionalFormatting>
  <conditionalFormatting sqref="T50:U50">
    <cfRule type="expression" dxfId="149" priority="239">
      <formula>#REF! ="50≠51+53"</formula>
    </cfRule>
  </conditionalFormatting>
  <conditionalFormatting sqref="T54:U54">
    <cfRule type="expression" dxfId="148" priority="240">
      <formula>#REF! ="54≠55+56+57+58+59"</formula>
    </cfRule>
  </conditionalFormatting>
  <conditionalFormatting sqref="T60:U60">
    <cfRule type="expression" dxfId="147" priority="241">
      <formula>#REF! ="60≠48+49+50+54"</formula>
    </cfRule>
  </conditionalFormatting>
  <conditionalFormatting sqref="T62:U62">
    <cfRule type="expression" dxfId="146" priority="242">
      <formula>#REF! ="62≠45+46+60+61"</formula>
    </cfRule>
  </conditionalFormatting>
  <conditionalFormatting sqref="T64:U64">
    <cfRule type="expression" dxfId="145" priority="243">
      <formula>#REF! ="64≠29+62"</formula>
    </cfRule>
  </conditionalFormatting>
  <conditionalFormatting sqref="T74:U75">
    <cfRule type="expression" dxfId="144" priority="249">
      <formula>kvartal &lt; 4</formula>
    </cfRule>
  </conditionalFormatting>
  <conditionalFormatting sqref="T80:U80">
    <cfRule type="expression" dxfId="143" priority="244">
      <formula>#REF! ="80≠73+74+75+76+77+78+79"</formula>
    </cfRule>
  </conditionalFormatting>
  <conditionalFormatting sqref="T83:U83">
    <cfRule type="expression" dxfId="142" priority="248">
      <formula>kvartal &lt; 4</formula>
    </cfRule>
  </conditionalFormatting>
  <conditionalFormatting sqref="T87:U87">
    <cfRule type="expression" dxfId="141" priority="245">
      <formula>#REF! ="88≠82+83+84+85+86+87"</formula>
    </cfRule>
  </conditionalFormatting>
  <conditionalFormatting sqref="T93:U93">
    <cfRule type="expression" dxfId="140" priority="247">
      <formula>#REF! = "94≠68+69+71+80+88+89+90+91+92"</formula>
    </cfRule>
    <cfRule type="expression" dxfId="139" priority="246">
      <formula>#REF! = "64≠94"</formula>
    </cfRule>
  </conditionalFormatting>
  <conditionalFormatting sqref="W35:X35">
    <cfRule type="expression" dxfId="138" priority="54">
      <formula>#REF! ="35≠36+38"</formula>
    </cfRule>
  </conditionalFormatting>
  <conditionalFormatting sqref="W39:X39">
    <cfRule type="expression" dxfId="137" priority="55">
      <formula>#REF! ="39≠40+41+42+43+44"</formula>
    </cfRule>
  </conditionalFormatting>
  <conditionalFormatting sqref="W45:X45">
    <cfRule type="expression" dxfId="136" priority="56">
      <formula>#REF! ="45≠33+34+35+39"</formula>
    </cfRule>
  </conditionalFormatting>
  <conditionalFormatting sqref="W50:X50">
    <cfRule type="expression" dxfId="135" priority="57">
      <formula>#REF! ="50≠51+53"</formula>
    </cfRule>
  </conditionalFormatting>
  <conditionalFormatting sqref="W54:X54">
    <cfRule type="expression" dxfId="134" priority="58">
      <formula>#REF! ="54≠55+56+57+58+59"</formula>
    </cfRule>
  </conditionalFormatting>
  <conditionalFormatting sqref="W60:X60">
    <cfRule type="expression" dxfId="133" priority="59">
      <formula>#REF! ="60≠48+49+50+54"</formula>
    </cfRule>
  </conditionalFormatting>
  <conditionalFormatting sqref="W62:X62">
    <cfRule type="expression" dxfId="132" priority="60">
      <formula>#REF! ="62≠45+46+60+61"</formula>
    </cfRule>
  </conditionalFormatting>
  <conditionalFormatting sqref="W64:X64">
    <cfRule type="expression" dxfId="131" priority="61">
      <formula>#REF! ="64≠29+62"</formula>
    </cfRule>
  </conditionalFormatting>
  <conditionalFormatting sqref="W74:X75">
    <cfRule type="expression" dxfId="130" priority="67">
      <formula>kvartal &lt; 4</formula>
    </cfRule>
  </conditionalFormatting>
  <conditionalFormatting sqref="W80:X80">
    <cfRule type="expression" dxfId="129" priority="62">
      <formula>#REF! ="80≠73+74+75+76+77+78+79"</formula>
    </cfRule>
  </conditionalFormatting>
  <conditionalFormatting sqref="W83:X83">
    <cfRule type="expression" dxfId="128" priority="66">
      <formula>kvartal &lt; 4</formula>
    </cfRule>
  </conditionalFormatting>
  <conditionalFormatting sqref="W87:X87">
    <cfRule type="expression" dxfId="127" priority="63">
      <formula>#REF! ="88≠82+83+84+85+86+87"</formula>
    </cfRule>
  </conditionalFormatting>
  <conditionalFormatting sqref="W93:X93">
    <cfRule type="expression" dxfId="126" priority="64">
      <formula>#REF! = "64≠94"</formula>
    </cfRule>
    <cfRule type="expression" dxfId="125" priority="65">
      <formula>#REF! = "94≠68+69+71+80+88+89+90+91+92"</formula>
    </cfRule>
  </conditionalFormatting>
  <conditionalFormatting sqref="Z35:AA35">
    <cfRule type="expression" dxfId="124" priority="106">
      <formula>#REF! ="35≠36+38"</formula>
    </cfRule>
  </conditionalFormatting>
  <conditionalFormatting sqref="Z39:AA39">
    <cfRule type="expression" dxfId="123" priority="107">
      <formula>#REF! ="39≠40+41+42+43+44"</formula>
    </cfRule>
  </conditionalFormatting>
  <conditionalFormatting sqref="Z45:AA45">
    <cfRule type="expression" dxfId="122" priority="108">
      <formula>#REF! ="45≠33+34+35+39"</formula>
    </cfRule>
  </conditionalFormatting>
  <conditionalFormatting sqref="Z50:AA50">
    <cfRule type="expression" dxfId="121" priority="109">
      <formula>#REF! ="50≠51+53"</formula>
    </cfRule>
  </conditionalFormatting>
  <conditionalFormatting sqref="Z54:AA54">
    <cfRule type="expression" dxfId="120" priority="110">
      <formula>#REF! ="54≠55+56+57+58+59"</formula>
    </cfRule>
  </conditionalFormatting>
  <conditionalFormatting sqref="Z60:AA60">
    <cfRule type="expression" dxfId="119" priority="111">
      <formula>#REF! ="60≠48+49+50+54"</formula>
    </cfRule>
  </conditionalFormatting>
  <conditionalFormatting sqref="Z62:AA62">
    <cfRule type="expression" dxfId="118" priority="112">
      <formula>#REF! ="62≠45+46+60+61"</formula>
    </cfRule>
  </conditionalFormatting>
  <conditionalFormatting sqref="Z64:AA64">
    <cfRule type="expression" dxfId="117" priority="113">
      <formula>#REF! ="64≠29+62"</formula>
    </cfRule>
  </conditionalFormatting>
  <conditionalFormatting sqref="Z74:AA75">
    <cfRule type="expression" dxfId="116" priority="119">
      <formula>kvartal &lt; 4</formula>
    </cfRule>
  </conditionalFormatting>
  <conditionalFormatting sqref="Z80:AA80">
    <cfRule type="expression" dxfId="115" priority="114">
      <formula>#REF! ="80≠73+74+75+76+77+78+79"</formula>
    </cfRule>
  </conditionalFormatting>
  <conditionalFormatting sqref="Z83:AA83">
    <cfRule type="expression" dxfId="114" priority="118">
      <formula>kvartal &lt; 4</formula>
    </cfRule>
  </conditionalFormatting>
  <conditionalFormatting sqref="Z87:AA87">
    <cfRule type="expression" dxfId="113" priority="115">
      <formula>#REF! ="88≠82+83+84+85+86+87"</formula>
    </cfRule>
  </conditionalFormatting>
  <conditionalFormatting sqref="Z93:AA93">
    <cfRule type="expression" dxfId="112" priority="116">
      <formula>#REF! = "64≠94"</formula>
    </cfRule>
    <cfRule type="expression" dxfId="111" priority="117">
      <formula>#REF! = "94≠68+69+71+80+88+89+90+91+92"</formula>
    </cfRule>
  </conditionalFormatting>
  <conditionalFormatting sqref="AC35:AD35">
    <cfRule type="expression" dxfId="110" priority="89">
      <formula>#REF! ="35≠36+38"</formula>
    </cfRule>
  </conditionalFormatting>
  <conditionalFormatting sqref="AC39:AD39">
    <cfRule type="expression" dxfId="109" priority="90">
      <formula>#REF! ="39≠40+41+42+43+44"</formula>
    </cfRule>
  </conditionalFormatting>
  <conditionalFormatting sqref="AC45:AD45">
    <cfRule type="expression" dxfId="108" priority="91">
      <formula>#REF! ="45≠33+34+35+39"</formula>
    </cfRule>
  </conditionalFormatting>
  <conditionalFormatting sqref="AC50:AD50">
    <cfRule type="expression" dxfId="107" priority="80">
      <formula>#REF! ="50≠51+53"</formula>
    </cfRule>
  </conditionalFormatting>
  <conditionalFormatting sqref="AC54:AD54">
    <cfRule type="expression" dxfId="106" priority="81">
      <formula>#REF! ="54≠55+56+57+58+59"</formula>
    </cfRule>
  </conditionalFormatting>
  <conditionalFormatting sqref="AC60:AD60">
    <cfRule type="expression" dxfId="105" priority="82">
      <formula>#REF! ="60≠48+49+50+54"</formula>
    </cfRule>
  </conditionalFormatting>
  <conditionalFormatting sqref="AC62:AD62">
    <cfRule type="expression" dxfId="104" priority="83">
      <formula>#REF! ="62≠45+46+60+61"</formula>
    </cfRule>
  </conditionalFormatting>
  <conditionalFormatting sqref="AC64:AD64">
    <cfRule type="expression" dxfId="103" priority="84">
      <formula>#REF! ="64≠29+62"</formula>
    </cfRule>
  </conditionalFormatting>
  <conditionalFormatting sqref="AC74:AD75">
    <cfRule type="expression" dxfId="102" priority="93">
      <formula>kvartal &lt; 4</formula>
    </cfRule>
  </conditionalFormatting>
  <conditionalFormatting sqref="AC80:AD80">
    <cfRule type="expression" dxfId="101" priority="85">
      <formula>#REF! ="80≠73+74+75+76+77+78+79"</formula>
    </cfRule>
  </conditionalFormatting>
  <conditionalFormatting sqref="AC83:AD83">
    <cfRule type="expression" dxfId="100" priority="92">
      <formula>kvartal &lt; 4</formula>
    </cfRule>
  </conditionalFormatting>
  <conditionalFormatting sqref="AC87:AD87">
    <cfRule type="expression" dxfId="99" priority="86">
      <formula>#REF! ="88≠82+83+84+85+86+87"</formula>
    </cfRule>
  </conditionalFormatting>
  <conditionalFormatting sqref="AC93:AD93">
    <cfRule type="expression" dxfId="98" priority="87">
      <formula>#REF! = "64≠94"</formula>
    </cfRule>
    <cfRule type="expression" dxfId="97" priority="88">
      <formula>#REF! = "94≠68+69+71+80+88+89+90+91+92"</formula>
    </cfRule>
  </conditionalFormatting>
  <conditionalFormatting sqref="AF93:AG93">
    <cfRule type="expression" dxfId="96" priority="570">
      <formula>#REF! = "94≠68+69+71+80+88+89+90+91+92"</formula>
    </cfRule>
    <cfRule type="expression" dxfId="95" priority="571">
      <formula>#REF! = "64≠94"</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36A58-13FF-4B52-977A-D26F59C53043}">
  <sheetPr codeName="Ark40"/>
  <dimension ref="A1:AY84"/>
  <sheetViews>
    <sheetView showGridLines="0" zoomScale="70" zoomScaleNormal="70" workbookViewId="0">
      <pane xSplit="1" ySplit="8" topLeftCell="B9" activePane="bottomRight" state="frozen"/>
      <selection activeCell="X52" sqref="X52"/>
      <selection pane="topRight" activeCell="X52" sqref="X52"/>
      <selection pane="bottomLeft" activeCell="X52" sqref="X52"/>
      <selection pane="bottomRight" activeCell="A4" sqref="A4"/>
    </sheetView>
  </sheetViews>
  <sheetFormatPr baseColWidth="10" defaultColWidth="11.44140625" defaultRowHeight="13.2" x14ac:dyDescent="0.25"/>
  <cols>
    <col min="1" max="1" width="84.5546875" style="402" customWidth="1"/>
    <col min="2" max="31" width="11.6640625" style="402" customWidth="1"/>
    <col min="32" max="32" width="13.5546875" style="402" customWidth="1"/>
    <col min="33" max="33" width="13" style="402" bestFit="1" customWidth="1"/>
    <col min="34" max="34" width="10.109375" style="402" bestFit="1" customWidth="1"/>
    <col min="35" max="35" width="12.109375" style="402" bestFit="1" customWidth="1"/>
    <col min="36" max="16384" width="11.44140625" style="402"/>
  </cols>
  <sheetData>
    <row r="1" spans="1:51" ht="20.25" customHeight="1" x14ac:dyDescent="0.35">
      <c r="A1" s="401" t="s">
        <v>301</v>
      </c>
      <c r="AI1" s="595"/>
    </row>
    <row r="2" spans="1:51" ht="20.100000000000001" customHeight="1" x14ac:dyDescent="0.35">
      <c r="A2" s="401" t="s">
        <v>418</v>
      </c>
      <c r="C2" s="515"/>
      <c r="D2" s="516"/>
      <c r="E2" s="516"/>
      <c r="AG2" s="596"/>
      <c r="AI2" s="595"/>
    </row>
    <row r="3" spans="1:51" ht="20.100000000000001" customHeight="1" x14ac:dyDescent="0.3">
      <c r="A3" s="597" t="s">
        <v>419</v>
      </c>
      <c r="AI3" s="595"/>
    </row>
    <row r="4" spans="1:51" ht="18.75" customHeight="1" x14ac:dyDescent="0.3">
      <c r="A4" s="598" t="s">
        <v>235</v>
      </c>
      <c r="B4" s="406"/>
      <c r="C4" s="406"/>
      <c r="D4" s="406"/>
      <c r="E4" s="406"/>
      <c r="F4" s="406"/>
      <c r="G4" s="407"/>
      <c r="H4" s="406"/>
      <c r="I4" s="406"/>
      <c r="J4" s="407"/>
      <c r="K4" s="405"/>
      <c r="L4" s="406"/>
      <c r="M4" s="407"/>
      <c r="N4" s="405"/>
      <c r="O4" s="406"/>
      <c r="P4" s="407"/>
      <c r="Q4" s="405"/>
      <c r="R4" s="406"/>
      <c r="S4" s="407"/>
      <c r="T4" s="405"/>
      <c r="U4" s="406"/>
      <c r="V4" s="407"/>
      <c r="W4" s="405"/>
      <c r="X4" s="406"/>
      <c r="Y4" s="407"/>
      <c r="Z4" s="405"/>
      <c r="AA4" s="406"/>
      <c r="AB4" s="407"/>
      <c r="AC4" s="405"/>
      <c r="AD4" s="406"/>
      <c r="AE4" s="407"/>
      <c r="AF4" s="405"/>
      <c r="AG4" s="406"/>
      <c r="AH4" s="407"/>
      <c r="AI4" s="599"/>
      <c r="AJ4" s="600"/>
      <c r="AK4" s="600"/>
      <c r="AL4" s="600"/>
      <c r="AM4" s="600"/>
      <c r="AN4" s="600"/>
      <c r="AO4" s="600"/>
      <c r="AP4" s="600"/>
      <c r="AQ4" s="600"/>
      <c r="AR4" s="600"/>
      <c r="AS4" s="600"/>
      <c r="AT4" s="600"/>
      <c r="AU4" s="600"/>
      <c r="AV4" s="600"/>
      <c r="AW4" s="600"/>
      <c r="AX4" s="600"/>
      <c r="AY4" s="600"/>
    </row>
    <row r="5" spans="1:51" ht="18.75" customHeight="1" x14ac:dyDescent="0.3">
      <c r="A5" s="410" t="s">
        <v>420</v>
      </c>
      <c r="B5" s="787" t="s">
        <v>236</v>
      </c>
      <c r="C5" s="788"/>
      <c r="D5" s="789"/>
      <c r="E5" s="787"/>
      <c r="F5" s="788"/>
      <c r="G5" s="789"/>
      <c r="H5" s="787" t="s">
        <v>237</v>
      </c>
      <c r="I5" s="788"/>
      <c r="J5" s="789"/>
      <c r="K5" s="787" t="s">
        <v>238</v>
      </c>
      <c r="L5" s="788"/>
      <c r="M5" s="789"/>
      <c r="N5" s="641" t="s">
        <v>304</v>
      </c>
      <c r="O5" s="642"/>
      <c r="P5" s="643"/>
      <c r="Q5" s="641"/>
      <c r="R5" s="642"/>
      <c r="S5" s="643"/>
      <c r="T5" s="787" t="s">
        <v>239</v>
      </c>
      <c r="U5" s="788"/>
      <c r="V5" s="789"/>
      <c r="W5" s="787" t="s">
        <v>247</v>
      </c>
      <c r="X5" s="788"/>
      <c r="Y5" s="789"/>
      <c r="Z5" s="787" t="s">
        <v>240</v>
      </c>
      <c r="AA5" s="788"/>
      <c r="AB5" s="789"/>
      <c r="AC5" s="787" t="s">
        <v>241</v>
      </c>
      <c r="AD5" s="788"/>
      <c r="AE5" s="789"/>
      <c r="AF5" s="787" t="s">
        <v>421</v>
      </c>
      <c r="AG5" s="788"/>
      <c r="AH5" s="789"/>
      <c r="AJ5" s="645"/>
      <c r="AK5" s="797"/>
      <c r="AL5" s="797"/>
      <c r="AM5" s="797"/>
      <c r="AN5" s="797"/>
      <c r="AO5" s="797"/>
      <c r="AP5" s="797"/>
      <c r="AQ5" s="797"/>
      <c r="AR5" s="797"/>
      <c r="AS5" s="797"/>
      <c r="AT5" s="797"/>
      <c r="AU5" s="797"/>
      <c r="AV5" s="797"/>
      <c r="AW5" s="797"/>
      <c r="AX5" s="797"/>
      <c r="AY5" s="797"/>
    </row>
    <row r="6" spans="1:51" ht="18.75" customHeight="1" x14ac:dyDescent="0.3">
      <c r="A6" s="411" t="s">
        <v>422</v>
      </c>
      <c r="B6" s="790" t="s">
        <v>243</v>
      </c>
      <c r="C6" s="791"/>
      <c r="D6" s="792"/>
      <c r="E6" s="790" t="s">
        <v>244</v>
      </c>
      <c r="F6" s="791"/>
      <c r="G6" s="792"/>
      <c r="H6" s="790" t="s">
        <v>243</v>
      </c>
      <c r="I6" s="791"/>
      <c r="J6" s="792"/>
      <c r="K6" s="790" t="s">
        <v>245</v>
      </c>
      <c r="L6" s="791"/>
      <c r="M6" s="792"/>
      <c r="N6" s="790" t="s">
        <v>55</v>
      </c>
      <c r="O6" s="791"/>
      <c r="P6" s="792"/>
      <c r="Q6" s="790" t="s">
        <v>60</v>
      </c>
      <c r="R6" s="791"/>
      <c r="S6" s="792"/>
      <c r="T6" s="790" t="s">
        <v>246</v>
      </c>
      <c r="U6" s="791"/>
      <c r="V6" s="792"/>
      <c r="W6" s="790" t="s">
        <v>305</v>
      </c>
      <c r="X6" s="791"/>
      <c r="Y6" s="792"/>
      <c r="Z6" s="790" t="s">
        <v>243</v>
      </c>
      <c r="AA6" s="791"/>
      <c r="AB6" s="792"/>
      <c r="AC6" s="790" t="s">
        <v>305</v>
      </c>
      <c r="AD6" s="791"/>
      <c r="AE6" s="792"/>
      <c r="AF6" s="790" t="s">
        <v>423</v>
      </c>
      <c r="AG6" s="791"/>
      <c r="AH6" s="792"/>
      <c r="AJ6" s="645"/>
      <c r="AK6" s="797"/>
      <c r="AL6" s="797"/>
      <c r="AM6" s="797"/>
      <c r="AN6" s="797"/>
      <c r="AO6" s="797"/>
      <c r="AP6" s="797"/>
      <c r="AQ6" s="797"/>
      <c r="AR6" s="797"/>
      <c r="AS6" s="797"/>
      <c r="AT6" s="797"/>
      <c r="AU6" s="797"/>
      <c r="AV6" s="797"/>
      <c r="AW6" s="797"/>
      <c r="AX6" s="797"/>
      <c r="AY6" s="797"/>
    </row>
    <row r="7" spans="1:51" ht="18.75" customHeight="1" x14ac:dyDescent="0.3">
      <c r="A7" s="411"/>
      <c r="B7" s="412"/>
      <c r="C7" s="412"/>
      <c r="D7" s="413" t="s">
        <v>85</v>
      </c>
      <c r="E7" s="412"/>
      <c r="F7" s="412"/>
      <c r="G7" s="413" t="s">
        <v>85</v>
      </c>
      <c r="H7" s="412"/>
      <c r="I7" s="412"/>
      <c r="J7" s="413" t="s">
        <v>85</v>
      </c>
      <c r="K7" s="412"/>
      <c r="L7" s="412"/>
      <c r="M7" s="413" t="s">
        <v>85</v>
      </c>
      <c r="N7" s="412"/>
      <c r="O7" s="412"/>
      <c r="P7" s="413" t="s">
        <v>85</v>
      </c>
      <c r="Q7" s="412"/>
      <c r="R7" s="412"/>
      <c r="S7" s="413" t="s">
        <v>85</v>
      </c>
      <c r="T7" s="412"/>
      <c r="U7" s="412"/>
      <c r="V7" s="413" t="s">
        <v>85</v>
      </c>
      <c r="W7" s="412"/>
      <c r="X7" s="412"/>
      <c r="Y7" s="413" t="s">
        <v>85</v>
      </c>
      <c r="Z7" s="412"/>
      <c r="AA7" s="412"/>
      <c r="AB7" s="413" t="s">
        <v>85</v>
      </c>
      <c r="AC7" s="412"/>
      <c r="AD7" s="412"/>
      <c r="AE7" s="413" t="s">
        <v>85</v>
      </c>
      <c r="AF7" s="412"/>
      <c r="AG7" s="412"/>
      <c r="AH7" s="413" t="s">
        <v>85</v>
      </c>
      <c r="AJ7" s="645"/>
      <c r="AK7" s="645"/>
      <c r="AL7" s="645"/>
      <c r="AM7" s="645"/>
      <c r="AN7" s="645"/>
      <c r="AO7" s="645"/>
      <c r="AP7" s="645"/>
      <c r="AQ7" s="645"/>
      <c r="AR7" s="645"/>
      <c r="AS7" s="645"/>
      <c r="AT7" s="645"/>
      <c r="AU7" s="645"/>
      <c r="AV7" s="645"/>
      <c r="AW7" s="645"/>
      <c r="AX7" s="645"/>
      <c r="AY7" s="645"/>
    </row>
    <row r="8" spans="1:51" ht="18.75" customHeight="1" x14ac:dyDescent="0.35">
      <c r="A8" s="531" t="s">
        <v>250</v>
      </c>
      <c r="B8" s="415">
        <v>2024</v>
      </c>
      <c r="C8" s="415">
        <v>2025</v>
      </c>
      <c r="D8" s="416" t="s">
        <v>88</v>
      </c>
      <c r="E8" s="415">
        <v>2024</v>
      </c>
      <c r="F8" s="415">
        <v>2025</v>
      </c>
      <c r="G8" s="416" t="s">
        <v>88</v>
      </c>
      <c r="H8" s="415">
        <v>2024</v>
      </c>
      <c r="I8" s="415">
        <v>2025</v>
      </c>
      <c r="J8" s="416" t="s">
        <v>88</v>
      </c>
      <c r="K8" s="415">
        <v>2024</v>
      </c>
      <c r="L8" s="415">
        <v>2025</v>
      </c>
      <c r="M8" s="416" t="s">
        <v>88</v>
      </c>
      <c r="N8" s="415">
        <v>2024</v>
      </c>
      <c r="O8" s="415">
        <v>2025</v>
      </c>
      <c r="P8" s="416" t="s">
        <v>88</v>
      </c>
      <c r="Q8" s="415">
        <v>2024</v>
      </c>
      <c r="R8" s="415">
        <v>2025</v>
      </c>
      <c r="S8" s="416" t="s">
        <v>88</v>
      </c>
      <c r="T8" s="415">
        <v>2024</v>
      </c>
      <c r="U8" s="415">
        <v>2025</v>
      </c>
      <c r="V8" s="416" t="s">
        <v>88</v>
      </c>
      <c r="W8" s="415">
        <v>2024</v>
      </c>
      <c r="X8" s="415">
        <v>2025</v>
      </c>
      <c r="Y8" s="416" t="s">
        <v>88</v>
      </c>
      <c r="Z8" s="415">
        <v>2024</v>
      </c>
      <c r="AA8" s="415">
        <v>2025</v>
      </c>
      <c r="AB8" s="416" t="s">
        <v>88</v>
      </c>
      <c r="AC8" s="415">
        <v>2024</v>
      </c>
      <c r="AD8" s="415">
        <v>2025</v>
      </c>
      <c r="AE8" s="416" t="s">
        <v>88</v>
      </c>
      <c r="AF8" s="415">
        <v>2024</v>
      </c>
      <c r="AG8" s="415">
        <v>2025</v>
      </c>
      <c r="AH8" s="416" t="s">
        <v>88</v>
      </c>
      <c r="AJ8" s="601"/>
      <c r="AK8" s="602"/>
      <c r="AL8" s="602"/>
      <c r="AM8" s="601"/>
      <c r="AN8" s="602"/>
      <c r="AO8" s="602"/>
      <c r="AP8" s="601"/>
      <c r="AQ8" s="602"/>
      <c r="AR8" s="602"/>
      <c r="AS8" s="601"/>
      <c r="AT8" s="602"/>
      <c r="AU8" s="602"/>
      <c r="AV8" s="601"/>
      <c r="AW8" s="602"/>
      <c r="AX8" s="602"/>
      <c r="AY8" s="601"/>
    </row>
    <row r="9" spans="1:51" ht="18.75" customHeight="1" x14ac:dyDescent="0.35">
      <c r="A9" s="457"/>
      <c r="B9" s="603"/>
      <c r="C9" s="449"/>
      <c r="D9" s="449"/>
      <c r="E9" s="603"/>
      <c r="F9" s="449"/>
      <c r="G9" s="449"/>
      <c r="H9" s="603"/>
      <c r="I9" s="449"/>
      <c r="J9" s="449"/>
      <c r="K9" s="604"/>
      <c r="L9" s="549"/>
      <c r="M9" s="449"/>
      <c r="N9" s="434"/>
      <c r="O9" s="435"/>
      <c r="P9" s="449"/>
      <c r="Q9" s="603"/>
      <c r="R9" s="449"/>
      <c r="S9" s="449"/>
      <c r="T9" s="603"/>
      <c r="U9" s="449"/>
      <c r="V9" s="449"/>
      <c r="W9" s="434"/>
      <c r="X9" s="435"/>
      <c r="Y9" s="449"/>
      <c r="Z9" s="434"/>
      <c r="AA9" s="435"/>
      <c r="AB9" s="449"/>
      <c r="AC9" s="434"/>
      <c r="AD9" s="435"/>
      <c r="AE9" s="449"/>
      <c r="AF9" s="434"/>
      <c r="AG9" s="604"/>
      <c r="AH9" s="605"/>
    </row>
    <row r="10" spans="1:51" ht="18.75" customHeight="1" x14ac:dyDescent="0.35">
      <c r="A10" s="457" t="s">
        <v>424</v>
      </c>
      <c r="B10" s="603"/>
      <c r="C10" s="449"/>
      <c r="D10" s="449"/>
      <c r="E10" s="603"/>
      <c r="F10" s="449"/>
      <c r="G10" s="449"/>
      <c r="H10" s="603"/>
      <c r="I10" s="449"/>
      <c r="J10" s="449"/>
      <c r="K10" s="711"/>
      <c r="L10" s="605"/>
      <c r="M10" s="449"/>
      <c r="N10" s="603"/>
      <c r="O10" s="449"/>
      <c r="P10" s="449"/>
      <c r="Q10" s="603"/>
      <c r="R10" s="449"/>
      <c r="S10" s="449"/>
      <c r="T10" s="603"/>
      <c r="U10" s="449"/>
      <c r="V10" s="449"/>
      <c r="W10" s="603"/>
      <c r="X10" s="449"/>
      <c r="Y10" s="449"/>
      <c r="Z10" s="603"/>
      <c r="AA10" s="449"/>
      <c r="AB10" s="449"/>
      <c r="AC10" s="603"/>
      <c r="AD10" s="449"/>
      <c r="AE10" s="449"/>
      <c r="AF10" s="434"/>
      <c r="AG10" s="603"/>
      <c r="AH10" s="605"/>
    </row>
    <row r="11" spans="1:51" s="609" customFormat="1" ht="18.75" customHeight="1" x14ac:dyDescent="0.3">
      <c r="A11" s="606" t="s">
        <v>425</v>
      </c>
      <c r="B11" s="607">
        <f>SUM(B12+B15+B18+B19+B21+B22)</f>
        <v>173177</v>
      </c>
      <c r="C11" s="450">
        <f>SUM(C12+C15+C18+C19+C21+C22)</f>
        <v>170369</v>
      </c>
      <c r="D11" s="450">
        <f t="shared" ref="D11:D59" si="0">IF(B11=0, "    ---- ", IF(ABS(ROUND(100/B11*C11-100,1))&lt;999,ROUND(100/B11*C11-100,1),IF(ROUND(100/B11*C11-100,1)&gt;999,999,-999)))</f>
        <v>-1.6</v>
      </c>
      <c r="E11" s="607">
        <f>SUM(E12+E15+E18+E19+E21+E22)</f>
        <v>9686.1368891700004</v>
      </c>
      <c r="F11" s="450">
        <f>SUM(F12+F15+F18+F19+F21+F22)</f>
        <v>10511.11309275</v>
      </c>
      <c r="G11" s="450">
        <f>IF(E11=0, "    ---- ", IF(ABS(ROUND(100/E11*F11-100,1))&lt;999,ROUND(100/E11*F11-100,1),IF(ROUND(100/E11*F11-100,1)&gt;999,999,-999)))</f>
        <v>8.5</v>
      </c>
      <c r="H11" s="607">
        <f>SUM(H12+H15+H18+H19+H21+H22)</f>
        <v>2018.5850000000003</v>
      </c>
      <c r="I11" s="450">
        <f>SUM(I12+I15+I18+I19+I21+I22)</f>
        <v>2371.8130000000001</v>
      </c>
      <c r="J11" s="450">
        <f t="shared" ref="J11:J37" si="1">IF(H11=0, "    ---- ", IF(ABS(ROUND(100/H11*I11-100,1))&lt;999,ROUND(100/H11*I11-100,1),IF(ROUND(100/H11*I11-100,1)&gt;999,999,-999)))</f>
        <v>17.5</v>
      </c>
      <c r="K11" s="607">
        <f>SUM(K12+K15+K18+K19+K21+K22)</f>
        <v>10495</v>
      </c>
      <c r="L11" s="450">
        <f>SUM(L12+L15+L18+L19+L21+L22)</f>
        <v>11281</v>
      </c>
      <c r="M11" s="450">
        <f>IF(K11=0, "    ---- ", IF(ABS(ROUND(100/K11*L11-100,1))&lt;999,ROUND(100/K11*L11-100,1),IF(ROUND(100/K11*L11-100,1)&gt;999,999,-999)))</f>
        <v>7.5</v>
      </c>
      <c r="N11" s="607">
        <f>SUM(N12+N15+N18+N19+N21+N22)</f>
        <v>613543.38080131996</v>
      </c>
      <c r="O11" s="450">
        <v>658326.35563471995</v>
      </c>
      <c r="P11" s="450">
        <f>IF(N11=0, "    ---- ", IF(ABS(ROUND(100/N11*O11-100,1))&lt;999,ROUND(100/N11*O11-100,1),IF(ROUND(100/N11*O11-100,1)&gt;999,999,-999)))</f>
        <v>7.3</v>
      </c>
      <c r="Q11" s="607">
        <f>SUM(Q12+Q15+Q18+Q19+Q21+Q22)</f>
        <v>47828.808883918457</v>
      </c>
      <c r="R11" s="450">
        <f>SUM(R12+R15+R18+R19+R21+R22)</f>
        <v>48848.590915599547</v>
      </c>
      <c r="S11" s="450">
        <f t="shared" ref="S11:S48" si="2">IF(Q11=0, "    ---- ", IF(ABS(ROUND(100/Q11*R11-100,1))&lt;999,ROUND(100/Q11*R11-100,1),IF(ROUND(100/Q11*R11-100,1)&gt;999,999,-999)))</f>
        <v>2.1</v>
      </c>
      <c r="T11" s="607">
        <f>SUM(T12+T15+T18+T19+T21+T22)</f>
        <v>91509</v>
      </c>
      <c r="U11" s="450">
        <f>SUM(U12+U15+U18+U19+U21+U22)</f>
        <v>96747</v>
      </c>
      <c r="V11" s="450">
        <f>IF(T11=0, "    ---- ", IF(ABS(ROUND(100/T11*U11-100,1))&lt;999,ROUND(100/T11*U11-100,1),IF(ROUND(100/T11*U11-100,1)&gt;999,999,-999)))</f>
        <v>5.7</v>
      </c>
      <c r="W11" s="607">
        <f>SUM(W12+W15+W18+W19+W21+W22)</f>
        <v>20232</v>
      </c>
      <c r="X11" s="450">
        <f>SUM(X12+X15+X18+X19+X21+X22)</f>
        <v>22243.772663570009</v>
      </c>
      <c r="Y11" s="450">
        <f t="shared" ref="Y11:Y48" si="3">IF(W11=0, "    ---- ", IF(ABS(ROUND(100/W11*X11-100,1))&lt;999,ROUND(100/W11*X11-100,1),IF(ROUND(100/W11*X11-100,1)&gt;999,999,-999)))</f>
        <v>9.9</v>
      </c>
      <c r="Z11" s="607">
        <f>SUM(Z12+Z15+Z18+Z19+Z21+Z22)</f>
        <v>195514.32435272</v>
      </c>
      <c r="AA11" s="450">
        <f>SUM(AA12+AA15+AA18+AA19+AA21+AA22)</f>
        <v>201845.65630446008</v>
      </c>
      <c r="AB11" s="450">
        <f t="shared" ref="AB11:AB49" si="4">IF(Z11=0, "    ---- ", IF(ABS(ROUND(100/Z11*AA11-100,1))&lt;999,ROUND(100/Z11*AA11-100,1),IF(ROUND(100/Z11*AA11-100,1)&gt;999,999,-999)))</f>
        <v>3.2</v>
      </c>
      <c r="AC11" s="607">
        <f>SUM(AC12+AC15+AC18+AC19+AC21+AC22)</f>
        <v>121</v>
      </c>
      <c r="AD11" s="450">
        <f>SUM(AD12+AD15+AD18+AD19+AD21+AD22)</f>
        <v>222</v>
      </c>
      <c r="AE11" s="450">
        <f t="shared" ref="AE11:AE12" si="5">IF(AC11=0, "    ---- ", IF(ABS(ROUND(100/AC11*AD11-100,1))&lt;999,ROUND(100/AC11*AD11-100,1),IF(ROUND(100/AC11*AD11-100,1)&gt;999,999,-999)))</f>
        <v>83.5</v>
      </c>
      <c r="AF11" s="432">
        <f>B11+E11+H11+K11+N11+Q11+T11+W11+Z11+AC11</f>
        <v>1164125.2359271285</v>
      </c>
      <c r="AG11" s="607">
        <f>C11+F11+I11+L11+O11+R11+U11+X11+AA11+AD11</f>
        <v>1222766.3016110996</v>
      </c>
      <c r="AH11" s="608">
        <f t="shared" ref="AH11:AH59" si="6">IF(AF11=0, "    ---- ", IF(ABS(ROUND(100/AF11*AG11-100,1))&lt;999,ROUND(100/AF11*AG11-100,1),IF(ROUND(100/AF11*AG11-100,1)&gt;999,999,-999)))</f>
        <v>5</v>
      </c>
      <c r="AI11" s="528"/>
    </row>
    <row r="12" spans="1:51" ht="18.75" customHeight="1" x14ac:dyDescent="0.35">
      <c r="A12" s="610" t="s">
        <v>426</v>
      </c>
      <c r="B12" s="603">
        <v>5575</v>
      </c>
      <c r="C12" s="449">
        <v>4826</v>
      </c>
      <c r="D12" s="449">
        <f t="shared" si="0"/>
        <v>-13.4</v>
      </c>
      <c r="E12" s="603">
        <v>835.19165500999998</v>
      </c>
      <c r="F12" s="449">
        <v>889.43016410000007</v>
      </c>
      <c r="G12" s="449">
        <f>IF(E12=0, "    ---- ", IF(ABS(ROUND(100/E12*F12-100,1))&lt;999,ROUND(100/E12*F12-100,1),IF(ROUND(100/E12*F12-100,1)&gt;999,999,-999)))</f>
        <v>6.5</v>
      </c>
      <c r="H12" s="603">
        <v>81.537999999999997</v>
      </c>
      <c r="I12" s="449">
        <v>86.614999999999995</v>
      </c>
      <c r="J12" s="449">
        <f t="shared" si="1"/>
        <v>6.2</v>
      </c>
      <c r="K12" s="603"/>
      <c r="L12" s="449"/>
      <c r="M12" s="449"/>
      <c r="N12" s="603"/>
      <c r="O12" s="449"/>
      <c r="P12" s="449"/>
      <c r="Q12" s="603">
        <v>534.85575298365256</v>
      </c>
      <c r="R12" s="449">
        <v>487.0317451283334</v>
      </c>
      <c r="S12" s="449">
        <f t="shared" si="2"/>
        <v>-8.9</v>
      </c>
      <c r="T12" s="603"/>
      <c r="U12" s="449"/>
      <c r="V12" s="449"/>
      <c r="W12" s="603">
        <v>251</v>
      </c>
      <c r="X12" s="449">
        <v>217.99191013000009</v>
      </c>
      <c r="Y12" s="449">
        <f t="shared" si="3"/>
        <v>-13.2</v>
      </c>
      <c r="Z12" s="603">
        <v>2497.6317308399998</v>
      </c>
      <c r="AA12" s="449">
        <v>2481.8163784000003</v>
      </c>
      <c r="AB12" s="449">
        <f t="shared" si="4"/>
        <v>-0.6</v>
      </c>
      <c r="AC12" s="603">
        <v>4</v>
      </c>
      <c r="AD12" s="449">
        <v>6</v>
      </c>
      <c r="AE12" s="449">
        <f t="shared" si="5"/>
        <v>50</v>
      </c>
      <c r="AF12" s="434">
        <f t="shared" ref="AF12:AF50" si="7">B12+E12+H12+K12+N12+Q12+T12+W12+Z12+AC12</f>
        <v>9779.2171388336519</v>
      </c>
      <c r="AG12" s="603">
        <f t="shared" ref="AG12:AG50" si="8">C12+F12+I12+L12+O12+R12+U12+X12+AA12+AD12</f>
        <v>8994.8851977583345</v>
      </c>
      <c r="AH12" s="605">
        <f t="shared" si="6"/>
        <v>-8</v>
      </c>
    </row>
    <row r="13" spans="1:51" ht="18.75" customHeight="1" x14ac:dyDescent="0.35">
      <c r="A13" s="610" t="s">
        <v>427</v>
      </c>
      <c r="B13" s="434">
        <v>1812</v>
      </c>
      <c r="C13" s="435">
        <v>1631</v>
      </c>
      <c r="D13" s="435">
        <f t="shared" si="0"/>
        <v>-10</v>
      </c>
      <c r="E13" s="434"/>
      <c r="F13" s="435"/>
      <c r="G13" s="435"/>
      <c r="H13" s="434"/>
      <c r="I13" s="435"/>
      <c r="J13" s="435"/>
      <c r="K13" s="603"/>
      <c r="L13" s="449"/>
      <c r="M13" s="435"/>
      <c r="N13" s="434"/>
      <c r="O13" s="435"/>
      <c r="P13" s="435"/>
      <c r="Q13" s="434">
        <v>271.33133515177644</v>
      </c>
      <c r="R13" s="435">
        <v>246.01645365448755</v>
      </c>
      <c r="S13" s="435">
        <f t="shared" si="2"/>
        <v>-9.3000000000000007</v>
      </c>
      <c r="T13" s="434"/>
      <c r="U13" s="435"/>
      <c r="V13" s="435"/>
      <c r="W13" s="434">
        <v>179</v>
      </c>
      <c r="X13" s="435">
        <v>156.62266839000006</v>
      </c>
      <c r="Y13" s="435">
        <f t="shared" si="3"/>
        <v>-12.5</v>
      </c>
      <c r="Z13" s="434">
        <v>1679.6059224999999</v>
      </c>
      <c r="AA13" s="435">
        <v>1577.0003505900004</v>
      </c>
      <c r="AB13" s="435">
        <f t="shared" si="4"/>
        <v>-6.1</v>
      </c>
      <c r="AC13" s="434"/>
      <c r="AD13" s="435"/>
      <c r="AE13" s="435"/>
      <c r="AF13" s="434">
        <f t="shared" si="7"/>
        <v>3941.9372576517762</v>
      </c>
      <c r="AG13" s="603">
        <f t="shared" si="8"/>
        <v>3610.6394726344879</v>
      </c>
      <c r="AH13" s="611">
        <f t="shared" si="6"/>
        <v>-8.4</v>
      </c>
    </row>
    <row r="14" spans="1:51" ht="18.75" customHeight="1" x14ac:dyDescent="0.35">
      <c r="A14" s="610" t="s">
        <v>428</v>
      </c>
      <c r="B14" s="434">
        <v>3762</v>
      </c>
      <c r="C14" s="435">
        <v>3195</v>
      </c>
      <c r="D14" s="435">
        <f t="shared" si="0"/>
        <v>-15.1</v>
      </c>
      <c r="E14" s="434"/>
      <c r="F14" s="435"/>
      <c r="G14" s="435"/>
      <c r="H14" s="434"/>
      <c r="I14" s="435"/>
      <c r="J14" s="435"/>
      <c r="K14" s="434"/>
      <c r="L14" s="435"/>
      <c r="M14" s="435"/>
      <c r="N14" s="434"/>
      <c r="O14" s="435"/>
      <c r="P14" s="435"/>
      <c r="Q14" s="434"/>
      <c r="R14" s="435"/>
      <c r="S14" s="435"/>
      <c r="T14" s="434"/>
      <c r="U14" s="435"/>
      <c r="V14" s="435"/>
      <c r="W14" s="434">
        <v>72</v>
      </c>
      <c r="X14" s="435">
        <v>58.269793709999988</v>
      </c>
      <c r="Y14" s="435">
        <f t="shared" si="3"/>
        <v>-19.100000000000001</v>
      </c>
      <c r="Z14" s="434"/>
      <c r="AA14" s="435"/>
      <c r="AB14" s="435"/>
      <c r="AC14" s="434"/>
      <c r="AD14" s="435"/>
      <c r="AE14" s="435"/>
      <c r="AF14" s="434">
        <f t="shared" si="7"/>
        <v>3834</v>
      </c>
      <c r="AG14" s="603">
        <f t="shared" si="8"/>
        <v>3253.2697937100002</v>
      </c>
      <c r="AH14" s="611">
        <f t="shared" si="6"/>
        <v>-15.1</v>
      </c>
    </row>
    <row r="15" spans="1:51" ht="18.75" customHeight="1" x14ac:dyDescent="0.35">
      <c r="A15" s="610" t="s">
        <v>429</v>
      </c>
      <c r="B15" s="603">
        <v>18573</v>
      </c>
      <c r="C15" s="449">
        <v>17770</v>
      </c>
      <c r="D15" s="605">
        <f t="shared" si="0"/>
        <v>-4.3</v>
      </c>
      <c r="E15" s="603">
        <v>5177.0630521899993</v>
      </c>
      <c r="F15" s="449">
        <v>5693.5438733999999</v>
      </c>
      <c r="G15" s="605">
        <f>IF(E15=0, "    ---- ", IF(ABS(ROUND(100/E15*F15-100,1))&lt;999,ROUND(100/E15*F15-100,1),IF(ROUND(100/E15*F15-100,1)&gt;999,999,-999)))</f>
        <v>10</v>
      </c>
      <c r="H15" s="603">
        <v>1759.998</v>
      </c>
      <c r="I15" s="449">
        <v>2081.0340000000001</v>
      </c>
      <c r="J15" s="605">
        <f t="shared" si="1"/>
        <v>18.2</v>
      </c>
      <c r="K15" s="603">
        <v>4378</v>
      </c>
      <c r="L15" s="449">
        <v>4966</v>
      </c>
      <c r="M15" s="605">
        <f>IF(K15=0, "    ---- ", IF(ABS(ROUND(100/K15*L15-100,1))&lt;999,ROUND(100/K15*L15-100,1),IF(ROUND(100/K15*L15-100,1)&gt;999,999,-999)))</f>
        <v>13.4</v>
      </c>
      <c r="N15" s="603"/>
      <c r="O15" s="449"/>
      <c r="P15" s="605"/>
      <c r="Q15" s="603">
        <v>3805.6754645402648</v>
      </c>
      <c r="R15" s="449">
        <v>4094.3196637400119</v>
      </c>
      <c r="S15" s="605">
        <f t="shared" si="2"/>
        <v>7.6</v>
      </c>
      <c r="T15" s="603"/>
      <c r="U15" s="449"/>
      <c r="V15" s="605"/>
      <c r="W15" s="603">
        <v>2046</v>
      </c>
      <c r="X15" s="449">
        <v>1980.0228809100004</v>
      </c>
      <c r="Y15" s="605">
        <f t="shared" si="3"/>
        <v>-3.2</v>
      </c>
      <c r="Z15" s="603">
        <v>8631.5614198099993</v>
      </c>
      <c r="AA15" s="449">
        <v>8730.7129323000008</v>
      </c>
      <c r="AB15" s="605">
        <f t="shared" si="4"/>
        <v>1.1000000000000001</v>
      </c>
      <c r="AC15" s="603">
        <v>13</v>
      </c>
      <c r="AD15" s="449">
        <v>33</v>
      </c>
      <c r="AE15" s="605">
        <f t="shared" ref="AE15" si="9">IF(AC15=0, "    ---- ", IF(ABS(ROUND(100/AC15*AD15-100,1))&lt;999,ROUND(100/AC15*AD15-100,1),IF(ROUND(100/AC15*AD15-100,1)&gt;999,999,-999)))</f>
        <v>153.80000000000001</v>
      </c>
      <c r="AF15" s="434">
        <f t="shared" si="7"/>
        <v>44384.297936540264</v>
      </c>
      <c r="AG15" s="603">
        <f t="shared" si="8"/>
        <v>45348.633350350006</v>
      </c>
      <c r="AH15" s="605">
        <f t="shared" si="6"/>
        <v>2.2000000000000002</v>
      </c>
    </row>
    <row r="16" spans="1:51" ht="18.75" customHeight="1" x14ac:dyDescent="0.35">
      <c r="A16" s="610" t="s">
        <v>427</v>
      </c>
      <c r="B16" s="603">
        <v>15769</v>
      </c>
      <c r="C16" s="449">
        <v>14901</v>
      </c>
      <c r="D16" s="605">
        <f t="shared" si="0"/>
        <v>-5.5</v>
      </c>
      <c r="E16" s="603"/>
      <c r="F16" s="449"/>
      <c r="G16" s="605"/>
      <c r="H16" s="603"/>
      <c r="I16" s="449"/>
      <c r="J16" s="605"/>
      <c r="K16" s="603"/>
      <c r="L16" s="449"/>
      <c r="M16" s="605"/>
      <c r="N16" s="603"/>
      <c r="O16" s="449"/>
      <c r="P16" s="605"/>
      <c r="Q16" s="603">
        <v>2036.5223420773768</v>
      </c>
      <c r="R16" s="449">
        <v>1977.4247928171153</v>
      </c>
      <c r="S16" s="605">
        <f t="shared" si="2"/>
        <v>-2.9</v>
      </c>
      <c r="T16" s="603"/>
      <c r="U16" s="449"/>
      <c r="V16" s="605"/>
      <c r="W16" s="603">
        <v>1787</v>
      </c>
      <c r="X16" s="449">
        <v>1654.1931257199994</v>
      </c>
      <c r="Y16" s="605">
        <f t="shared" si="3"/>
        <v>-7.4</v>
      </c>
      <c r="Z16" s="603">
        <v>7579.24937082</v>
      </c>
      <c r="AA16" s="449">
        <v>7492.345982750001</v>
      </c>
      <c r="AB16" s="605">
        <f t="shared" si="4"/>
        <v>-1.1000000000000001</v>
      </c>
      <c r="AC16" s="603"/>
      <c r="AD16" s="449"/>
      <c r="AE16" s="605"/>
      <c r="AF16" s="434">
        <f t="shared" si="7"/>
        <v>27171.771712897375</v>
      </c>
      <c r="AG16" s="603">
        <f t="shared" si="8"/>
        <v>26024.963901287116</v>
      </c>
      <c r="AH16" s="605">
        <f t="shared" si="6"/>
        <v>-4.2</v>
      </c>
    </row>
    <row r="17" spans="1:35" ht="18.75" customHeight="1" x14ac:dyDescent="0.35">
      <c r="A17" s="610" t="s">
        <v>428</v>
      </c>
      <c r="B17" s="603">
        <v>2804</v>
      </c>
      <c r="C17" s="449">
        <v>2869</v>
      </c>
      <c r="D17" s="605">
        <f t="shared" si="0"/>
        <v>2.2999999999999998</v>
      </c>
      <c r="E17" s="603">
        <v>322.59030494999996</v>
      </c>
      <c r="F17" s="449">
        <v>362.31104393999999</v>
      </c>
      <c r="G17" s="605">
        <f>IF(E17=0, "    ---- ", IF(ABS(ROUND(100/E17*F17-100,1))&lt;999,ROUND(100/E17*F17-100,1),IF(ROUND(100/E17*F17-100,1)&gt;999,999,-999)))</f>
        <v>12.3</v>
      </c>
      <c r="H17" s="603"/>
      <c r="I17" s="449"/>
      <c r="J17" s="605"/>
      <c r="K17" s="603">
        <v>4378</v>
      </c>
      <c r="L17" s="449">
        <v>4966</v>
      </c>
      <c r="M17" s="605">
        <f>IF(K17=0, "    ---- ", IF(ABS(ROUND(100/K17*L17-100,1))&lt;999,ROUND(100/K17*L17-100,1),IF(ROUND(100/K17*L17-100,1)&gt;999,999,-999)))</f>
        <v>13.4</v>
      </c>
      <c r="N17" s="603"/>
      <c r="O17" s="449"/>
      <c r="P17" s="605"/>
      <c r="Q17" s="603">
        <v>739.15915068187041</v>
      </c>
      <c r="R17" s="449">
        <v>866.84647253153571</v>
      </c>
      <c r="S17" s="605">
        <f t="shared" si="2"/>
        <v>17.3</v>
      </c>
      <c r="T17" s="603"/>
      <c r="U17" s="449"/>
      <c r="V17" s="605"/>
      <c r="W17" s="603">
        <v>259</v>
      </c>
      <c r="X17" s="449">
        <v>324.56985878999996</v>
      </c>
      <c r="Y17" s="605">
        <f t="shared" si="3"/>
        <v>25.3</v>
      </c>
      <c r="Z17" s="603"/>
      <c r="AA17" s="449"/>
      <c r="AB17" s="605"/>
      <c r="AC17" s="603"/>
      <c r="AD17" s="449"/>
      <c r="AE17" s="605"/>
      <c r="AF17" s="434">
        <f t="shared" si="7"/>
        <v>8502.7494556318707</v>
      </c>
      <c r="AG17" s="603">
        <f t="shared" si="8"/>
        <v>9388.7273752615365</v>
      </c>
      <c r="AH17" s="605">
        <f t="shared" si="6"/>
        <v>10.4</v>
      </c>
    </row>
    <row r="18" spans="1:35" ht="18.75" customHeight="1" x14ac:dyDescent="0.35">
      <c r="A18" s="610" t="s">
        <v>430</v>
      </c>
      <c r="B18" s="603">
        <v>317</v>
      </c>
      <c r="C18" s="449">
        <f>170369-169989</f>
        <v>380</v>
      </c>
      <c r="D18" s="605">
        <f t="shared" si="0"/>
        <v>19.899999999999999</v>
      </c>
      <c r="E18" s="603">
        <v>2902.0962209200002</v>
      </c>
      <c r="F18" s="449">
        <v>3071.5936165600001</v>
      </c>
      <c r="G18" s="605">
        <f>IF(E18=0, "    ---- ", IF(ABS(ROUND(100/E18*F18-100,1))&lt;999,ROUND(100/E18*F18-100,1),IF(ROUND(100/E18*F18-100,1)&gt;999,999,-999)))</f>
        <v>5.8</v>
      </c>
      <c r="H18" s="603">
        <v>66.254999999999995</v>
      </c>
      <c r="I18" s="449">
        <v>74.028999999999996</v>
      </c>
      <c r="J18" s="605">
        <f t="shared" si="1"/>
        <v>11.7</v>
      </c>
      <c r="K18" s="603"/>
      <c r="L18" s="449"/>
      <c r="M18" s="605"/>
      <c r="N18" s="603">
        <v>3.7438119799999998</v>
      </c>
      <c r="O18" s="449"/>
      <c r="P18" s="605">
        <f>IF(N18=0, "    ---- ", IF(ABS(ROUND(100/N18*O18-100,1))&lt;999,ROUND(100/N18*O18-100,1),IF(ROUND(100/N18*O18-100,1)&gt;999,999,-999)))</f>
        <v>-100</v>
      </c>
      <c r="Q18" s="603"/>
      <c r="R18" s="449"/>
      <c r="S18" s="605"/>
      <c r="T18" s="603"/>
      <c r="U18" s="449"/>
      <c r="V18" s="605"/>
      <c r="W18" s="603">
        <v>26</v>
      </c>
      <c r="X18" s="449">
        <v>22.272804490000002</v>
      </c>
      <c r="Y18" s="605">
        <f t="shared" si="3"/>
        <v>-14.3</v>
      </c>
      <c r="Z18" s="603">
        <v>2117.0005628200001</v>
      </c>
      <c r="AA18" s="449">
        <v>2374.3141401899998</v>
      </c>
      <c r="AB18" s="605">
        <f t="shared" si="4"/>
        <v>12.2</v>
      </c>
      <c r="AC18" s="603">
        <v>11</v>
      </c>
      <c r="AD18" s="449">
        <v>26</v>
      </c>
      <c r="AE18" s="605">
        <f t="shared" ref="AE18:AE22" si="10">IF(AC18=0, "    ---- ", IF(ABS(ROUND(100/AC18*AD18-100,1))&lt;999,ROUND(100/AC18*AD18-100,1),IF(ROUND(100/AC18*AD18-100,1)&gt;999,999,-999)))</f>
        <v>136.4</v>
      </c>
      <c r="AF18" s="434">
        <f t="shared" si="7"/>
        <v>5443.0955957200003</v>
      </c>
      <c r="AG18" s="603">
        <f t="shared" si="8"/>
        <v>5948.2095612399999</v>
      </c>
      <c r="AH18" s="605">
        <f t="shared" si="6"/>
        <v>9.3000000000000007</v>
      </c>
    </row>
    <row r="19" spans="1:35" ht="18.75" customHeight="1" x14ac:dyDescent="0.35">
      <c r="A19" s="610" t="s">
        <v>431</v>
      </c>
      <c r="B19" s="603">
        <v>148712</v>
      </c>
      <c r="C19" s="449">
        <v>147393</v>
      </c>
      <c r="D19" s="605">
        <f t="shared" si="0"/>
        <v>-0.9</v>
      </c>
      <c r="E19" s="603"/>
      <c r="F19" s="449"/>
      <c r="G19" s="605"/>
      <c r="H19" s="603"/>
      <c r="I19" s="449"/>
      <c r="J19" s="605"/>
      <c r="K19" s="603">
        <v>6117</v>
      </c>
      <c r="L19" s="449">
        <v>6315</v>
      </c>
      <c r="M19" s="605">
        <f>IF(K19=0, "    ---- ", IF(ABS(ROUND(100/K19*L19-100,1))&lt;999,ROUND(100/K19*L19-100,1),IF(ROUND(100/K19*L19-100,1)&gt;999,999,-999)))</f>
        <v>3.2</v>
      </c>
      <c r="N19" s="603"/>
      <c r="O19" s="449"/>
      <c r="P19" s="605"/>
      <c r="Q19" s="603">
        <v>43412.77644729257</v>
      </c>
      <c r="R19" s="449">
        <v>44188.861650576895</v>
      </c>
      <c r="S19" s="605">
        <f t="shared" si="2"/>
        <v>1.8</v>
      </c>
      <c r="T19" s="603"/>
      <c r="U19" s="449"/>
      <c r="V19" s="605"/>
      <c r="W19" s="603">
        <v>17909</v>
      </c>
      <c r="X19" s="449">
        <v>20023.485068040009</v>
      </c>
      <c r="Y19" s="605">
        <f t="shared" si="3"/>
        <v>11.8</v>
      </c>
      <c r="Z19" s="603">
        <v>163601.44644144</v>
      </c>
      <c r="AA19" s="449">
        <v>164854.64010937006</v>
      </c>
      <c r="AB19" s="605">
        <f t="shared" si="4"/>
        <v>0.8</v>
      </c>
      <c r="AC19" s="603">
        <v>37</v>
      </c>
      <c r="AD19" s="449">
        <v>51</v>
      </c>
      <c r="AE19" s="605">
        <f t="shared" si="10"/>
        <v>37.799999999999997</v>
      </c>
      <c r="AF19" s="434">
        <f t="shared" si="7"/>
        <v>379789.22288873256</v>
      </c>
      <c r="AG19" s="603">
        <f t="shared" si="8"/>
        <v>382825.98682798696</v>
      </c>
      <c r="AH19" s="605">
        <f t="shared" si="6"/>
        <v>0.8</v>
      </c>
    </row>
    <row r="20" spans="1:35" ht="18.75" customHeight="1" x14ac:dyDescent="0.35">
      <c r="A20" s="610" t="s">
        <v>432</v>
      </c>
      <c r="B20" s="603">
        <v>127482</v>
      </c>
      <c r="C20" s="449">
        <v>125079</v>
      </c>
      <c r="D20" s="605">
        <f t="shared" si="0"/>
        <v>-1.9</v>
      </c>
      <c r="E20" s="603"/>
      <c r="F20" s="449"/>
      <c r="G20" s="605"/>
      <c r="H20" s="603"/>
      <c r="I20" s="449"/>
      <c r="J20" s="605"/>
      <c r="K20" s="603">
        <v>3766</v>
      </c>
      <c r="L20" s="449">
        <v>3684</v>
      </c>
      <c r="M20" s="605">
        <f>IF(K20=0, "    ---- ", IF(ABS(ROUND(100/K20*L20-100,1))&lt;999,ROUND(100/K20*L20-100,1),IF(ROUND(100/K20*L20-100,1)&gt;999,999,-999)))</f>
        <v>-2.2000000000000002</v>
      </c>
      <c r="N20" s="603"/>
      <c r="O20" s="449"/>
      <c r="P20" s="605"/>
      <c r="Q20" s="603">
        <v>36497.32584967649</v>
      </c>
      <c r="R20" s="449">
        <v>36653.782186557662</v>
      </c>
      <c r="S20" s="605">
        <f t="shared" si="2"/>
        <v>0.4</v>
      </c>
      <c r="T20" s="603"/>
      <c r="U20" s="449"/>
      <c r="V20" s="605"/>
      <c r="W20" s="603">
        <v>9397</v>
      </c>
      <c r="X20" s="449">
        <v>10362.61387319001</v>
      </c>
      <c r="Y20" s="605">
        <f t="shared" si="3"/>
        <v>10.3</v>
      </c>
      <c r="Z20" s="603">
        <v>134555.73692621</v>
      </c>
      <c r="AA20" s="449">
        <v>133453.37565089003</v>
      </c>
      <c r="AB20" s="605">
        <f t="shared" si="4"/>
        <v>-0.8</v>
      </c>
      <c r="AC20" s="603"/>
      <c r="AD20" s="449"/>
      <c r="AE20" s="605"/>
      <c r="AF20" s="434">
        <f t="shared" si="7"/>
        <v>311698.0627758865</v>
      </c>
      <c r="AG20" s="603">
        <f t="shared" si="8"/>
        <v>309232.77171063772</v>
      </c>
      <c r="AH20" s="605">
        <f t="shared" si="6"/>
        <v>-0.8</v>
      </c>
    </row>
    <row r="21" spans="1:35" ht="18.75" customHeight="1" x14ac:dyDescent="0.35">
      <c r="A21" s="610" t="s">
        <v>433</v>
      </c>
      <c r="B21" s="603"/>
      <c r="C21" s="449"/>
      <c r="D21" s="605"/>
      <c r="E21" s="603"/>
      <c r="F21" s="449"/>
      <c r="G21" s="605"/>
      <c r="H21" s="603"/>
      <c r="I21" s="449"/>
      <c r="J21" s="605"/>
      <c r="K21" s="603"/>
      <c r="L21" s="449"/>
      <c r="M21" s="605"/>
      <c r="N21" s="603">
        <v>613539.63698933995</v>
      </c>
      <c r="O21" s="449">
        <v>658316.24457033991</v>
      </c>
      <c r="P21" s="605">
        <f>IF(N21=0, "    ---- ", IF(ABS(ROUND(100/N21*O21-100,1))&lt;999,ROUND(100/N21*O21-100,1),IF(ROUND(100/N21*O21-100,1)&gt;999,999,-999)))</f>
        <v>7.3</v>
      </c>
      <c r="Q21" s="603"/>
      <c r="R21" s="449"/>
      <c r="S21" s="605"/>
      <c r="T21" s="603">
        <v>91509</v>
      </c>
      <c r="U21" s="449">
        <v>96747</v>
      </c>
      <c r="V21" s="605">
        <f>IF(T21=0, "    ---- ", IF(ABS(ROUND(100/T21*U21-100,1))&lt;999,ROUND(100/T21*U21-100,1),IF(ROUND(100/T21*U21-100,1)&gt;999,999,-999)))</f>
        <v>5.7</v>
      </c>
      <c r="W21" s="603"/>
      <c r="X21" s="449"/>
      <c r="Y21" s="605"/>
      <c r="Z21" s="603">
        <v>18666.684197809998</v>
      </c>
      <c r="AA21" s="449">
        <v>23404.172744200001</v>
      </c>
      <c r="AB21" s="605">
        <f t="shared" si="4"/>
        <v>25.4</v>
      </c>
      <c r="AC21" s="603"/>
      <c r="AD21" s="449"/>
      <c r="AE21" s="605"/>
      <c r="AF21" s="434">
        <f t="shared" si="7"/>
        <v>723715.32118714997</v>
      </c>
      <c r="AG21" s="603">
        <f t="shared" si="8"/>
        <v>778467.4173145399</v>
      </c>
      <c r="AH21" s="605">
        <f t="shared" si="6"/>
        <v>7.6</v>
      </c>
    </row>
    <row r="22" spans="1:35" ht="18.75" customHeight="1" x14ac:dyDescent="0.35">
      <c r="A22" s="610" t="s">
        <v>434</v>
      </c>
      <c r="B22" s="603"/>
      <c r="C22" s="449"/>
      <c r="D22" s="605"/>
      <c r="E22" s="603">
        <v>771.78596104999997</v>
      </c>
      <c r="F22" s="449">
        <v>856.54543868999997</v>
      </c>
      <c r="G22" s="605">
        <f>IF(E22=0, "    ---- ", IF(ABS(ROUND(100/E22*F22-100,1))&lt;999,ROUND(100/E22*F22-100,1),IF(ROUND(100/E22*F22-100,1)&gt;999,999,-999)))</f>
        <v>11</v>
      </c>
      <c r="H22" s="603">
        <v>110.794</v>
      </c>
      <c r="I22" s="449">
        <v>130.13499999999999</v>
      </c>
      <c r="J22" s="605">
        <f t="shared" si="1"/>
        <v>17.5</v>
      </c>
      <c r="K22" s="603"/>
      <c r="L22" s="449"/>
      <c r="M22" s="605"/>
      <c r="N22" s="603"/>
      <c r="O22" s="449"/>
      <c r="P22" s="605"/>
      <c r="Q22" s="603">
        <v>75.501219101968914</v>
      </c>
      <c r="R22" s="449">
        <v>78.377856154305348</v>
      </c>
      <c r="S22" s="605">
        <f t="shared" si="2"/>
        <v>3.8</v>
      </c>
      <c r="T22" s="603"/>
      <c r="U22" s="449"/>
      <c r="V22" s="605"/>
      <c r="W22" s="603"/>
      <c r="X22" s="449"/>
      <c r="Y22" s="605"/>
      <c r="Z22" s="603"/>
      <c r="AA22" s="449"/>
      <c r="AB22" s="605"/>
      <c r="AC22" s="603">
        <v>56</v>
      </c>
      <c r="AD22" s="449">
        <v>106</v>
      </c>
      <c r="AE22" s="605">
        <f t="shared" si="10"/>
        <v>89.3</v>
      </c>
      <c r="AF22" s="434">
        <f t="shared" si="7"/>
        <v>1014.0811801519689</v>
      </c>
      <c r="AG22" s="603">
        <f t="shared" si="8"/>
        <v>1171.0582948443052</v>
      </c>
      <c r="AH22" s="605">
        <f t="shared" si="6"/>
        <v>15.5</v>
      </c>
    </row>
    <row r="23" spans="1:35" s="609" customFormat="1" ht="18.75" customHeight="1" x14ac:dyDescent="0.3">
      <c r="A23" s="606" t="s">
        <v>435</v>
      </c>
      <c r="B23" s="607">
        <f>SUM(B24+B27+B30+B31+B33+B34)</f>
        <v>173177</v>
      </c>
      <c r="C23" s="450">
        <f>SUM(C24+C27+C30+C31+C33+C34)</f>
        <v>170369</v>
      </c>
      <c r="D23" s="608">
        <f t="shared" si="0"/>
        <v>-1.6</v>
      </c>
      <c r="E23" s="607">
        <f>SUM(E24+E27+E30+E31+E33+E34)</f>
        <v>9686.1368891700004</v>
      </c>
      <c r="F23" s="450">
        <f>SUM(F24+F27+F30+F31+F33+F34)</f>
        <v>10511.11309275</v>
      </c>
      <c r="G23" s="608">
        <f>IF(E23=0, "    ---- ", IF(ABS(ROUND(100/E23*F23-100,1))&lt;999,ROUND(100/E23*F23-100,1),IF(ROUND(100/E23*F23-100,1)&gt;999,999,-999)))</f>
        <v>8.5</v>
      </c>
      <c r="H23" s="607">
        <f>SUM(H24+H27+H30+H31+H33+H34)</f>
        <v>1883.5400000000002</v>
      </c>
      <c r="I23" s="450">
        <f>SUM(I24+I27+I30+I31+I33+I34)</f>
        <v>2211.8810000000003</v>
      </c>
      <c r="J23" s="608">
        <f t="shared" si="1"/>
        <v>17.399999999999999</v>
      </c>
      <c r="K23" s="607">
        <f>SUM(K24+K27+K30+K31+K33+K34)</f>
        <v>10495</v>
      </c>
      <c r="L23" s="450">
        <f>SUM(L24+L27+L30+L31+L33+L34)</f>
        <v>11281</v>
      </c>
      <c r="M23" s="608">
        <f>IF(K23=0, "    ---- ", IF(ABS(ROUND(100/K23*L23-100,1))&lt;999,ROUND(100/K23*L23-100,1),IF(ROUND(100/K23*L23-100,1)&gt;999,999,-999)))</f>
        <v>7.5</v>
      </c>
      <c r="N23" s="607">
        <f>SUM(N24+N27+N30+N31+N33+N34)</f>
        <v>613539.63698933995</v>
      </c>
      <c r="O23" s="450">
        <v>658332.27782433992</v>
      </c>
      <c r="P23" s="608">
        <f>IF(N23=0, "    ---- ", IF(ABS(ROUND(100/N23*O23-100,1))&lt;999,ROUND(100/N23*O23-100,1),IF(ROUND(100/N23*O23-100,1)&gt;999,999,-999)))</f>
        <v>7.3</v>
      </c>
      <c r="Q23" s="607">
        <f>SUM(Q24+Q27+Q30+Q31+Q33+Q34)</f>
        <v>47828.808883918457</v>
      </c>
      <c r="R23" s="450">
        <f>SUM(R24+R27+R30+R31+R33+R34)</f>
        <v>48848.590915599547</v>
      </c>
      <c r="S23" s="608">
        <f t="shared" si="2"/>
        <v>2.1</v>
      </c>
      <c r="T23" s="607"/>
      <c r="U23" s="450"/>
      <c r="V23" s="608"/>
      <c r="W23" s="607">
        <f>SUM(W24+W27+W30+W31+W33+W34)</f>
        <v>20232</v>
      </c>
      <c r="X23" s="450">
        <f>SUM(X24+X27+X30+X31+X33+X34)</f>
        <v>22243.772663570009</v>
      </c>
      <c r="Y23" s="608">
        <f t="shared" si="3"/>
        <v>9.9</v>
      </c>
      <c r="Z23" s="607">
        <f>SUM(Z24+Z27+Z30+Z31+Z33+Z34)</f>
        <v>194462.01230373001</v>
      </c>
      <c r="AA23" s="450">
        <f>SUM(AA24+AA27+AA30+AA31+AA33+AA34)</f>
        <v>200607.28935491006</v>
      </c>
      <c r="AB23" s="608">
        <f t="shared" si="4"/>
        <v>3.2</v>
      </c>
      <c r="AC23" s="607">
        <f>SUM(AC24+AC27+AC30+AC31+AC33+AC34)</f>
        <v>87</v>
      </c>
      <c r="AD23" s="450">
        <f>SUM(AD24+AD27+AD30+AD31+AD33+AD34)</f>
        <v>151</v>
      </c>
      <c r="AE23" s="608">
        <f t="shared" ref="AE23:AE24" si="11">IF(AC23=0, "    ---- ", IF(ABS(ROUND(100/AC23*AD23-100,1))&lt;999,ROUND(100/AC23*AD23-100,1),IF(ROUND(100/AC23*AD23-100,1)&gt;999,999,-999)))</f>
        <v>73.599999999999994</v>
      </c>
      <c r="AF23" s="432">
        <f t="shared" si="7"/>
        <v>1071391.1350661584</v>
      </c>
      <c r="AG23" s="607">
        <f t="shared" si="8"/>
        <v>1124555.9248511696</v>
      </c>
      <c r="AH23" s="608">
        <f t="shared" si="6"/>
        <v>5</v>
      </c>
      <c r="AI23" s="528"/>
    </row>
    <row r="24" spans="1:35" ht="18.75" customHeight="1" x14ac:dyDescent="0.35">
      <c r="A24" s="610" t="s">
        <v>426</v>
      </c>
      <c r="B24" s="603">
        <v>5575</v>
      </c>
      <c r="C24" s="449">
        <v>4826</v>
      </c>
      <c r="D24" s="605">
        <f t="shared" si="0"/>
        <v>-13.4</v>
      </c>
      <c r="E24" s="603">
        <v>835.19165500999998</v>
      </c>
      <c r="F24" s="449">
        <v>889.43016410000007</v>
      </c>
      <c r="G24" s="605">
        <f>IF(E24=0, "    ---- ", IF(ABS(ROUND(100/E24*F24-100,1))&lt;999,ROUND(100/E24*F24-100,1),IF(ROUND(100/E24*F24-100,1)&gt;999,999,-999)))</f>
        <v>6.5</v>
      </c>
      <c r="H24" s="603">
        <v>80.929000000000002</v>
      </c>
      <c r="I24" s="449">
        <v>86.100999999999999</v>
      </c>
      <c r="J24" s="605">
        <f t="shared" si="1"/>
        <v>6.4</v>
      </c>
      <c r="K24" s="603"/>
      <c r="L24" s="449"/>
      <c r="M24" s="605"/>
      <c r="N24" s="603"/>
      <c r="O24" s="449"/>
      <c r="P24" s="605"/>
      <c r="Q24" s="603">
        <v>534.85575298365256</v>
      </c>
      <c r="R24" s="449">
        <v>487.0317451283334</v>
      </c>
      <c r="S24" s="605">
        <f t="shared" si="2"/>
        <v>-8.9</v>
      </c>
      <c r="T24" s="603"/>
      <c r="U24" s="449"/>
      <c r="V24" s="605"/>
      <c r="W24" s="603">
        <v>251</v>
      </c>
      <c r="X24" s="449">
        <v>217.99191013000009</v>
      </c>
      <c r="Y24" s="605">
        <f t="shared" si="3"/>
        <v>-13.2</v>
      </c>
      <c r="Z24" s="603">
        <v>2497.6317308399998</v>
      </c>
      <c r="AA24" s="449">
        <v>2481.8163784000003</v>
      </c>
      <c r="AB24" s="605">
        <f t="shared" si="4"/>
        <v>-0.6</v>
      </c>
      <c r="AC24" s="603">
        <v>3</v>
      </c>
      <c r="AD24" s="449">
        <v>4</v>
      </c>
      <c r="AE24" s="605">
        <f t="shared" si="11"/>
        <v>33.299999999999997</v>
      </c>
      <c r="AF24" s="434">
        <f t="shared" si="7"/>
        <v>9777.6081388336515</v>
      </c>
      <c r="AG24" s="603">
        <f t="shared" si="8"/>
        <v>8992.3711977583334</v>
      </c>
      <c r="AH24" s="605">
        <f t="shared" si="6"/>
        <v>-8</v>
      </c>
    </row>
    <row r="25" spans="1:35" ht="18.75" customHeight="1" x14ac:dyDescent="0.35">
      <c r="A25" s="610" t="s">
        <v>427</v>
      </c>
      <c r="B25" s="603">
        <v>1812</v>
      </c>
      <c r="C25" s="449">
        <v>1631</v>
      </c>
      <c r="D25" s="605">
        <f t="shared" si="0"/>
        <v>-10</v>
      </c>
      <c r="E25" s="603"/>
      <c r="F25" s="449"/>
      <c r="G25" s="605"/>
      <c r="H25" s="603"/>
      <c r="I25" s="449"/>
      <c r="J25" s="605"/>
      <c r="K25" s="603"/>
      <c r="L25" s="449"/>
      <c r="M25" s="605"/>
      <c r="N25" s="603"/>
      <c r="O25" s="449"/>
      <c r="P25" s="605"/>
      <c r="Q25" s="603">
        <v>271.33133515177644</v>
      </c>
      <c r="R25" s="449">
        <v>246.01645365448755</v>
      </c>
      <c r="S25" s="605">
        <f t="shared" si="2"/>
        <v>-9.3000000000000007</v>
      </c>
      <c r="T25" s="603"/>
      <c r="U25" s="449"/>
      <c r="V25" s="605"/>
      <c r="W25" s="434">
        <v>179</v>
      </c>
      <c r="X25" s="449">
        <v>156.62266839000006</v>
      </c>
      <c r="Y25" s="605">
        <f t="shared" si="3"/>
        <v>-12.5</v>
      </c>
      <c r="Z25" s="603">
        <v>1679.6059224999999</v>
      </c>
      <c r="AA25" s="449">
        <v>1577.0003505900004</v>
      </c>
      <c r="AB25" s="605">
        <f t="shared" si="4"/>
        <v>-6.1</v>
      </c>
      <c r="AC25" s="603"/>
      <c r="AD25" s="449"/>
      <c r="AE25" s="605"/>
      <c r="AF25" s="434">
        <f t="shared" si="7"/>
        <v>3941.9372576517762</v>
      </c>
      <c r="AG25" s="603">
        <f t="shared" si="8"/>
        <v>3610.6394726344879</v>
      </c>
      <c r="AH25" s="605">
        <f t="shared" si="6"/>
        <v>-8.4</v>
      </c>
    </row>
    <row r="26" spans="1:35" ht="18.75" customHeight="1" x14ac:dyDescent="0.35">
      <c r="A26" s="610" t="s">
        <v>428</v>
      </c>
      <c r="B26" s="603">
        <v>3762</v>
      </c>
      <c r="C26" s="449">
        <v>3195</v>
      </c>
      <c r="D26" s="605">
        <f t="shared" si="0"/>
        <v>-15.1</v>
      </c>
      <c r="E26" s="603"/>
      <c r="F26" s="449"/>
      <c r="G26" s="605"/>
      <c r="H26" s="603"/>
      <c r="I26" s="449"/>
      <c r="J26" s="605"/>
      <c r="K26" s="603"/>
      <c r="L26" s="449"/>
      <c r="M26" s="605"/>
      <c r="N26" s="603"/>
      <c r="O26" s="449"/>
      <c r="P26" s="605"/>
      <c r="Q26" s="603"/>
      <c r="R26" s="449"/>
      <c r="S26" s="605"/>
      <c r="T26" s="603"/>
      <c r="U26" s="449"/>
      <c r="V26" s="605"/>
      <c r="W26" s="434">
        <v>72</v>
      </c>
      <c r="X26" s="449">
        <v>58.269793709999988</v>
      </c>
      <c r="Y26" s="605">
        <f t="shared" si="3"/>
        <v>-19.100000000000001</v>
      </c>
      <c r="Z26" s="603"/>
      <c r="AA26" s="449"/>
      <c r="AB26" s="605"/>
      <c r="AC26" s="603"/>
      <c r="AD26" s="449"/>
      <c r="AE26" s="605"/>
      <c r="AF26" s="434">
        <f t="shared" si="7"/>
        <v>3834</v>
      </c>
      <c r="AG26" s="603">
        <f t="shared" si="8"/>
        <v>3253.2697937100002</v>
      </c>
      <c r="AH26" s="605">
        <f t="shared" si="6"/>
        <v>-15.1</v>
      </c>
    </row>
    <row r="27" spans="1:35" ht="18.75" customHeight="1" x14ac:dyDescent="0.35">
      <c r="A27" s="610" t="s">
        <v>429</v>
      </c>
      <c r="B27" s="603">
        <v>18573</v>
      </c>
      <c r="C27" s="449">
        <v>17770</v>
      </c>
      <c r="D27" s="605">
        <f t="shared" si="0"/>
        <v>-4.3</v>
      </c>
      <c r="E27" s="603">
        <v>5177.0630521899993</v>
      </c>
      <c r="F27" s="449">
        <v>5693.5438733999999</v>
      </c>
      <c r="G27" s="605">
        <f>IF(E27=0, "    ---- ", IF(ABS(ROUND(100/E27*F27-100,1))&lt;999,ROUND(100/E27*F27-100,1),IF(ROUND(100/E27*F27-100,1)&gt;999,999,-999)))</f>
        <v>10</v>
      </c>
      <c r="H27" s="603">
        <v>1643.9490000000001</v>
      </c>
      <c r="I27" s="449">
        <v>1945.114</v>
      </c>
      <c r="J27" s="605">
        <f t="shared" si="1"/>
        <v>18.3</v>
      </c>
      <c r="K27" s="603">
        <v>4378</v>
      </c>
      <c r="L27" s="449">
        <v>4966</v>
      </c>
      <c r="M27" s="605">
        <f>IF(K27=0, "    ---- ", IF(ABS(ROUND(100/K27*L27-100,1))&lt;999,ROUND(100/K27*L27-100,1),IF(ROUND(100/K27*L27-100,1)&gt;999,999,-999)))</f>
        <v>13.4</v>
      </c>
      <c r="N27" s="603"/>
      <c r="O27" s="449"/>
      <c r="P27" s="605"/>
      <c r="Q27" s="603">
        <v>3805.6754645402648</v>
      </c>
      <c r="R27" s="449">
        <v>4094.3196637400119</v>
      </c>
      <c r="S27" s="605">
        <f t="shared" si="2"/>
        <v>7.6</v>
      </c>
      <c r="T27" s="603"/>
      <c r="U27" s="449"/>
      <c r="V27" s="605"/>
      <c r="W27" s="603">
        <v>2046</v>
      </c>
      <c r="X27" s="449">
        <v>1980.0228809100004</v>
      </c>
      <c r="Y27" s="605">
        <f t="shared" si="3"/>
        <v>-3.2</v>
      </c>
      <c r="Z27" s="603">
        <v>7579.24937082</v>
      </c>
      <c r="AA27" s="449">
        <v>7492.345982750001</v>
      </c>
      <c r="AB27" s="605">
        <f t="shared" si="4"/>
        <v>-1.1000000000000001</v>
      </c>
      <c r="AC27" s="603">
        <v>8</v>
      </c>
      <c r="AD27" s="449">
        <v>21</v>
      </c>
      <c r="AE27" s="605">
        <f t="shared" ref="AE27" si="12">IF(AC27=0, "    ---- ", IF(ABS(ROUND(100/AC27*AD27-100,1))&lt;999,ROUND(100/AC27*AD27-100,1),IF(ROUND(100/AC27*AD27-100,1)&gt;999,999,-999)))</f>
        <v>162.5</v>
      </c>
      <c r="AF27" s="434">
        <f t="shared" si="7"/>
        <v>43210.936887550262</v>
      </c>
      <c r="AG27" s="603">
        <f t="shared" si="8"/>
        <v>43962.346400800016</v>
      </c>
      <c r="AH27" s="605">
        <f t="shared" si="6"/>
        <v>1.7</v>
      </c>
    </row>
    <row r="28" spans="1:35" ht="18.75" customHeight="1" x14ac:dyDescent="0.35">
      <c r="A28" s="610" t="s">
        <v>427</v>
      </c>
      <c r="B28" s="603">
        <v>15769</v>
      </c>
      <c r="C28" s="449">
        <v>14901</v>
      </c>
      <c r="D28" s="605">
        <f t="shared" si="0"/>
        <v>-5.5</v>
      </c>
      <c r="E28" s="603"/>
      <c r="F28" s="449"/>
      <c r="G28" s="605"/>
      <c r="H28" s="603"/>
      <c r="I28" s="449"/>
      <c r="J28" s="605"/>
      <c r="K28" s="603"/>
      <c r="L28" s="449"/>
      <c r="M28" s="605"/>
      <c r="N28" s="603"/>
      <c r="O28" s="449"/>
      <c r="P28" s="605"/>
      <c r="Q28" s="603">
        <v>2014.0287638399784</v>
      </c>
      <c r="R28" s="449">
        <v>1954.5619921341481</v>
      </c>
      <c r="S28" s="605">
        <f t="shared" si="2"/>
        <v>-3</v>
      </c>
      <c r="T28" s="603"/>
      <c r="U28" s="449"/>
      <c r="V28" s="605"/>
      <c r="W28" s="603">
        <v>1787</v>
      </c>
      <c r="X28" s="449">
        <v>1654.1931257199994</v>
      </c>
      <c r="Y28" s="605">
        <f t="shared" si="3"/>
        <v>-7.4</v>
      </c>
      <c r="Z28" s="603">
        <v>7579.24937082</v>
      </c>
      <c r="AA28" s="449">
        <v>7492.345982750001</v>
      </c>
      <c r="AB28" s="605">
        <f t="shared" si="4"/>
        <v>-1.1000000000000001</v>
      </c>
      <c r="AC28" s="603"/>
      <c r="AD28" s="449"/>
      <c r="AE28" s="605"/>
      <c r="AF28" s="434">
        <f t="shared" si="7"/>
        <v>27149.27813465998</v>
      </c>
      <c r="AG28" s="603">
        <f t="shared" si="8"/>
        <v>26002.101100604148</v>
      </c>
      <c r="AH28" s="605">
        <f t="shared" si="6"/>
        <v>-4.2</v>
      </c>
    </row>
    <row r="29" spans="1:35" ht="18.75" customHeight="1" x14ac:dyDescent="0.35">
      <c r="A29" s="610" t="s">
        <v>428</v>
      </c>
      <c r="B29" s="603">
        <v>2804</v>
      </c>
      <c r="C29" s="449">
        <v>2869</v>
      </c>
      <c r="D29" s="605">
        <f t="shared" si="0"/>
        <v>2.2999999999999998</v>
      </c>
      <c r="E29" s="603">
        <v>322.59030494999996</v>
      </c>
      <c r="F29" s="449">
        <v>362.31104393999999</v>
      </c>
      <c r="G29" s="605">
        <f>IF(E29=0, "    ---- ", IF(ABS(ROUND(100/E29*F29-100,1))&lt;999,ROUND(100/E29*F29-100,1),IF(ROUND(100/E29*F29-100,1)&gt;999,999,-999)))</f>
        <v>12.3</v>
      </c>
      <c r="H29" s="603"/>
      <c r="I29" s="449"/>
      <c r="J29" s="605"/>
      <c r="K29" s="603">
        <v>4378</v>
      </c>
      <c r="L29" s="449">
        <v>4633</v>
      </c>
      <c r="M29" s="605">
        <f>IF(K29=0, "    ---- ", IF(ABS(ROUND(100/K29*L29-100,1))&lt;999,ROUND(100/K29*L29-100,1),IF(ROUND(100/K29*L29-100,1)&gt;999,999,-999)))</f>
        <v>5.8</v>
      </c>
      <c r="N29" s="603"/>
      <c r="O29" s="449"/>
      <c r="P29" s="605"/>
      <c r="Q29" s="603">
        <v>739.15915068187041</v>
      </c>
      <c r="R29" s="449">
        <v>866.84647253153571</v>
      </c>
      <c r="S29" s="605">
        <f t="shared" si="2"/>
        <v>17.3</v>
      </c>
      <c r="T29" s="603"/>
      <c r="U29" s="449"/>
      <c r="V29" s="605"/>
      <c r="W29" s="603">
        <v>259</v>
      </c>
      <c r="X29" s="449">
        <v>324.56985878999996</v>
      </c>
      <c r="Y29" s="605">
        <f t="shared" si="3"/>
        <v>25.3</v>
      </c>
      <c r="Z29" s="603"/>
      <c r="AA29" s="449"/>
      <c r="AB29" s="605"/>
      <c r="AC29" s="603"/>
      <c r="AD29" s="449"/>
      <c r="AE29" s="605"/>
      <c r="AF29" s="434">
        <f t="shared" si="7"/>
        <v>8502.7494556318707</v>
      </c>
      <c r="AG29" s="603">
        <f t="shared" si="8"/>
        <v>9055.7273752615365</v>
      </c>
      <c r="AH29" s="605">
        <f t="shared" si="6"/>
        <v>6.5</v>
      </c>
    </row>
    <row r="30" spans="1:35" ht="18.75" customHeight="1" x14ac:dyDescent="0.35">
      <c r="A30" s="610" t="s">
        <v>430</v>
      </c>
      <c r="B30" s="603">
        <v>317</v>
      </c>
      <c r="C30" s="449">
        <v>380</v>
      </c>
      <c r="D30" s="605">
        <f t="shared" si="0"/>
        <v>19.899999999999999</v>
      </c>
      <c r="E30" s="603">
        <v>2902.0962209200002</v>
      </c>
      <c r="F30" s="449">
        <v>3071.5936165600001</v>
      </c>
      <c r="G30" s="605">
        <f>IF(E30=0, "    ---- ", IF(ABS(ROUND(100/E30*F30-100,1))&lt;999,ROUND(100/E30*F30-100,1),IF(ROUND(100/E30*F30-100,1)&gt;999,999,-999)))</f>
        <v>5.8</v>
      </c>
      <c r="H30" s="603">
        <v>65.566000000000003</v>
      </c>
      <c r="I30" s="449">
        <v>73.819000000000003</v>
      </c>
      <c r="J30" s="605">
        <f t="shared" si="1"/>
        <v>12.6</v>
      </c>
      <c r="K30" s="603"/>
      <c r="L30" s="449"/>
      <c r="M30" s="605"/>
      <c r="N30" s="603"/>
      <c r="O30" s="449"/>
      <c r="P30" s="605"/>
      <c r="Q30" s="603"/>
      <c r="R30" s="449"/>
      <c r="S30" s="605"/>
      <c r="T30" s="603"/>
      <c r="U30" s="449"/>
      <c r="V30" s="605"/>
      <c r="W30" s="603">
        <v>26</v>
      </c>
      <c r="X30" s="449">
        <v>22.272804490000002</v>
      </c>
      <c r="Y30" s="605">
        <f t="shared" si="3"/>
        <v>-14.3</v>
      </c>
      <c r="Z30" s="603">
        <v>2117.0005628200001</v>
      </c>
      <c r="AA30" s="449">
        <v>2374.3141401899998</v>
      </c>
      <c r="AB30" s="605">
        <f t="shared" si="4"/>
        <v>12.2</v>
      </c>
      <c r="AC30" s="603">
        <v>7</v>
      </c>
      <c r="AD30" s="449">
        <v>15</v>
      </c>
      <c r="AE30" s="605">
        <f t="shared" ref="AE30:AE31" si="13">IF(AC30=0, "    ---- ", IF(ABS(ROUND(100/AC30*AD30-100,1))&lt;999,ROUND(100/AC30*AD30-100,1),IF(ROUND(100/AC30*AD30-100,1)&gt;999,999,-999)))</f>
        <v>114.3</v>
      </c>
      <c r="AF30" s="434">
        <f t="shared" si="7"/>
        <v>5434.6627837400001</v>
      </c>
      <c r="AG30" s="603">
        <f t="shared" si="8"/>
        <v>5936.9995612399998</v>
      </c>
      <c r="AH30" s="605">
        <f t="shared" si="6"/>
        <v>9.1999999999999993</v>
      </c>
    </row>
    <row r="31" spans="1:35" ht="18.75" customHeight="1" x14ac:dyDescent="0.35">
      <c r="A31" s="610" t="s">
        <v>431</v>
      </c>
      <c r="B31" s="603">
        <v>148712</v>
      </c>
      <c r="C31" s="449">
        <v>147393</v>
      </c>
      <c r="D31" s="605">
        <f t="shared" si="0"/>
        <v>-0.9</v>
      </c>
      <c r="E31" s="603"/>
      <c r="F31" s="449"/>
      <c r="G31" s="605"/>
      <c r="H31" s="603"/>
      <c r="I31" s="449"/>
      <c r="J31" s="605"/>
      <c r="K31" s="603">
        <v>6117</v>
      </c>
      <c r="L31" s="449">
        <v>6315</v>
      </c>
      <c r="M31" s="605">
        <f>IF(K31=0, "    ---- ", IF(ABS(ROUND(100/K31*L31-100,1))&lt;999,ROUND(100/K31*L31-100,1),IF(ROUND(100/K31*L31-100,1)&gt;999,999,-999)))</f>
        <v>3.2</v>
      </c>
      <c r="N31" s="603"/>
      <c r="O31" s="449"/>
      <c r="P31" s="605"/>
      <c r="Q31" s="603">
        <v>43412.77644729257</v>
      </c>
      <c r="R31" s="449">
        <v>44188.861650576895</v>
      </c>
      <c r="S31" s="605">
        <f t="shared" si="2"/>
        <v>1.8</v>
      </c>
      <c r="T31" s="603"/>
      <c r="U31" s="449"/>
      <c r="V31" s="605"/>
      <c r="W31" s="603">
        <v>17909</v>
      </c>
      <c r="X31" s="449">
        <v>20023.485068040009</v>
      </c>
      <c r="Y31" s="605">
        <f t="shared" si="3"/>
        <v>11.8</v>
      </c>
      <c r="Z31" s="603">
        <v>163601.44644144</v>
      </c>
      <c r="AA31" s="449">
        <v>164854.64010937006</v>
      </c>
      <c r="AB31" s="605">
        <f t="shared" si="4"/>
        <v>0.8</v>
      </c>
      <c r="AC31" s="603">
        <v>36</v>
      </c>
      <c r="AD31" s="449">
        <v>47</v>
      </c>
      <c r="AE31" s="605">
        <f t="shared" si="13"/>
        <v>30.6</v>
      </c>
      <c r="AF31" s="434">
        <f t="shared" si="7"/>
        <v>379788.22288873256</v>
      </c>
      <c r="AG31" s="603">
        <f t="shared" si="8"/>
        <v>382821.98682798696</v>
      </c>
      <c r="AH31" s="605">
        <f t="shared" si="6"/>
        <v>0.8</v>
      </c>
    </row>
    <row r="32" spans="1:35" ht="18.75" customHeight="1" x14ac:dyDescent="0.35">
      <c r="A32" s="610" t="s">
        <v>432</v>
      </c>
      <c r="B32" s="603">
        <v>127482</v>
      </c>
      <c r="C32" s="449">
        <v>125079</v>
      </c>
      <c r="D32" s="605">
        <f t="shared" si="0"/>
        <v>-1.9</v>
      </c>
      <c r="E32" s="603"/>
      <c r="F32" s="449"/>
      <c r="G32" s="605"/>
      <c r="H32" s="603"/>
      <c r="I32" s="449"/>
      <c r="J32" s="605"/>
      <c r="K32" s="603">
        <v>3766</v>
      </c>
      <c r="L32" s="449">
        <v>3684</v>
      </c>
      <c r="M32" s="605">
        <f>IF(K32=0, "    ---- ", IF(ABS(ROUND(100/K32*L32-100,1))&lt;999,ROUND(100/K32*L32-100,1),IF(ROUND(100/K32*L32-100,1)&gt;999,999,-999)))</f>
        <v>-2.2000000000000002</v>
      </c>
      <c r="N32" s="603"/>
      <c r="O32" s="449"/>
      <c r="P32" s="605"/>
      <c r="Q32" s="603">
        <v>36497.32584967649</v>
      </c>
      <c r="R32" s="449">
        <v>36653.782186557662</v>
      </c>
      <c r="S32" s="605">
        <f t="shared" si="2"/>
        <v>0.4</v>
      </c>
      <c r="T32" s="603"/>
      <c r="U32" s="449"/>
      <c r="V32" s="605"/>
      <c r="W32" s="603">
        <v>9397</v>
      </c>
      <c r="X32" s="449">
        <v>10362.61387319001</v>
      </c>
      <c r="Y32" s="605">
        <f t="shared" si="3"/>
        <v>10.3</v>
      </c>
      <c r="Z32" s="603">
        <v>134555.73692621</v>
      </c>
      <c r="AA32" s="449">
        <v>133453.37565089003</v>
      </c>
      <c r="AB32" s="605">
        <f t="shared" si="4"/>
        <v>-0.8</v>
      </c>
      <c r="AC32" s="603"/>
      <c r="AD32" s="449"/>
      <c r="AE32" s="605"/>
      <c r="AF32" s="434">
        <f t="shared" si="7"/>
        <v>311698.0627758865</v>
      </c>
      <c r="AG32" s="603">
        <f t="shared" si="8"/>
        <v>309232.77171063772</v>
      </c>
      <c r="AH32" s="605">
        <f t="shared" si="6"/>
        <v>-0.8</v>
      </c>
    </row>
    <row r="33" spans="1:35" ht="18.75" customHeight="1" x14ac:dyDescent="0.35">
      <c r="A33" s="610" t="s">
        <v>433</v>
      </c>
      <c r="B33" s="603"/>
      <c r="C33" s="449"/>
      <c r="D33" s="605"/>
      <c r="E33" s="603"/>
      <c r="F33" s="449"/>
      <c r="G33" s="605"/>
      <c r="H33" s="603"/>
      <c r="I33" s="449"/>
      <c r="J33" s="605"/>
      <c r="K33" s="603"/>
      <c r="L33" s="449"/>
      <c r="M33" s="605"/>
      <c r="N33" s="603">
        <v>613539.63698933995</v>
      </c>
      <c r="O33" s="449">
        <v>658316.24457033991</v>
      </c>
      <c r="P33" s="605">
        <f>IF(N33=0, "    ---- ", IF(ABS(ROUND(100/N33*O33-100,1))&lt;999,ROUND(100/N33*O33-100,1),IF(ROUND(100/N33*O33-100,1)&gt;999,999,-999)))</f>
        <v>7.3</v>
      </c>
      <c r="Q33" s="603"/>
      <c r="R33" s="449"/>
      <c r="S33" s="605"/>
      <c r="T33" s="603"/>
      <c r="U33" s="449"/>
      <c r="V33" s="605"/>
      <c r="W33" s="603"/>
      <c r="X33" s="449"/>
      <c r="Y33" s="605"/>
      <c r="Z33" s="603">
        <v>18666.684197809998</v>
      </c>
      <c r="AA33" s="449">
        <v>23404.172744200001</v>
      </c>
      <c r="AB33" s="605">
        <f t="shared" si="4"/>
        <v>25.4</v>
      </c>
      <c r="AC33" s="603"/>
      <c r="AD33" s="449"/>
      <c r="AE33" s="605"/>
      <c r="AF33" s="434">
        <f t="shared" si="7"/>
        <v>632206.32118714997</v>
      </c>
      <c r="AG33" s="603">
        <f t="shared" si="8"/>
        <v>681720.4173145399</v>
      </c>
      <c r="AH33" s="605">
        <f t="shared" si="6"/>
        <v>7.8</v>
      </c>
    </row>
    <row r="34" spans="1:35" ht="18.75" customHeight="1" x14ac:dyDescent="0.35">
      <c r="A34" s="610" t="s">
        <v>434</v>
      </c>
      <c r="B34" s="603"/>
      <c r="C34" s="449"/>
      <c r="D34" s="605"/>
      <c r="E34" s="603">
        <v>771.78596104999997</v>
      </c>
      <c r="F34" s="449">
        <v>856.54543868999997</v>
      </c>
      <c r="G34" s="608">
        <f>IF(E34=0, "    ---- ", IF(ABS(ROUND(100/E34*F34-100,1))&lt;999,ROUND(100/E34*F34-100,1),IF(ROUND(100/E34*F34-100,1)&gt;999,999,-999)))</f>
        <v>11</v>
      </c>
      <c r="H34" s="603">
        <v>93.096000000000004</v>
      </c>
      <c r="I34" s="449">
        <v>106.84699999999999</v>
      </c>
      <c r="J34" s="605">
        <f t="shared" si="1"/>
        <v>14.8</v>
      </c>
      <c r="K34" s="603"/>
      <c r="L34" s="449"/>
      <c r="M34" s="605"/>
      <c r="N34" s="603"/>
      <c r="O34" s="449"/>
      <c r="P34" s="605"/>
      <c r="Q34" s="603">
        <v>75.501219101968914</v>
      </c>
      <c r="R34" s="449">
        <v>78.377856154305348</v>
      </c>
      <c r="S34" s="605">
        <f>IF(Q34=0, "    ---- ", IF(ABS(ROUND(100/Q34*R34-100,1))&lt;999,ROUND(100/Q34*R34-100,1),IF(ROUND(100/Q34*R34-100,1)&gt;999,999,-999)))</f>
        <v>3.8</v>
      </c>
      <c r="T34" s="603"/>
      <c r="U34" s="449"/>
      <c r="V34" s="605"/>
      <c r="W34" s="603"/>
      <c r="X34" s="449"/>
      <c r="Y34" s="605"/>
      <c r="Z34" s="603"/>
      <c r="AA34" s="449"/>
      <c r="AB34" s="605"/>
      <c r="AC34" s="603">
        <v>33</v>
      </c>
      <c r="AD34" s="449">
        <v>64</v>
      </c>
      <c r="AE34" s="605">
        <f t="shared" ref="AE34" si="14">IF(AC34=0, "    ---- ", IF(ABS(ROUND(100/AC34*AD34-100,1))&lt;999,ROUND(100/AC34*AD34-100,1),IF(ROUND(100/AC34*AD34-100,1)&gt;999,999,-999)))</f>
        <v>93.9</v>
      </c>
      <c r="AF34" s="434">
        <f t="shared" si="7"/>
        <v>973.38318015196887</v>
      </c>
      <c r="AG34" s="603">
        <f t="shared" si="8"/>
        <v>1105.7702948443052</v>
      </c>
      <c r="AH34" s="605">
        <f>IF(AF34=0, "    ---- ", IF(ABS(ROUND(100/AF34*AG34-100,1))&lt;999,ROUND(100/AF34*AG34-100,1),IF(ROUND(100/AF34*AG34-100,1)&gt;999,999,-999)))</f>
        <v>13.6</v>
      </c>
    </row>
    <row r="35" spans="1:35" s="609" customFormat="1" ht="18.75" customHeight="1" x14ac:dyDescent="0.35">
      <c r="A35" s="752" t="s">
        <v>500</v>
      </c>
      <c r="B35" s="607"/>
      <c r="C35" s="450"/>
      <c r="D35" s="608"/>
      <c r="E35" s="607"/>
      <c r="F35" s="450"/>
      <c r="G35" s="608"/>
      <c r="H35" s="607">
        <f>SUM(H36:H39)</f>
        <v>41.231000000000002</v>
      </c>
      <c r="I35" s="450">
        <f>SUM(I36:I39)</f>
        <v>67.828999999999994</v>
      </c>
      <c r="J35" s="608">
        <f t="shared" si="1"/>
        <v>64.5</v>
      </c>
      <c r="K35" s="607"/>
      <c r="L35" s="450"/>
      <c r="M35" s="608"/>
      <c r="N35" s="607"/>
      <c r="O35" s="450"/>
      <c r="P35" s="608"/>
      <c r="Q35" s="668"/>
      <c r="R35" s="608"/>
      <c r="S35" s="608"/>
      <c r="T35" s="668"/>
      <c r="U35" s="608"/>
      <c r="V35" s="608"/>
      <c r="W35" s="668"/>
      <c r="X35" s="608"/>
      <c r="Y35" s="608"/>
      <c r="Z35" s="607"/>
      <c r="AA35" s="450"/>
      <c r="AB35" s="608"/>
      <c r="AC35" s="607"/>
      <c r="AD35" s="450"/>
      <c r="AE35" s="608"/>
      <c r="AF35" s="432">
        <f t="shared" si="7"/>
        <v>41.231000000000002</v>
      </c>
      <c r="AG35" s="607">
        <f t="shared" si="8"/>
        <v>67.828999999999994</v>
      </c>
      <c r="AH35" s="608">
        <f t="shared" si="6"/>
        <v>64.5</v>
      </c>
      <c r="AI35" s="528"/>
    </row>
    <row r="36" spans="1:35" s="609" customFormat="1" ht="18.75" customHeight="1" x14ac:dyDescent="0.35">
      <c r="A36" s="610" t="s">
        <v>426</v>
      </c>
      <c r="B36" s="603"/>
      <c r="C36" s="449"/>
      <c r="D36" s="608"/>
      <c r="E36" s="603"/>
      <c r="F36" s="449"/>
      <c r="G36" s="608"/>
      <c r="H36" s="668"/>
      <c r="I36" s="608"/>
      <c r="J36" s="608"/>
      <c r="K36" s="668"/>
      <c r="L36" s="608"/>
      <c r="M36" s="608"/>
      <c r="N36" s="668"/>
      <c r="O36" s="608"/>
      <c r="P36" s="608"/>
      <c r="Q36" s="668"/>
      <c r="R36" s="608"/>
      <c r="S36" s="608"/>
      <c r="T36" s="668"/>
      <c r="U36" s="608"/>
      <c r="V36" s="608"/>
      <c r="W36" s="668"/>
      <c r="X36" s="608"/>
      <c r="Y36" s="608"/>
      <c r="Z36" s="607"/>
      <c r="AA36" s="450"/>
      <c r="AB36" s="608"/>
      <c r="AC36" s="607"/>
      <c r="AD36" s="450"/>
      <c r="AE36" s="608"/>
      <c r="AF36" s="434">
        <f t="shared" si="7"/>
        <v>0</v>
      </c>
      <c r="AG36" s="603">
        <f t="shared" si="8"/>
        <v>0</v>
      </c>
      <c r="AH36" s="608"/>
      <c r="AI36" s="528"/>
    </row>
    <row r="37" spans="1:35" s="609" customFormat="1" ht="18.75" customHeight="1" x14ac:dyDescent="0.35">
      <c r="A37" s="610" t="s">
        <v>429</v>
      </c>
      <c r="B37" s="603"/>
      <c r="C37" s="449"/>
      <c r="D37" s="608"/>
      <c r="E37" s="603"/>
      <c r="F37" s="449"/>
      <c r="G37" s="608"/>
      <c r="H37" s="711">
        <v>41.231000000000002</v>
      </c>
      <c r="I37" s="608">
        <v>67.828999999999994</v>
      </c>
      <c r="J37" s="608">
        <f t="shared" si="1"/>
        <v>64.5</v>
      </c>
      <c r="K37" s="668"/>
      <c r="L37" s="608"/>
      <c r="M37" s="608"/>
      <c r="N37" s="668"/>
      <c r="O37" s="608"/>
      <c r="P37" s="608"/>
      <c r="Q37" s="668"/>
      <c r="R37" s="608"/>
      <c r="S37" s="608"/>
      <c r="T37" s="668"/>
      <c r="U37" s="608"/>
      <c r="V37" s="608"/>
      <c r="W37" s="668"/>
      <c r="X37" s="608"/>
      <c r="Y37" s="608"/>
      <c r="Z37" s="607"/>
      <c r="AA37" s="450"/>
      <c r="AB37" s="608"/>
      <c r="AC37" s="607"/>
      <c r="AD37" s="450"/>
      <c r="AE37" s="608"/>
      <c r="AF37" s="434">
        <f t="shared" si="7"/>
        <v>41.231000000000002</v>
      </c>
      <c r="AG37" s="603">
        <f t="shared" si="8"/>
        <v>67.828999999999994</v>
      </c>
      <c r="AH37" s="608"/>
      <c r="AI37" s="528"/>
    </row>
    <row r="38" spans="1:35" s="609" customFormat="1" ht="18.75" customHeight="1" x14ac:dyDescent="0.35">
      <c r="A38" s="610" t="s">
        <v>431</v>
      </c>
      <c r="B38" s="603"/>
      <c r="C38" s="449"/>
      <c r="D38" s="608"/>
      <c r="E38" s="603"/>
      <c r="F38" s="449"/>
      <c r="G38" s="608"/>
      <c r="H38" s="668"/>
      <c r="I38" s="608"/>
      <c r="J38" s="608"/>
      <c r="K38" s="668"/>
      <c r="L38" s="608"/>
      <c r="M38" s="608"/>
      <c r="N38" s="668"/>
      <c r="O38" s="608"/>
      <c r="P38" s="608"/>
      <c r="Q38" s="668"/>
      <c r="R38" s="608"/>
      <c r="S38" s="608"/>
      <c r="T38" s="668"/>
      <c r="U38" s="608"/>
      <c r="V38" s="608"/>
      <c r="W38" s="668"/>
      <c r="X38" s="608"/>
      <c r="Y38" s="608"/>
      <c r="Z38" s="607"/>
      <c r="AA38" s="450"/>
      <c r="AB38" s="608"/>
      <c r="AC38" s="607"/>
      <c r="AD38" s="450"/>
      <c r="AE38" s="608"/>
      <c r="AF38" s="434">
        <f t="shared" si="7"/>
        <v>0</v>
      </c>
      <c r="AG38" s="603">
        <f t="shared" si="8"/>
        <v>0</v>
      </c>
      <c r="AH38" s="608"/>
      <c r="AI38" s="528"/>
    </row>
    <row r="39" spans="1:35" s="609" customFormat="1" ht="18.75" customHeight="1" x14ac:dyDescent="0.35">
      <c r="A39" s="610" t="s">
        <v>433</v>
      </c>
      <c r="B39" s="603"/>
      <c r="C39" s="449"/>
      <c r="D39" s="608"/>
      <c r="E39" s="603"/>
      <c r="F39" s="449"/>
      <c r="G39" s="608"/>
      <c r="H39" s="668"/>
      <c r="I39" s="608"/>
      <c r="J39" s="608"/>
      <c r="K39" s="668"/>
      <c r="L39" s="608"/>
      <c r="M39" s="608"/>
      <c r="N39" s="668"/>
      <c r="O39" s="608"/>
      <c r="P39" s="608"/>
      <c r="Q39" s="668"/>
      <c r="R39" s="608"/>
      <c r="S39" s="608"/>
      <c r="T39" s="668"/>
      <c r="U39" s="608"/>
      <c r="V39" s="608"/>
      <c r="W39" s="668"/>
      <c r="X39" s="608"/>
      <c r="Y39" s="608"/>
      <c r="Z39" s="607"/>
      <c r="AA39" s="450"/>
      <c r="AB39" s="608"/>
      <c r="AC39" s="607"/>
      <c r="AD39" s="450"/>
      <c r="AE39" s="608"/>
      <c r="AF39" s="434">
        <f t="shared" si="7"/>
        <v>0</v>
      </c>
      <c r="AG39" s="603">
        <f t="shared" si="8"/>
        <v>0</v>
      </c>
      <c r="AH39" s="608"/>
      <c r="AI39" s="528"/>
    </row>
    <row r="40" spans="1:35" s="609" customFormat="1" ht="18.75" customHeight="1" x14ac:dyDescent="0.3">
      <c r="A40" s="606" t="s">
        <v>436</v>
      </c>
      <c r="B40" s="607">
        <f>SUM(B41:B44)</f>
        <v>7681</v>
      </c>
      <c r="C40" s="450">
        <f>SUM(C41:C44)</f>
        <v>9124</v>
      </c>
      <c r="D40" s="608">
        <f t="shared" si="0"/>
        <v>18.8</v>
      </c>
      <c r="E40" s="607"/>
      <c r="F40" s="450"/>
      <c r="G40" s="608"/>
      <c r="H40" s="607"/>
      <c r="I40" s="450"/>
      <c r="J40" s="608"/>
      <c r="K40" s="607">
        <f t="shared" ref="K40:L40" si="15">SUM(K41:K44)</f>
        <v>315</v>
      </c>
      <c r="L40" s="450">
        <f t="shared" si="15"/>
        <v>399</v>
      </c>
      <c r="M40" s="608">
        <f t="shared" ref="M40:M43" si="16">IF(K40=0, "    ---- ", IF(ABS(ROUND(100/K40*L40-100,1))&lt;999,ROUND(100/K40*L40-100,1),IF(ROUND(100/K40*L40-100,1)&gt;999,999,-999)))</f>
        <v>26.7</v>
      </c>
      <c r="N40" s="607">
        <f t="shared" ref="N40" si="17">SUM(N41:N44)</f>
        <v>122975.73772664</v>
      </c>
      <c r="O40" s="608">
        <v>144513.70622804001</v>
      </c>
      <c r="P40" s="608">
        <f t="shared" ref="P40:P44" si="18">IF(N40=0, "    ---- ", IF(ABS(ROUND(100/N40*O40-100,1))&lt;999,ROUND(100/N40*O40-100,1),IF(ROUND(100/N40*O40-100,1)&gt;999,999,-999)))</f>
        <v>17.5</v>
      </c>
      <c r="Q40" s="607">
        <f t="shared" ref="Q40:R40" si="19">SUM(Q41:Q44)</f>
        <v>5898.6713515045767</v>
      </c>
      <c r="R40" s="450">
        <f t="shared" si="19"/>
        <v>6215.3124409061738</v>
      </c>
      <c r="S40" s="608">
        <f t="shared" ref="S40:S43" si="20">IF(Q40=0, "    ---- ", IF(ABS(ROUND(100/Q40*R40-100,1))&lt;999,ROUND(100/Q40*R40-100,1),IF(ROUND(100/Q40*R40-100,1)&gt;999,999,-999)))</f>
        <v>5.4</v>
      </c>
      <c r="T40" s="607">
        <f t="shared" ref="T40:U40" si="21">SUM(T41:T44)</f>
        <v>32468</v>
      </c>
      <c r="U40" s="450">
        <f t="shared" si="21"/>
        <v>36219</v>
      </c>
      <c r="V40" s="608">
        <f t="shared" ref="V40:V44" si="22">IF(T40=0, "    ---- ", IF(ABS(ROUND(100/T40*U40-100,1))&lt;999,ROUND(100/T40*U40-100,1),IF(ROUND(100/T40*U40-100,1)&gt;999,999,-999)))</f>
        <v>11.6</v>
      </c>
      <c r="W40" s="607">
        <f t="shared" ref="W40:X40" si="23">SUM(W41:W44)</f>
        <v>3718</v>
      </c>
      <c r="X40" s="450">
        <f t="shared" si="23"/>
        <v>4080.9311802700013</v>
      </c>
      <c r="Y40" s="608">
        <f t="shared" ref="Y40:Y43" si="24">IF(W40=0, "    ---- ", IF(ABS(ROUND(100/W40*X40-100,1))&lt;999,ROUND(100/W40*X40-100,1),IF(ROUND(100/W40*X40-100,1)&gt;999,999,-999)))</f>
        <v>9.8000000000000007</v>
      </c>
      <c r="Z40" s="607">
        <f t="shared" ref="Z40:AA40" si="25">SUM(Z41:Z44)</f>
        <v>14128.322942270001</v>
      </c>
      <c r="AA40" s="450">
        <f t="shared" si="25"/>
        <v>16849.24328776</v>
      </c>
      <c r="AB40" s="608">
        <f t="shared" si="4"/>
        <v>19.3</v>
      </c>
      <c r="AC40" s="607">
        <f t="shared" ref="AC40:AD40" si="26">SUM(AC41:AC44)</f>
        <v>2</v>
      </c>
      <c r="AD40" s="450">
        <f t="shared" si="26"/>
        <v>3</v>
      </c>
      <c r="AE40" s="608">
        <f t="shared" ref="AE40:AE43" si="27">IF(AC40=0, "    ---- ", IF(ABS(ROUND(100/AC40*AD40-100,1))&lt;999,ROUND(100/AC40*AD40-100,1),IF(ROUND(100/AC40*AD40-100,1)&gt;999,999,-999)))</f>
        <v>50</v>
      </c>
      <c r="AF40" s="432">
        <f t="shared" si="7"/>
        <v>187186.73202041458</v>
      </c>
      <c r="AG40" s="607">
        <f t="shared" si="8"/>
        <v>217404.19313697622</v>
      </c>
      <c r="AH40" s="608"/>
      <c r="AI40" s="528"/>
    </row>
    <row r="41" spans="1:35" ht="18.75" customHeight="1" x14ac:dyDescent="0.35">
      <c r="A41" s="753" t="s">
        <v>426</v>
      </c>
      <c r="B41" s="603">
        <v>302</v>
      </c>
      <c r="C41" s="449">
        <f>259+33+8</f>
        <v>300</v>
      </c>
      <c r="D41" s="605">
        <f t="shared" si="0"/>
        <v>-0.7</v>
      </c>
      <c r="E41" s="603"/>
      <c r="F41" s="449"/>
      <c r="G41" s="605"/>
      <c r="H41" s="603"/>
      <c r="I41" s="449"/>
      <c r="J41" s="605"/>
      <c r="K41" s="603"/>
      <c r="L41" s="449"/>
      <c r="M41" s="605"/>
      <c r="N41" s="603"/>
      <c r="O41" s="449"/>
      <c r="P41" s="605"/>
      <c r="Q41" s="603">
        <v>26.657389228470272</v>
      </c>
      <c r="R41" s="449">
        <v>23.335678625536165</v>
      </c>
      <c r="S41" s="605">
        <f t="shared" si="20"/>
        <v>-12.5</v>
      </c>
      <c r="T41" s="603"/>
      <c r="U41" s="449"/>
      <c r="V41" s="605"/>
      <c r="W41" s="603">
        <v>33</v>
      </c>
      <c r="X41" s="449">
        <v>32.315172349999997</v>
      </c>
      <c r="Y41" s="605">
        <f t="shared" si="24"/>
        <v>-2.1</v>
      </c>
      <c r="Z41" s="603">
        <v>109.24241499999999</v>
      </c>
      <c r="AA41" s="449">
        <v>113.29432592000001</v>
      </c>
      <c r="AB41" s="605">
        <f t="shared" ref="AB41:AB44" si="28">IF(Z41=0, "    ---- ", IF(ABS(ROUND(100/Z41*AA41-100,1))&lt;999,ROUND(100/Z41*AA41-100,1),IF(ROUND(100/Z41*AA41-100,1)&gt;999,999,-999)))</f>
        <v>3.7</v>
      </c>
      <c r="AC41" s="603"/>
      <c r="AD41" s="449"/>
      <c r="AE41" s="605"/>
      <c r="AF41" s="434">
        <f>B41+E41+H41+K41+N41+Q41+T41+W41+Z41+AC41</f>
        <v>470.89980422847026</v>
      </c>
      <c r="AG41" s="603">
        <f t="shared" si="8"/>
        <v>468.94517689553618</v>
      </c>
      <c r="AH41" s="605">
        <f t="shared" si="6"/>
        <v>-0.4</v>
      </c>
    </row>
    <row r="42" spans="1:35" ht="18.75" customHeight="1" x14ac:dyDescent="0.35">
      <c r="A42" s="753" t="s">
        <v>429</v>
      </c>
      <c r="B42" s="603">
        <v>568</v>
      </c>
      <c r="C42" s="449">
        <v>625</v>
      </c>
      <c r="D42" s="449">
        <f t="shared" si="0"/>
        <v>10</v>
      </c>
      <c r="E42" s="603"/>
      <c r="F42" s="449"/>
      <c r="G42" s="449"/>
      <c r="H42" s="603"/>
      <c r="I42" s="449"/>
      <c r="J42" s="449"/>
      <c r="K42" s="603">
        <v>55</v>
      </c>
      <c r="L42" s="449">
        <v>85</v>
      </c>
      <c r="M42" s="449">
        <f t="shared" si="16"/>
        <v>54.5</v>
      </c>
      <c r="N42" s="603"/>
      <c r="O42" s="449"/>
      <c r="P42" s="449"/>
      <c r="Q42" s="603">
        <v>430.06282474072793</v>
      </c>
      <c r="R42" s="449">
        <v>421.20802954525988</v>
      </c>
      <c r="S42" s="449">
        <f t="shared" si="20"/>
        <v>-2.1</v>
      </c>
      <c r="T42" s="603"/>
      <c r="U42" s="449"/>
      <c r="V42" s="449"/>
      <c r="W42" s="603">
        <v>425</v>
      </c>
      <c r="X42" s="449">
        <v>410.78955587999997</v>
      </c>
      <c r="Y42" s="449">
        <f t="shared" si="24"/>
        <v>-3.3</v>
      </c>
      <c r="Z42" s="603">
        <v>346.08173099999999</v>
      </c>
      <c r="AA42" s="449">
        <v>325.2460896299998</v>
      </c>
      <c r="AB42" s="449">
        <f t="shared" si="28"/>
        <v>-6</v>
      </c>
      <c r="AC42" s="603"/>
      <c r="AD42" s="449"/>
      <c r="AE42" s="449"/>
      <c r="AF42" s="434">
        <f t="shared" si="7"/>
        <v>1824.144555740728</v>
      </c>
      <c r="AG42" s="603">
        <f t="shared" si="8"/>
        <v>1867.2436750552597</v>
      </c>
      <c r="AH42" s="605">
        <f t="shared" si="6"/>
        <v>2.4</v>
      </c>
    </row>
    <row r="43" spans="1:35" ht="18.75" customHeight="1" x14ac:dyDescent="0.35">
      <c r="A43" s="753" t="s">
        <v>431</v>
      </c>
      <c r="B43" s="603">
        <v>6811</v>
      </c>
      <c r="C43" s="449">
        <v>8199</v>
      </c>
      <c r="D43" s="605">
        <f t="shared" si="0"/>
        <v>20.399999999999999</v>
      </c>
      <c r="E43" s="603"/>
      <c r="F43" s="449"/>
      <c r="G43" s="605"/>
      <c r="H43" s="603"/>
      <c r="I43" s="449"/>
      <c r="J43" s="605"/>
      <c r="K43" s="603">
        <v>260</v>
      </c>
      <c r="L43" s="449">
        <v>314</v>
      </c>
      <c r="M43" s="605">
        <f t="shared" si="16"/>
        <v>20.8</v>
      </c>
      <c r="N43" s="603"/>
      <c r="O43" s="449"/>
      <c r="P43" s="605"/>
      <c r="Q43" s="603">
        <v>5441.9511375353786</v>
      </c>
      <c r="R43" s="449">
        <v>5770.7687327353779</v>
      </c>
      <c r="S43" s="605">
        <f t="shared" si="20"/>
        <v>6</v>
      </c>
      <c r="T43" s="603"/>
      <c r="U43" s="449"/>
      <c r="V43" s="605"/>
      <c r="W43" s="603">
        <v>3260</v>
      </c>
      <c r="X43" s="449">
        <v>3637.8264520400012</v>
      </c>
      <c r="Y43" s="605">
        <f t="shared" si="24"/>
        <v>11.6</v>
      </c>
      <c r="Z43" s="603">
        <v>10772.027568269999</v>
      </c>
      <c r="AA43" s="449">
        <v>12675.558700260002</v>
      </c>
      <c r="AB43" s="605">
        <f t="shared" si="28"/>
        <v>17.7</v>
      </c>
      <c r="AC43" s="603">
        <v>2</v>
      </c>
      <c r="AD43" s="449">
        <v>3</v>
      </c>
      <c r="AE43" s="605">
        <f t="shared" si="27"/>
        <v>50</v>
      </c>
      <c r="AF43" s="434">
        <f t="shared" si="7"/>
        <v>26546.978705805377</v>
      </c>
      <c r="AG43" s="603">
        <f t="shared" si="8"/>
        <v>30600.153885035383</v>
      </c>
      <c r="AH43" s="605">
        <f t="shared" si="6"/>
        <v>15.3</v>
      </c>
    </row>
    <row r="44" spans="1:35" ht="18.75" customHeight="1" x14ac:dyDescent="0.35">
      <c r="A44" s="753" t="s">
        <v>433</v>
      </c>
      <c r="B44" s="603"/>
      <c r="C44" s="449"/>
      <c r="D44" s="605"/>
      <c r="E44" s="603"/>
      <c r="F44" s="449"/>
      <c r="G44" s="605"/>
      <c r="H44" s="603"/>
      <c r="I44" s="449"/>
      <c r="J44" s="605"/>
      <c r="K44" s="603"/>
      <c r="L44" s="449"/>
      <c r="M44" s="605"/>
      <c r="N44" s="711">
        <v>122975.73772664</v>
      </c>
      <c r="O44" s="605">
        <v>144513.70622804001</v>
      </c>
      <c r="P44" s="605">
        <f t="shared" si="18"/>
        <v>17.5</v>
      </c>
      <c r="Q44" s="603"/>
      <c r="R44" s="449"/>
      <c r="S44" s="605"/>
      <c r="T44" s="603">
        <v>32468</v>
      </c>
      <c r="U44" s="449">
        <v>36219</v>
      </c>
      <c r="V44" s="605">
        <f t="shared" si="22"/>
        <v>11.6</v>
      </c>
      <c r="W44" s="603"/>
      <c r="X44" s="449"/>
      <c r="Y44" s="605"/>
      <c r="Z44" s="603">
        <v>2900.9712279999999</v>
      </c>
      <c r="AA44" s="449">
        <v>3735.1441719499999</v>
      </c>
      <c r="AB44" s="605">
        <f t="shared" si="28"/>
        <v>28.8</v>
      </c>
      <c r="AC44" s="603"/>
      <c r="AD44" s="449"/>
      <c r="AE44" s="605"/>
      <c r="AF44" s="434">
        <f>B44+E44+H44+K44+N44+Q44+T44+W44+Z44+AC44</f>
        <v>158344.70895464002</v>
      </c>
      <c r="AG44" s="603">
        <f t="shared" si="8"/>
        <v>184467.85039999001</v>
      </c>
      <c r="AH44" s="605">
        <f t="shared" si="6"/>
        <v>16.5</v>
      </c>
    </row>
    <row r="45" spans="1:35" s="609" customFormat="1" ht="18.75" customHeight="1" x14ac:dyDescent="0.35">
      <c r="A45" s="752" t="s">
        <v>437</v>
      </c>
      <c r="B45" s="607"/>
      <c r="C45" s="450"/>
      <c r="D45" s="608"/>
      <c r="E45" s="607"/>
      <c r="F45" s="450"/>
      <c r="G45" s="608"/>
      <c r="H45" s="607"/>
      <c r="I45" s="450"/>
      <c r="J45" s="608"/>
      <c r="K45" s="607"/>
      <c r="L45" s="450"/>
      <c r="M45" s="608"/>
      <c r="N45" s="607"/>
      <c r="O45" s="450"/>
      <c r="P45" s="608"/>
      <c r="Q45" s="607"/>
      <c r="R45" s="450"/>
      <c r="S45" s="608"/>
      <c r="T45" s="607"/>
      <c r="U45" s="450"/>
      <c r="V45" s="608"/>
      <c r="W45" s="607"/>
      <c r="X45" s="450"/>
      <c r="Y45" s="608"/>
      <c r="Z45" s="607"/>
      <c r="AA45" s="450"/>
      <c r="AB45" s="608"/>
      <c r="AC45" s="607"/>
      <c r="AD45" s="450"/>
      <c r="AE45" s="608"/>
      <c r="AF45" s="432">
        <f t="shared" si="7"/>
        <v>0</v>
      </c>
      <c r="AG45" s="603">
        <f t="shared" si="8"/>
        <v>0</v>
      </c>
      <c r="AH45" s="608" t="str">
        <f t="shared" si="6"/>
        <v xml:space="preserve">    ---- </v>
      </c>
    </row>
    <row r="46" spans="1:35" s="609" customFormat="1" ht="17.399999999999999" x14ac:dyDescent="0.3">
      <c r="A46" s="754" t="s">
        <v>438</v>
      </c>
      <c r="B46" s="607">
        <f>SUM(B47:B49)</f>
        <v>341</v>
      </c>
      <c r="C46" s="450">
        <f>SUM(C47:C49)</f>
        <v>381</v>
      </c>
      <c r="D46" s="608">
        <f t="shared" si="0"/>
        <v>11.7</v>
      </c>
      <c r="E46" s="607"/>
      <c r="F46" s="450"/>
      <c r="G46" s="608"/>
      <c r="H46" s="607"/>
      <c r="I46" s="450"/>
      <c r="J46" s="608"/>
      <c r="K46" s="607">
        <f>SUM(K47:K49)</f>
        <v>39</v>
      </c>
      <c r="L46" s="450">
        <f>SUM(L47:L49)</f>
        <v>111</v>
      </c>
      <c r="M46" s="608">
        <f>IF(K46=0, "    ---- ", IF(ABS(ROUND(100/K46*L46-100,1))&lt;999,ROUND(100/K46*L46-100,1),IF(ROUND(100/K46*L46-100,1)&gt;999,999,-999)))</f>
        <v>184.6</v>
      </c>
      <c r="N46" s="607">
        <f>SUM(N47:N49)</f>
        <v>63369.833770650002</v>
      </c>
      <c r="O46" s="450">
        <v>64698.55573362</v>
      </c>
      <c r="P46" s="608">
        <f>IF(N46=0, "    ---- ", IF(ABS(ROUND(100/N46*O46-100,1))&lt;999,ROUND(100/N46*O46-100,1),IF(ROUND(100/N46*O46-100,1)&gt;999,999,-999)))</f>
        <v>2.1</v>
      </c>
      <c r="Q46" s="607">
        <f>SUM(Q47:Q49)</f>
        <v>1020.8683278100001</v>
      </c>
      <c r="R46" s="450">
        <f>SUM(R47:R49)</f>
        <v>1133.6263546</v>
      </c>
      <c r="S46" s="608">
        <f t="shared" si="2"/>
        <v>11</v>
      </c>
      <c r="T46" s="607">
        <f>SUM(T47:T49)</f>
        <v>6143</v>
      </c>
      <c r="U46" s="450">
        <f>SUM(U47:U49)</f>
        <v>7555</v>
      </c>
      <c r="V46" s="608">
        <f>IF(T46=0, "    ---- ", IF(ABS(ROUND(100/T46*U46-100,1))&lt;999,ROUND(100/T46*U46-100,1),IF(ROUND(100/T46*U46-100,1)&gt;999,999,-999)))</f>
        <v>23</v>
      </c>
      <c r="W46" s="607">
        <f>SUM(W47:W49)</f>
        <v>275</v>
      </c>
      <c r="X46" s="450">
        <f>SUM(X47:X49)</f>
        <v>301.28660088999993</v>
      </c>
      <c r="Y46" s="608">
        <f t="shared" si="3"/>
        <v>9.6</v>
      </c>
      <c r="Z46" s="607">
        <f>SUM(Z47:Z49)</f>
        <v>3452.68204599</v>
      </c>
      <c r="AA46" s="450">
        <f>SUM(AA47:AA49)</f>
        <v>5170.010773</v>
      </c>
      <c r="AB46" s="608">
        <f t="shared" si="4"/>
        <v>49.7</v>
      </c>
      <c r="AC46" s="607">
        <f>SUM(AC47:AC49)</f>
        <v>5</v>
      </c>
      <c r="AD46" s="450">
        <f>SUM(AD47:AD49)</f>
        <v>5</v>
      </c>
      <c r="AE46" s="608">
        <f t="shared" ref="AE46" si="29">IF(AC46=0, "    ---- ", IF(ABS(ROUND(100/AC46*AD46-100,1))&lt;999,ROUND(100/AC46*AD46-100,1),IF(ROUND(100/AC46*AD46-100,1)&gt;999,999,-999)))</f>
        <v>0</v>
      </c>
      <c r="AF46" s="432">
        <f t="shared" si="7"/>
        <v>74646.384144449999</v>
      </c>
      <c r="AG46" s="607">
        <f t="shared" si="8"/>
        <v>79355.479462110001</v>
      </c>
      <c r="AH46" s="608">
        <f t="shared" si="6"/>
        <v>6.3</v>
      </c>
      <c r="AI46" s="528"/>
    </row>
    <row r="47" spans="1:35" ht="18.75" customHeight="1" x14ac:dyDescent="0.35">
      <c r="A47" s="610" t="s">
        <v>429</v>
      </c>
      <c r="B47" s="603">
        <v>19</v>
      </c>
      <c r="C47" s="449">
        <v>14</v>
      </c>
      <c r="D47" s="449">
        <f t="shared" si="0"/>
        <v>-26.3</v>
      </c>
      <c r="E47" s="603"/>
      <c r="F47" s="449"/>
      <c r="G47" s="449"/>
      <c r="H47" s="603"/>
      <c r="I47" s="449"/>
      <c r="J47" s="449"/>
      <c r="K47" s="603">
        <v>15</v>
      </c>
      <c r="L47" s="449">
        <v>26</v>
      </c>
      <c r="M47" s="449">
        <f>IF(K47=0, "    ---- ", IF(ABS(ROUND(100/K47*L47-100,1))&lt;999,ROUND(100/K47*L47-100,1),IF(ROUND(100/K47*L47-100,1)&gt;999,999,-999)))</f>
        <v>73.3</v>
      </c>
      <c r="N47" s="603"/>
      <c r="O47" s="449"/>
      <c r="P47" s="449"/>
      <c r="Q47" s="603">
        <v>0.36253880999999999</v>
      </c>
      <c r="R47" s="449">
        <v>0.33890559999999997</v>
      </c>
      <c r="S47" s="449">
        <f t="shared" si="2"/>
        <v>-6.5</v>
      </c>
      <c r="T47" s="603"/>
      <c r="U47" s="449"/>
      <c r="V47" s="449"/>
      <c r="W47" s="603"/>
      <c r="X47" s="449">
        <v>5.5879354476928712E-15</v>
      </c>
      <c r="Y47" s="605" t="str">
        <f t="shared" si="3"/>
        <v xml:space="preserve">    ---- </v>
      </c>
      <c r="Z47" s="603"/>
      <c r="AA47" s="449"/>
      <c r="AB47" s="449"/>
      <c r="AC47" s="603"/>
      <c r="AD47" s="449"/>
      <c r="AE47" s="449"/>
      <c r="AF47" s="434">
        <f t="shared" si="7"/>
        <v>34.362538809999997</v>
      </c>
      <c r="AG47" s="603">
        <f t="shared" si="8"/>
        <v>40.338905600000004</v>
      </c>
      <c r="AH47" s="605">
        <f t="shared" si="6"/>
        <v>17.399999999999999</v>
      </c>
    </row>
    <row r="48" spans="1:35" ht="18.75" customHeight="1" x14ac:dyDescent="0.35">
      <c r="A48" s="610" t="s">
        <v>431</v>
      </c>
      <c r="B48" s="603">
        <v>322</v>
      </c>
      <c r="C48" s="449">
        <v>367</v>
      </c>
      <c r="D48" s="605">
        <f t="shared" si="0"/>
        <v>14</v>
      </c>
      <c r="E48" s="603"/>
      <c r="F48" s="449"/>
      <c r="G48" s="605"/>
      <c r="H48" s="603"/>
      <c r="I48" s="449"/>
      <c r="J48" s="605"/>
      <c r="K48" s="603">
        <v>24</v>
      </c>
      <c r="L48" s="449">
        <v>85</v>
      </c>
      <c r="M48" s="605">
        <f>IF(K48=0, "    ---- ", IF(ABS(ROUND(100/K48*L48-100,1))&lt;999,ROUND(100/K48*L48-100,1),IF(ROUND(100/K48*L48-100,1)&gt;999,999,-999)))</f>
        <v>254.2</v>
      </c>
      <c r="N48" s="603"/>
      <c r="O48" s="449"/>
      <c r="P48" s="605"/>
      <c r="Q48" s="603">
        <v>1020.505789</v>
      </c>
      <c r="R48" s="449">
        <v>1133.2874489999999</v>
      </c>
      <c r="S48" s="605">
        <f t="shared" si="2"/>
        <v>11.1</v>
      </c>
      <c r="T48" s="603"/>
      <c r="U48" s="449"/>
      <c r="V48" s="605"/>
      <c r="W48" s="603">
        <v>275</v>
      </c>
      <c r="X48" s="449">
        <v>301.28660088999993</v>
      </c>
      <c r="Y48" s="605">
        <f t="shared" si="3"/>
        <v>9.6</v>
      </c>
      <c r="Z48" s="603">
        <v>1409.2826609799999</v>
      </c>
      <c r="AA48" s="449">
        <v>1881.82258499</v>
      </c>
      <c r="AB48" s="605">
        <f t="shared" si="4"/>
        <v>33.5</v>
      </c>
      <c r="AC48" s="603">
        <v>5</v>
      </c>
      <c r="AD48" s="449">
        <v>5</v>
      </c>
      <c r="AE48" s="605">
        <f t="shared" ref="AE48" si="30">IF(AC48=0, "    ---- ", IF(ABS(ROUND(100/AC48*AD48-100,1))&lt;999,ROUND(100/AC48*AD48-100,1),IF(ROUND(100/AC48*AD48-100,1)&gt;999,999,-999)))</f>
        <v>0</v>
      </c>
      <c r="AF48" s="434">
        <f t="shared" si="7"/>
        <v>3055.7884499800002</v>
      </c>
      <c r="AG48" s="603">
        <f t="shared" si="8"/>
        <v>3773.39663488</v>
      </c>
      <c r="AH48" s="605">
        <f t="shared" si="6"/>
        <v>23.5</v>
      </c>
    </row>
    <row r="49" spans="1:35" ht="18.75" customHeight="1" x14ac:dyDescent="0.35">
      <c r="A49" s="610" t="s">
        <v>433</v>
      </c>
      <c r="B49" s="603"/>
      <c r="C49" s="449"/>
      <c r="D49" s="605"/>
      <c r="E49" s="603"/>
      <c r="F49" s="449"/>
      <c r="G49" s="605"/>
      <c r="H49" s="603"/>
      <c r="I49" s="449"/>
      <c r="J49" s="605"/>
      <c r="K49" s="603"/>
      <c r="L49" s="449"/>
      <c r="M49" s="605"/>
      <c r="N49" s="603">
        <v>63369.833770650002</v>
      </c>
      <c r="O49" s="449"/>
      <c r="P49" s="605">
        <f>IF(N49=0, "    ---- ", IF(ABS(ROUND(100/N49*O49-100,1))&lt;999,ROUND(100/N49*O49-100,1),IF(ROUND(100/N49*O49-100,1)&gt;999,999,-999)))</f>
        <v>-100</v>
      </c>
      <c r="Q49" s="603"/>
      <c r="R49" s="449"/>
      <c r="S49" s="605"/>
      <c r="T49" s="603">
        <v>6143</v>
      </c>
      <c r="U49" s="449">
        <v>7555</v>
      </c>
      <c r="V49" s="605">
        <f>IF(T49=0, "    ---- ", IF(ABS(ROUND(100/T49*U49-100,1))&lt;999,ROUND(100/T49*U49-100,1),IF(ROUND(100/T49*U49-100,1)&gt;999,999,-999)))</f>
        <v>23</v>
      </c>
      <c r="W49" s="603"/>
      <c r="X49" s="449"/>
      <c r="Y49" s="605"/>
      <c r="Z49" s="603">
        <v>2043.3993850100001</v>
      </c>
      <c r="AA49" s="449">
        <v>3288.1881880100004</v>
      </c>
      <c r="AB49" s="605">
        <f t="shared" si="4"/>
        <v>60.9</v>
      </c>
      <c r="AC49" s="603"/>
      <c r="AD49" s="449"/>
      <c r="AE49" s="605"/>
      <c r="AF49" s="434">
        <f t="shared" si="7"/>
        <v>71556.233155659997</v>
      </c>
      <c r="AG49" s="603">
        <f t="shared" si="8"/>
        <v>10843.188188010001</v>
      </c>
      <c r="AH49" s="605">
        <f t="shared" si="6"/>
        <v>-84.8</v>
      </c>
    </row>
    <row r="50" spans="1:35" s="609" customFormat="1" ht="18.75" customHeight="1" x14ac:dyDescent="0.3">
      <c r="A50" s="606" t="s">
        <v>439</v>
      </c>
      <c r="B50" s="607">
        <v>3478.5079999999998</v>
      </c>
      <c r="C50" s="450">
        <v>3648</v>
      </c>
      <c r="D50" s="608">
        <f t="shared" si="0"/>
        <v>4.9000000000000004</v>
      </c>
      <c r="E50" s="607"/>
      <c r="F50" s="450"/>
      <c r="G50" s="608"/>
      <c r="H50" s="607"/>
      <c r="I50" s="450"/>
      <c r="J50" s="608"/>
      <c r="K50" s="607"/>
      <c r="L50" s="450"/>
      <c r="M50" s="608"/>
      <c r="N50" s="607"/>
      <c r="O50" s="450"/>
      <c r="P50" s="608"/>
      <c r="Q50" s="607"/>
      <c r="R50" s="450"/>
      <c r="S50" s="608"/>
      <c r="T50" s="607"/>
      <c r="U50" s="450"/>
      <c r="V50" s="608"/>
      <c r="W50" s="607"/>
      <c r="X50" s="450"/>
      <c r="Y50" s="608"/>
      <c r="Z50" s="450"/>
      <c r="AA50" s="450"/>
      <c r="AB50" s="608"/>
      <c r="AC50" s="607"/>
      <c r="AD50" s="450"/>
      <c r="AE50" s="608"/>
      <c r="AF50" s="432">
        <f t="shared" si="7"/>
        <v>3478.5079999999998</v>
      </c>
      <c r="AG50" s="607">
        <f t="shared" si="8"/>
        <v>3648</v>
      </c>
      <c r="AH50" s="608">
        <f t="shared" si="6"/>
        <v>4.9000000000000004</v>
      </c>
      <c r="AI50" s="528"/>
    </row>
    <row r="51" spans="1:35" s="609" customFormat="1" ht="18.75" customHeight="1" x14ac:dyDescent="0.3">
      <c r="A51" s="606"/>
      <c r="B51" s="607"/>
      <c r="C51" s="450"/>
      <c r="D51" s="608"/>
      <c r="E51" s="607"/>
      <c r="F51" s="450"/>
      <c r="G51" s="608"/>
      <c r="H51" s="607"/>
      <c r="I51" s="450"/>
      <c r="J51" s="608"/>
      <c r="K51" s="607"/>
      <c r="L51" s="450"/>
      <c r="M51" s="608"/>
      <c r="N51" s="607"/>
      <c r="O51" s="450"/>
      <c r="P51" s="608"/>
      <c r="Q51" s="607"/>
      <c r="R51" s="450"/>
      <c r="S51" s="608"/>
      <c r="T51" s="607"/>
      <c r="U51" s="450"/>
      <c r="V51" s="608"/>
      <c r="W51" s="607"/>
      <c r="X51" s="450"/>
      <c r="Y51" s="608"/>
      <c r="Z51" s="607"/>
      <c r="AA51" s="450"/>
      <c r="AB51" s="608"/>
      <c r="AC51" s="607"/>
      <c r="AD51" s="450"/>
      <c r="AE51" s="608"/>
      <c r="AF51" s="432"/>
      <c r="AG51" s="607"/>
      <c r="AH51" s="608"/>
    </row>
    <row r="52" spans="1:35" s="609" customFormat="1" ht="18.75" customHeight="1" x14ac:dyDescent="0.3">
      <c r="A52" s="606" t="s">
        <v>440</v>
      </c>
      <c r="B52" s="450">
        <f>SUM(B11+B35+B40+B45+B46+B50)</f>
        <v>184677.508</v>
      </c>
      <c r="C52" s="450">
        <f>SUM(C11+C35+C40+C45+C46+C50)</f>
        <v>183522</v>
      </c>
      <c r="D52" s="608">
        <f t="shared" si="0"/>
        <v>-0.6</v>
      </c>
      <c r="E52" s="607">
        <f>SUM(E11+E35+E40+E45+E46+E50)</f>
        <v>9686.1368891700004</v>
      </c>
      <c r="F52" s="450">
        <f>SUM(F11+F35+F40+F45+F46+F50)</f>
        <v>10511.11309275</v>
      </c>
      <c r="G52" s="608">
        <f t="shared" ref="G52:G58" si="31">IF(E52=0, "    ---- ", IF(ABS(ROUND(100/E52*F52-100,1))&lt;999,ROUND(100/E52*F52-100,1),IF(ROUND(100/E52*F52-100,1)&gt;999,999,-999)))</f>
        <v>8.5</v>
      </c>
      <c r="H52" s="450">
        <f>SUM(H11+H35+H40+H45+H46+H50)</f>
        <v>2059.8160000000003</v>
      </c>
      <c r="I52" s="450">
        <f>SUM(I11+I35+I40+I45+I46+I50)</f>
        <v>2439.6420000000003</v>
      </c>
      <c r="J52" s="608">
        <f t="shared" ref="J52:J58" si="32">IF(H52=0, "    ---- ", IF(ABS(ROUND(100/H52*I52-100,1))&lt;999,ROUND(100/H52*I52-100,1),IF(ROUND(100/H52*I52-100,1)&gt;999,999,-999)))</f>
        <v>18.399999999999999</v>
      </c>
      <c r="K52" s="450">
        <f>SUM(K11+K35+K40+K45+K46+K50)</f>
        <v>10849</v>
      </c>
      <c r="L52" s="450">
        <f>SUM(L11+L35+L40+L45+L46+L50)</f>
        <v>11791</v>
      </c>
      <c r="M52" s="608">
        <f t="shared" ref="M52:M56" si="33">IF(K52=0, "    ---- ", IF(ABS(ROUND(100/K52*L52-100,1))&lt;999,ROUND(100/K52*L52-100,1),IF(ROUND(100/K52*L52-100,1)&gt;999,999,-999)))</f>
        <v>8.6999999999999993</v>
      </c>
      <c r="N52" s="450">
        <f>SUM(N11+N35+N40+N45+N46+N50)</f>
        <v>799888.95229860989</v>
      </c>
      <c r="O52" s="450">
        <f>SUM(O11+O35+O40+O45+O46+O50)</f>
        <v>867538.61759637995</v>
      </c>
      <c r="P52" s="608">
        <f t="shared" ref="P52:P57" si="34">IF(N52=0, "    ---- ", IF(ABS(ROUND(100/N52*O52-100,1))&lt;999,ROUND(100/N52*O52-100,1),IF(ROUND(100/N52*O52-100,1)&gt;999,999,-999)))</f>
        <v>8.5</v>
      </c>
      <c r="Q52" s="607">
        <f>SUM(Q11+Q35+Q40+Q45+Q46+Q50)</f>
        <v>54748.348563233034</v>
      </c>
      <c r="R52" s="450">
        <f>SUM(R11+R35+R40+R45+R46+R50)</f>
        <v>56197.529711105715</v>
      </c>
      <c r="S52" s="608">
        <f t="shared" ref="S52:S58" si="35">IF(Q52=0, "    ---- ", IF(ABS(ROUND(100/Q52*R52-100,1))&lt;999,ROUND(100/Q52*R52-100,1),IF(ROUND(100/Q52*R52-100,1)&gt;999,999,-999)))</f>
        <v>2.6</v>
      </c>
      <c r="T52" s="607">
        <f>SUM(T11+T35+T40+T45+T46+T50)</f>
        <v>130120</v>
      </c>
      <c r="U52" s="450">
        <f>SUM(U11+U35+U40+U45+U46+U50)</f>
        <v>140521</v>
      </c>
      <c r="V52" s="608">
        <f t="shared" ref="V52:V57" si="36">IF(T52=0, "    ---- ", IF(ABS(ROUND(100/T52*U52-100,1))&lt;999,ROUND(100/T52*U52-100,1),IF(ROUND(100/T52*U52-100,1)&gt;999,999,-999)))</f>
        <v>8</v>
      </c>
      <c r="W52" s="450">
        <f>SUM(W11+W35+W40+W45+W46+W50)</f>
        <v>24225</v>
      </c>
      <c r="X52" s="450">
        <f>SUM(X11+X35+X40+X45+X46+X50)</f>
        <v>26625.99044473001</v>
      </c>
      <c r="Y52" s="608">
        <f t="shared" ref="Y52:Y56" si="37">IF(W52=0, "    ---- ", IF(ABS(ROUND(100/W52*X52-100,1))&lt;999,ROUND(100/W52*X52-100,1),IF(ROUND(100/W52*X52-100,1)&gt;999,999,-999)))</f>
        <v>9.9</v>
      </c>
      <c r="Z52" s="450">
        <f>SUM(Z11+Z35+Z40+Z45+Z46+Z50)</f>
        <v>213095.32934097998</v>
      </c>
      <c r="AA52" s="450">
        <f>SUM(AA11+AA35+AA40+AA45+AA46+AA50)</f>
        <v>223864.91036522007</v>
      </c>
      <c r="AB52" s="608">
        <f t="shared" ref="AB52:AB57" si="38">IF(Z52=0, "    ---- ", IF(ABS(ROUND(100/Z52*AA52-100,1))&lt;999,ROUND(100/Z52*AA52-100,1),IF(ROUND(100/Z52*AA52-100,1)&gt;999,999,-999)))</f>
        <v>5.0999999999999996</v>
      </c>
      <c r="AC52" s="450">
        <f>SUM(AC11+AC35+AC40+AC45+AC46+AC50)</f>
        <v>128</v>
      </c>
      <c r="AD52" s="450">
        <f>SUM(AD11+AD35+AD40+AD45+AD46+AD50)</f>
        <v>230</v>
      </c>
      <c r="AE52" s="608">
        <f t="shared" ref="AE52:AE58" si="39">IF(AC52=0, "    ---- ", IF(ABS(ROUND(100/AC52*AD52-100,1))&lt;999,ROUND(100/AC52*AD52-100,1),IF(ROUND(100/AC52*AD52-100,1)&gt;999,999,-999)))</f>
        <v>79.7</v>
      </c>
      <c r="AF52" s="432">
        <f t="shared" ref="AF52:AF59" si="40">B52+E52+H52+K52+N52+Q52+T52+W52+Z52+AC52</f>
        <v>1429478.0910919928</v>
      </c>
      <c r="AG52" s="607">
        <f t="shared" ref="AG52:AG59" si="41">C52+F52+I52+L52+O52+R52+U52+X52+AA52+AD52</f>
        <v>1523241.8032101858</v>
      </c>
      <c r="AH52" s="608">
        <f t="shared" si="6"/>
        <v>6.6</v>
      </c>
      <c r="AI52" s="528"/>
    </row>
    <row r="53" spans="1:35" ht="18.75" customHeight="1" x14ac:dyDescent="0.35">
      <c r="A53" s="610" t="s">
        <v>426</v>
      </c>
      <c r="B53" s="449">
        <f>SUM(B12+B36+B41)</f>
        <v>5877</v>
      </c>
      <c r="C53" s="449">
        <f>SUM(C12+C36+C41)</f>
        <v>5126</v>
      </c>
      <c r="D53" s="605">
        <f t="shared" si="0"/>
        <v>-12.8</v>
      </c>
      <c r="E53" s="603">
        <f>SUM(E12+E36+E41)</f>
        <v>835.19165500999998</v>
      </c>
      <c r="F53" s="449">
        <f>SUM(F12+F36+F41)</f>
        <v>889.43016410000007</v>
      </c>
      <c r="G53" s="605">
        <f t="shared" si="31"/>
        <v>6.5</v>
      </c>
      <c r="H53" s="449">
        <f>SUM(H12+H36+H41)</f>
        <v>81.537999999999997</v>
      </c>
      <c r="I53" s="449">
        <f>SUM(I12+I36+I41)</f>
        <v>86.614999999999995</v>
      </c>
      <c r="J53" s="605">
        <f t="shared" si="32"/>
        <v>6.2</v>
      </c>
      <c r="K53" s="449"/>
      <c r="L53" s="449"/>
      <c r="M53" s="605"/>
      <c r="N53" s="449"/>
      <c r="O53" s="449"/>
      <c r="P53" s="605"/>
      <c r="Q53" s="603">
        <f>SUM(Q12+Q36+Q41)</f>
        <v>561.51314221212283</v>
      </c>
      <c r="R53" s="449">
        <f>SUM(R12+R36+R41)</f>
        <v>510.36742375386956</v>
      </c>
      <c r="S53" s="605">
        <f t="shared" si="35"/>
        <v>-9.1</v>
      </c>
      <c r="T53" s="603"/>
      <c r="U53" s="449"/>
      <c r="V53" s="605"/>
      <c r="W53" s="449">
        <f>SUM(W12+W36+W41)</f>
        <v>284</v>
      </c>
      <c r="X53" s="449">
        <f>SUM(X12+X36+X41)</f>
        <v>250.30708248000008</v>
      </c>
      <c r="Y53" s="605">
        <f t="shared" si="37"/>
        <v>-11.9</v>
      </c>
      <c r="Z53" s="449">
        <f>SUM(Z12+Z36+Z41)</f>
        <v>2606.87414584</v>
      </c>
      <c r="AA53" s="449">
        <f>SUM(AA12+AA36+AA41)</f>
        <v>2595.1107043200004</v>
      </c>
      <c r="AB53" s="605">
        <f t="shared" si="38"/>
        <v>-0.5</v>
      </c>
      <c r="AC53" s="449">
        <f>SUM(AC12+AC36+AC41)</f>
        <v>4</v>
      </c>
      <c r="AD53" s="449">
        <f>SUM(AD12+AD36+AD41)</f>
        <v>6</v>
      </c>
      <c r="AE53" s="605">
        <f t="shared" si="39"/>
        <v>50</v>
      </c>
      <c r="AF53" s="434">
        <f t="shared" si="40"/>
        <v>10250.116943062123</v>
      </c>
      <c r="AG53" s="603">
        <f t="shared" si="41"/>
        <v>9463.8303746538695</v>
      </c>
      <c r="AH53" s="605">
        <f t="shared" si="6"/>
        <v>-7.7</v>
      </c>
    </row>
    <row r="54" spans="1:35" ht="18.75" customHeight="1" x14ac:dyDescent="0.35">
      <c r="A54" s="610" t="s">
        <v>429</v>
      </c>
      <c r="B54" s="449">
        <f>SUM(B15+B42+B47+B37)</f>
        <v>19160</v>
      </c>
      <c r="C54" s="449">
        <f>SUM(C15+C42+C47+C37)</f>
        <v>18409</v>
      </c>
      <c r="D54" s="605">
        <f t="shared" si="0"/>
        <v>-3.9</v>
      </c>
      <c r="E54" s="603">
        <f>SUM(E15+E42+E47+E37)</f>
        <v>5177.0630521899993</v>
      </c>
      <c r="F54" s="449">
        <f>SUM(F15+F42+F47+F37)</f>
        <v>5693.5438733999999</v>
      </c>
      <c r="G54" s="605">
        <f t="shared" si="31"/>
        <v>10</v>
      </c>
      <c r="H54" s="449">
        <f>SUM(H15+H42+H47+H37)</f>
        <v>1801.229</v>
      </c>
      <c r="I54" s="449">
        <f>SUM(I15+I42+I47+I37)</f>
        <v>2148.8630000000003</v>
      </c>
      <c r="J54" s="605">
        <f t="shared" si="32"/>
        <v>19.3</v>
      </c>
      <c r="K54" s="449">
        <f>SUM(K15+K42+K47+K37)</f>
        <v>4448</v>
      </c>
      <c r="L54" s="449">
        <f>SUM(L15+L42+L47+L37)</f>
        <v>5077</v>
      </c>
      <c r="M54" s="605">
        <f t="shared" si="33"/>
        <v>14.1</v>
      </c>
      <c r="N54" s="449"/>
      <c r="O54" s="449"/>
      <c r="P54" s="605"/>
      <c r="Q54" s="603">
        <f>SUM(Q15+Q42+Q47+Q37)</f>
        <v>4236.1008280909928</v>
      </c>
      <c r="R54" s="449">
        <f>SUM(R15+R42+R47+R37)</f>
        <v>4515.8665988852717</v>
      </c>
      <c r="S54" s="605">
        <f t="shared" si="35"/>
        <v>6.6</v>
      </c>
      <c r="T54" s="603"/>
      <c r="U54" s="449"/>
      <c r="V54" s="605"/>
      <c r="W54" s="449">
        <f>SUM(W15+W42+W47+W37)</f>
        <v>2471</v>
      </c>
      <c r="X54" s="449">
        <f>SUM(X15+X42+X47+X37)</f>
        <v>2390.8124367900004</v>
      </c>
      <c r="Y54" s="605">
        <f t="shared" si="37"/>
        <v>-3.2</v>
      </c>
      <c r="Z54" s="449">
        <f>SUM(Z15+Z42+Z47+Z37)</f>
        <v>8977.6431508099995</v>
      </c>
      <c r="AA54" s="449">
        <f>SUM(AA15+AA42+AA47+AA37)</f>
        <v>9055.9590219300007</v>
      </c>
      <c r="AB54" s="605">
        <f t="shared" si="38"/>
        <v>0.9</v>
      </c>
      <c r="AC54" s="449">
        <f>SUM(AC15+AC42+AC47+AC37)</f>
        <v>13</v>
      </c>
      <c r="AD54" s="449">
        <f>SUM(AD15+AD42+AD47+AD37)</f>
        <v>33</v>
      </c>
      <c r="AE54" s="605">
        <f t="shared" si="39"/>
        <v>153.80000000000001</v>
      </c>
      <c r="AF54" s="434">
        <f t="shared" si="40"/>
        <v>46284.036031090989</v>
      </c>
      <c r="AG54" s="603">
        <f t="shared" si="41"/>
        <v>47324.044931005272</v>
      </c>
      <c r="AH54" s="605">
        <f t="shared" si="6"/>
        <v>2.2000000000000002</v>
      </c>
    </row>
    <row r="55" spans="1:35" ht="18.75" customHeight="1" x14ac:dyDescent="0.35">
      <c r="A55" s="610" t="s">
        <v>430</v>
      </c>
      <c r="B55" s="449">
        <f>SUM(B18)</f>
        <v>317</v>
      </c>
      <c r="C55" s="449">
        <f>SUM(C18)</f>
        <v>380</v>
      </c>
      <c r="D55" s="449">
        <f t="shared" si="0"/>
        <v>19.899999999999999</v>
      </c>
      <c r="E55" s="603">
        <f>SUM(E18)</f>
        <v>2902.0962209200002</v>
      </c>
      <c r="F55" s="449">
        <f>SUM(F18)</f>
        <v>3071.5936165600001</v>
      </c>
      <c r="G55" s="449">
        <f t="shared" si="31"/>
        <v>5.8</v>
      </c>
      <c r="H55" s="449">
        <f>SUM(H18)</f>
        <v>66.254999999999995</v>
      </c>
      <c r="I55" s="449">
        <f>SUM(I18)</f>
        <v>74.028999999999996</v>
      </c>
      <c r="J55" s="449">
        <f t="shared" si="32"/>
        <v>11.7</v>
      </c>
      <c r="K55" s="449"/>
      <c r="L55" s="449"/>
      <c r="M55" s="449"/>
      <c r="N55" s="449">
        <f>SUM(N18)</f>
        <v>3.7438119799999998</v>
      </c>
      <c r="O55" s="449">
        <f>SUM(O18)</f>
        <v>0</v>
      </c>
      <c r="P55" s="449">
        <f t="shared" si="34"/>
        <v>-100</v>
      </c>
      <c r="Q55" s="603"/>
      <c r="R55" s="449"/>
      <c r="S55" s="449"/>
      <c r="T55" s="603"/>
      <c r="U55" s="449"/>
      <c r="V55" s="449"/>
      <c r="W55" s="449">
        <f>SUM(W18)</f>
        <v>26</v>
      </c>
      <c r="X55" s="449">
        <f>SUM(X18)</f>
        <v>22.272804490000002</v>
      </c>
      <c r="Y55" s="449">
        <f t="shared" si="37"/>
        <v>-14.3</v>
      </c>
      <c r="Z55" s="449">
        <f>SUM(Z18)</f>
        <v>2117.0005628200001</v>
      </c>
      <c r="AA55" s="449">
        <f>SUM(AA18)</f>
        <v>2374.3141401899998</v>
      </c>
      <c r="AB55" s="449">
        <f t="shared" si="38"/>
        <v>12.2</v>
      </c>
      <c r="AC55" s="449">
        <f>SUM(AC18)</f>
        <v>11</v>
      </c>
      <c r="AD55" s="449">
        <f>SUM(AD18)</f>
        <v>26</v>
      </c>
      <c r="AE55" s="449">
        <f t="shared" si="39"/>
        <v>136.4</v>
      </c>
      <c r="AF55" s="434">
        <f t="shared" si="40"/>
        <v>5443.0955957200003</v>
      </c>
      <c r="AG55" s="603">
        <f t="shared" si="41"/>
        <v>5948.2095612399999</v>
      </c>
      <c r="AH55" s="605">
        <f t="shared" si="6"/>
        <v>9.3000000000000007</v>
      </c>
    </row>
    <row r="56" spans="1:35" ht="18.75" customHeight="1" x14ac:dyDescent="0.35">
      <c r="A56" s="610" t="s">
        <v>431</v>
      </c>
      <c r="B56" s="449">
        <f>SUM(B19+B43+B48+B38)</f>
        <v>155845</v>
      </c>
      <c r="C56" s="449">
        <f>SUM(C19+C43+C48+C38)</f>
        <v>155959</v>
      </c>
      <c r="D56" s="605">
        <f t="shared" si="0"/>
        <v>0.1</v>
      </c>
      <c r="E56" s="603"/>
      <c r="F56" s="449"/>
      <c r="G56" s="605"/>
      <c r="H56" s="449"/>
      <c r="I56" s="449"/>
      <c r="J56" s="605"/>
      <c r="K56" s="449">
        <f>SUM(K19+K43+K48+K38)</f>
        <v>6401</v>
      </c>
      <c r="L56" s="449">
        <f>SUM(L19+L43+L48+L38)</f>
        <v>6714</v>
      </c>
      <c r="M56" s="605">
        <f t="shared" si="33"/>
        <v>4.9000000000000004</v>
      </c>
      <c r="N56" s="449"/>
      <c r="O56" s="449"/>
      <c r="P56" s="605"/>
      <c r="Q56" s="603">
        <f>SUM(Q19+Q43+Q48+Q38)</f>
        <v>49875.233373827949</v>
      </c>
      <c r="R56" s="449">
        <f>SUM(R19+R43+R48+R38)</f>
        <v>51092.917832312276</v>
      </c>
      <c r="S56" s="605">
        <f t="shared" si="35"/>
        <v>2.4</v>
      </c>
      <c r="T56" s="603"/>
      <c r="U56" s="449"/>
      <c r="V56" s="605"/>
      <c r="W56" s="449">
        <f>SUM(W19+W43+W48+W38)</f>
        <v>21444</v>
      </c>
      <c r="X56" s="449">
        <f>SUM(X19+X43+X48+X38)</f>
        <v>23962.598120970008</v>
      </c>
      <c r="Y56" s="605">
        <f t="shared" si="37"/>
        <v>11.7</v>
      </c>
      <c r="Z56" s="449">
        <f>SUM(Z19+Z43+Z48+Z38)</f>
        <v>175782.75667069</v>
      </c>
      <c r="AA56" s="449">
        <f>SUM(AA19+AA43+AA48+AA38)</f>
        <v>179412.02139462007</v>
      </c>
      <c r="AB56" s="605">
        <f t="shared" si="38"/>
        <v>2.1</v>
      </c>
      <c r="AC56" s="449">
        <f>SUM(AC19+AC43+AC48+AC38)</f>
        <v>44</v>
      </c>
      <c r="AD56" s="449">
        <f>SUM(AD19+AD43+AD48+AD38)</f>
        <v>59</v>
      </c>
      <c r="AE56" s="605">
        <f t="shared" si="39"/>
        <v>34.1</v>
      </c>
      <c r="AF56" s="434">
        <f t="shared" si="40"/>
        <v>409391.99004451791</v>
      </c>
      <c r="AG56" s="603">
        <f t="shared" si="41"/>
        <v>417199.53734790237</v>
      </c>
      <c r="AH56" s="605">
        <f t="shared" si="6"/>
        <v>1.9</v>
      </c>
    </row>
    <row r="57" spans="1:35" ht="18.75" customHeight="1" x14ac:dyDescent="0.35">
      <c r="A57" s="610" t="s">
        <v>433</v>
      </c>
      <c r="B57" s="449"/>
      <c r="C57" s="449"/>
      <c r="D57" s="605"/>
      <c r="E57" s="603"/>
      <c r="F57" s="449"/>
      <c r="G57" s="605"/>
      <c r="H57" s="449"/>
      <c r="I57" s="449"/>
      <c r="J57" s="605"/>
      <c r="K57" s="449"/>
      <c r="L57" s="449"/>
      <c r="M57" s="605"/>
      <c r="N57" s="449">
        <f>SUM(N21+N44+N49+N39)</f>
        <v>799885.20848662988</v>
      </c>
      <c r="O57" s="449">
        <f>SUM(O21+O44+O49+O39)</f>
        <v>802829.95079837996</v>
      </c>
      <c r="P57" s="605">
        <f t="shared" si="34"/>
        <v>0.4</v>
      </c>
      <c r="Q57" s="603"/>
      <c r="R57" s="449"/>
      <c r="S57" s="605"/>
      <c r="T57" s="603">
        <f>SUM(T21+T44+T49+T39)</f>
        <v>130120</v>
      </c>
      <c r="U57" s="449">
        <f>SUM(U21+U44+U49+U39)</f>
        <v>140521</v>
      </c>
      <c r="V57" s="605">
        <f t="shared" si="36"/>
        <v>8</v>
      </c>
      <c r="W57" s="449"/>
      <c r="X57" s="449"/>
      <c r="Y57" s="605"/>
      <c r="Z57" s="449">
        <f>SUM(Z21+Z44+Z49+Z39)</f>
        <v>23611.054810819998</v>
      </c>
      <c r="AA57" s="449">
        <f>SUM(AA21+AA44+AA49+AA39)</f>
        <v>30427.505104160002</v>
      </c>
      <c r="AB57" s="605">
        <f t="shared" si="38"/>
        <v>28.9</v>
      </c>
      <c r="AC57" s="449"/>
      <c r="AD57" s="449"/>
      <c r="AE57" s="605"/>
      <c r="AF57" s="434">
        <f t="shared" si="40"/>
        <v>953616.26329744991</v>
      </c>
      <c r="AG57" s="603">
        <f t="shared" si="41"/>
        <v>973778.45590254001</v>
      </c>
      <c r="AH57" s="605">
        <f t="shared" si="6"/>
        <v>2.1</v>
      </c>
    </row>
    <row r="58" spans="1:35" ht="18.75" customHeight="1" x14ac:dyDescent="0.35">
      <c r="A58" s="610" t="s">
        <v>434</v>
      </c>
      <c r="B58" s="449"/>
      <c r="C58" s="449"/>
      <c r="D58" s="449"/>
      <c r="E58" s="603">
        <f>SUM(E22)</f>
        <v>771.78596104999997</v>
      </c>
      <c r="F58" s="449">
        <f>SUM(F22)</f>
        <v>856.54543868999997</v>
      </c>
      <c r="G58" s="449">
        <f t="shared" si="31"/>
        <v>11</v>
      </c>
      <c r="H58" s="449">
        <f>SUM(H22)</f>
        <v>110.794</v>
      </c>
      <c r="I58" s="449">
        <f>SUM(I22)</f>
        <v>130.13499999999999</v>
      </c>
      <c r="J58" s="449">
        <f t="shared" si="32"/>
        <v>17.5</v>
      </c>
      <c r="K58" s="449"/>
      <c r="L58" s="449"/>
      <c r="M58" s="449"/>
      <c r="N58" s="449"/>
      <c r="O58" s="449"/>
      <c r="P58" s="449"/>
      <c r="Q58" s="603">
        <f>SUM(Q22)</f>
        <v>75.501219101968914</v>
      </c>
      <c r="R58" s="449">
        <f>SUM(R22)</f>
        <v>78.377856154305348</v>
      </c>
      <c r="S58" s="449">
        <f t="shared" si="35"/>
        <v>3.8</v>
      </c>
      <c r="T58" s="603"/>
      <c r="U58" s="449"/>
      <c r="V58" s="449"/>
      <c r="W58" s="449"/>
      <c r="X58" s="449"/>
      <c r="Y58" s="449"/>
      <c r="Z58" s="449"/>
      <c r="AA58" s="449"/>
      <c r="AB58" s="449"/>
      <c r="AC58" s="449">
        <f>SUM(AC22)</f>
        <v>56</v>
      </c>
      <c r="AD58" s="449">
        <f>SUM(AD22)</f>
        <v>106</v>
      </c>
      <c r="AE58" s="449">
        <f t="shared" si="39"/>
        <v>89.3</v>
      </c>
      <c r="AF58" s="434">
        <f t="shared" si="40"/>
        <v>1014.0811801519689</v>
      </c>
      <c r="AG58" s="603">
        <f t="shared" si="41"/>
        <v>1171.0582948443052</v>
      </c>
      <c r="AH58" s="605">
        <f t="shared" si="6"/>
        <v>15.5</v>
      </c>
    </row>
    <row r="59" spans="1:35" ht="18.75" customHeight="1" x14ac:dyDescent="0.35">
      <c r="A59" s="612" t="s">
        <v>441</v>
      </c>
      <c r="B59" s="451">
        <f>SUM(B45+B50)</f>
        <v>3478.5079999999998</v>
      </c>
      <c r="C59" s="451">
        <f>SUM(C45+C50)</f>
        <v>3648</v>
      </c>
      <c r="D59" s="451">
        <f t="shared" si="0"/>
        <v>4.9000000000000004</v>
      </c>
      <c r="E59" s="613"/>
      <c r="F59" s="451"/>
      <c r="G59" s="451"/>
      <c r="H59" s="613"/>
      <c r="I59" s="451"/>
      <c r="J59" s="451"/>
      <c r="K59" s="613"/>
      <c r="L59" s="451"/>
      <c r="M59" s="451"/>
      <c r="N59" s="613"/>
      <c r="O59" s="451"/>
      <c r="P59" s="451"/>
      <c r="Q59" s="613"/>
      <c r="R59" s="451"/>
      <c r="S59" s="451"/>
      <c r="T59" s="613"/>
      <c r="U59" s="451"/>
      <c r="V59" s="451"/>
      <c r="W59" s="613"/>
      <c r="X59" s="451"/>
      <c r="Y59" s="451"/>
      <c r="Z59" s="613"/>
      <c r="AA59" s="451"/>
      <c r="AB59" s="451"/>
      <c r="AC59" s="613"/>
      <c r="AD59" s="451"/>
      <c r="AE59" s="451"/>
      <c r="AF59" s="613">
        <f t="shared" si="40"/>
        <v>3478.5079999999998</v>
      </c>
      <c r="AG59" s="613">
        <f t="shared" si="41"/>
        <v>3648</v>
      </c>
      <c r="AH59" s="614">
        <f t="shared" si="6"/>
        <v>4.9000000000000004</v>
      </c>
    </row>
    <row r="60" spans="1:35" ht="18.75" customHeight="1" x14ac:dyDescent="0.35">
      <c r="A60" s="395" t="s">
        <v>298</v>
      </c>
      <c r="B60" s="611"/>
      <c r="C60" s="611"/>
      <c r="D60" s="611"/>
      <c r="E60" s="611"/>
      <c r="F60" s="611"/>
      <c r="G60" s="611"/>
      <c r="H60" s="611"/>
      <c r="I60" s="611"/>
      <c r="J60" s="611"/>
      <c r="K60" s="611"/>
      <c r="L60" s="611"/>
      <c r="M60" s="611"/>
      <c r="N60" s="611"/>
      <c r="O60" s="611"/>
      <c r="P60" s="611"/>
      <c r="Q60" s="611"/>
      <c r="R60" s="611"/>
      <c r="S60" s="611"/>
      <c r="T60" s="611"/>
      <c r="U60" s="611"/>
      <c r="V60" s="611"/>
      <c r="W60" s="611"/>
      <c r="X60" s="611"/>
      <c r="Y60" s="611"/>
      <c r="Z60" s="611"/>
      <c r="AA60" s="611"/>
      <c r="AB60" s="611"/>
      <c r="AC60" s="611"/>
      <c r="AD60" s="611"/>
      <c r="AE60" s="611"/>
      <c r="AF60" s="611"/>
      <c r="AG60" s="611"/>
      <c r="AH60" s="611"/>
    </row>
    <row r="61" spans="1:35" ht="18.75" customHeight="1" x14ac:dyDescent="0.35">
      <c r="A61" s="395" t="s">
        <v>299</v>
      </c>
      <c r="B61" s="611"/>
      <c r="C61" s="611"/>
      <c r="D61" s="611"/>
      <c r="E61" s="611"/>
      <c r="F61" s="611"/>
      <c r="G61" s="611"/>
      <c r="H61" s="611"/>
      <c r="I61" s="611"/>
      <c r="J61" s="611"/>
      <c r="K61" s="611"/>
      <c r="L61" s="611"/>
      <c r="M61" s="611"/>
      <c r="N61" s="611"/>
      <c r="O61" s="611"/>
      <c r="P61" s="611"/>
      <c r="Q61" s="611"/>
      <c r="R61" s="611"/>
      <c r="S61" s="611"/>
      <c r="T61" s="611"/>
      <c r="U61" s="611"/>
      <c r="V61" s="611"/>
      <c r="W61" s="611"/>
      <c r="X61" s="611"/>
      <c r="Y61" s="611"/>
      <c r="Z61" s="611"/>
      <c r="AA61" s="611"/>
      <c r="AB61" s="611"/>
      <c r="AC61" s="611"/>
      <c r="AD61" s="611"/>
      <c r="AE61" s="611"/>
      <c r="AF61" s="611"/>
      <c r="AG61" s="611"/>
      <c r="AH61" s="611"/>
    </row>
    <row r="62" spans="1:35" ht="18.75" customHeight="1" x14ac:dyDescent="0.35">
      <c r="N62" s="395"/>
      <c r="Q62" s="395"/>
      <c r="Z62" s="395"/>
      <c r="AC62" s="395"/>
      <c r="AF62" s="395"/>
    </row>
    <row r="63" spans="1:35" s="576" customFormat="1" ht="18" x14ac:dyDescent="0.35"/>
    <row r="64" spans="1:35" s="576" customFormat="1" ht="18" x14ac:dyDescent="0.35"/>
    <row r="65" s="576" customFormat="1" ht="18" x14ac:dyDescent="0.35"/>
    <row r="66" s="576" customFormat="1" ht="18" x14ac:dyDescent="0.35"/>
    <row r="67" s="576" customFormat="1" ht="18" x14ac:dyDescent="0.35"/>
    <row r="68" s="576" customFormat="1" ht="18" x14ac:dyDescent="0.35"/>
    <row r="69" s="576" customFormat="1" ht="18" x14ac:dyDescent="0.35"/>
    <row r="70" s="576" customFormat="1" ht="18" x14ac:dyDescent="0.35"/>
    <row r="71" s="576" customFormat="1" ht="18" x14ac:dyDescent="0.35"/>
    <row r="72" s="576" customFormat="1" ht="18" x14ac:dyDescent="0.35"/>
    <row r="73" s="576" customFormat="1" ht="18" x14ac:dyDescent="0.35"/>
    <row r="74" s="576" customFormat="1" ht="18" x14ac:dyDescent="0.35"/>
    <row r="75" s="576" customFormat="1" ht="18" x14ac:dyDescent="0.35"/>
    <row r="76" s="576" customFormat="1" ht="18" x14ac:dyDescent="0.35"/>
    <row r="77" s="576" customFormat="1" ht="18" x14ac:dyDescent="0.35"/>
    <row r="78" s="576" customFormat="1" ht="18" x14ac:dyDescent="0.35"/>
    <row r="79" s="576" customFormat="1" ht="18" x14ac:dyDescent="0.35"/>
    <row r="80" s="576" customFormat="1" ht="18" x14ac:dyDescent="0.35"/>
    <row r="81" s="576" customFormat="1" ht="18" x14ac:dyDescent="0.35"/>
    <row r="82" s="576" customFormat="1" ht="18" x14ac:dyDescent="0.35"/>
    <row r="83" s="576" customFormat="1" ht="18" x14ac:dyDescent="0.35"/>
    <row r="84" s="576" customFormat="1" ht="18" x14ac:dyDescent="0.35"/>
  </sheetData>
  <mergeCells count="30">
    <mergeCell ref="AC6:AE6"/>
    <mergeCell ref="AF6:AH6"/>
    <mergeCell ref="AK6:AM6"/>
    <mergeCell ref="AN6:AP6"/>
    <mergeCell ref="AQ6:AS6"/>
    <mergeCell ref="AT6:AV6"/>
    <mergeCell ref="AW6:AY6"/>
    <mergeCell ref="AW5:AY5"/>
    <mergeCell ref="B6:D6"/>
    <mergeCell ref="E6:G6"/>
    <mergeCell ref="H6:J6"/>
    <mergeCell ref="K6:M6"/>
    <mergeCell ref="N6:P6"/>
    <mergeCell ref="Q6:S6"/>
    <mergeCell ref="T6:V6"/>
    <mergeCell ref="W6:Y6"/>
    <mergeCell ref="Z6:AB6"/>
    <mergeCell ref="Z5:AB5"/>
    <mergeCell ref="AF5:AH5"/>
    <mergeCell ref="AK5:AM5"/>
    <mergeCell ref="AN5:AP5"/>
    <mergeCell ref="AQ5:AS5"/>
    <mergeCell ref="AT5:AV5"/>
    <mergeCell ref="B5:D5"/>
    <mergeCell ref="E5:G5"/>
    <mergeCell ref="H5:J5"/>
    <mergeCell ref="K5:M5"/>
    <mergeCell ref="T5:V5"/>
    <mergeCell ref="W5:Y5"/>
    <mergeCell ref="AC5:AE5"/>
  </mergeCells>
  <conditionalFormatting sqref="B11:C11">
    <cfRule type="expression" dxfId="94" priority="52">
      <formula>#REF!="11≠12+15+18+19+21+22"</formula>
    </cfRule>
  </conditionalFormatting>
  <conditionalFormatting sqref="B23:C23">
    <cfRule type="expression" dxfId="93" priority="53">
      <formula>#REF!="23≠24+27+30+31+33+34"</formula>
    </cfRule>
  </conditionalFormatting>
  <conditionalFormatting sqref="B35:C35">
    <cfRule type="expression" dxfId="92" priority="54">
      <formula>#REF!="35≠36+37+38+39"</formula>
    </cfRule>
  </conditionalFormatting>
  <conditionalFormatting sqref="B40:C40">
    <cfRule type="expression" dxfId="91" priority="55">
      <formula>#REF!="35≠36+37+38+39"</formula>
    </cfRule>
  </conditionalFormatting>
  <conditionalFormatting sqref="B46:C46">
    <cfRule type="expression" dxfId="90" priority="56">
      <formula>#REF!="48≠49+50+51"</formula>
    </cfRule>
  </conditionalFormatting>
  <conditionalFormatting sqref="B52:C52 E52:F52 H52:I52 K52:L52 N52:O52 Q52:R52 T52:U52 W52:X52 Z52:AA52 AC52:AD52">
    <cfRule type="expression" dxfId="89" priority="572">
      <formula>#REF!="54≠55+56+57+58+59+60+61"</formula>
    </cfRule>
  </conditionalFormatting>
  <conditionalFormatting sqref="E11:F11">
    <cfRule type="expression" dxfId="88" priority="63">
      <formula>#REF!="11≠12+15+18+19+21+22"</formula>
    </cfRule>
  </conditionalFormatting>
  <conditionalFormatting sqref="E23:F23">
    <cfRule type="expression" dxfId="87" priority="64">
      <formula>#REF!="23≠24+27+30+31+33+34"</formula>
    </cfRule>
  </conditionalFormatting>
  <conditionalFormatting sqref="E35:F35">
    <cfRule type="expression" dxfId="86" priority="62">
      <formula>#REF!="35≠36+37+38+39"</formula>
    </cfRule>
  </conditionalFormatting>
  <conditionalFormatting sqref="E40:F40">
    <cfRule type="expression" dxfId="85" priority="65">
      <formula>#REF!="35≠36+37+38+39"</formula>
    </cfRule>
  </conditionalFormatting>
  <conditionalFormatting sqref="E46:F46">
    <cfRule type="expression" dxfId="84" priority="66">
      <formula>#REF!="48≠49+50+51"</formula>
    </cfRule>
  </conditionalFormatting>
  <conditionalFormatting sqref="H11:I11">
    <cfRule type="expression" dxfId="83" priority="44">
      <formula>#REF!="11≠12+15+18+19+21+22"</formula>
    </cfRule>
  </conditionalFormatting>
  <conditionalFormatting sqref="H23:I23">
    <cfRule type="expression" dxfId="82" priority="45">
      <formula>#REF!="23≠24+27+30+31+33+34"</formula>
    </cfRule>
  </conditionalFormatting>
  <conditionalFormatting sqref="H35:I35">
    <cfRule type="expression" dxfId="81" priority="43">
      <formula>#REF!="35≠36+37+38+39"</formula>
    </cfRule>
  </conditionalFormatting>
  <conditionalFormatting sqref="H40:I40">
    <cfRule type="expression" dxfId="80" priority="46">
      <formula>#REF!="35≠36+37+38+39"</formula>
    </cfRule>
  </conditionalFormatting>
  <conditionalFormatting sqref="H46:I46">
    <cfRule type="expression" dxfId="79" priority="47">
      <formula>#REF!="48≠49+50+51"</formula>
    </cfRule>
  </conditionalFormatting>
  <conditionalFormatting sqref="K11:L11">
    <cfRule type="expression" dxfId="78" priority="8">
      <formula>#REF!="11≠12+15+18+19+21+22"</formula>
    </cfRule>
  </conditionalFormatting>
  <conditionalFormatting sqref="K23:L23">
    <cfRule type="expression" dxfId="77" priority="9">
      <formula>#REF!="23≠24+27+30+31+33+34"</formula>
    </cfRule>
  </conditionalFormatting>
  <conditionalFormatting sqref="K35:L35">
    <cfRule type="expression" dxfId="76" priority="10">
      <formula>#REF!="35≠36+37+38+39"</formula>
    </cfRule>
  </conditionalFormatting>
  <conditionalFormatting sqref="K40:L40">
    <cfRule type="expression" dxfId="75" priority="11">
      <formula>#REF!="35≠36+37+38+39"</formula>
    </cfRule>
  </conditionalFormatting>
  <conditionalFormatting sqref="K46:L46">
    <cfRule type="expression" dxfId="74" priority="12">
      <formula>#REF!="48≠49+50+51"</formula>
    </cfRule>
  </conditionalFormatting>
  <conditionalFormatting sqref="N40">
    <cfRule type="expression" dxfId="73" priority="4">
      <formula>#REF!="35≠36+37+38+39"</formula>
    </cfRule>
  </conditionalFormatting>
  <conditionalFormatting sqref="N11:O11">
    <cfRule type="expression" dxfId="72" priority="1">
      <formula>#REF!="11≠12+15+18+19+21+22"</formula>
    </cfRule>
  </conditionalFormatting>
  <conditionalFormatting sqref="N23:O23">
    <cfRule type="expression" dxfId="71" priority="2">
      <formula>#REF!="23≠24+27+30+31+33+34"</formula>
    </cfRule>
  </conditionalFormatting>
  <conditionalFormatting sqref="N35:O35">
    <cfRule type="expression" dxfId="70" priority="3">
      <formula>#REF!="35≠36+37+38+39"</formula>
    </cfRule>
  </conditionalFormatting>
  <conditionalFormatting sqref="N46:O46">
    <cfRule type="expression" dxfId="69" priority="5">
      <formula>#REF!="48≠49+50+51"</formula>
    </cfRule>
  </conditionalFormatting>
  <conditionalFormatting sqref="Q11:R11">
    <cfRule type="expression" dxfId="68" priority="72">
      <formula>#REF!="11≠12+15+18+19+21+22"</formula>
    </cfRule>
  </conditionalFormatting>
  <conditionalFormatting sqref="Q23:R23">
    <cfRule type="expression" dxfId="67" priority="73">
      <formula>#REF!="23≠24+27+30+31+33+34"</formula>
    </cfRule>
  </conditionalFormatting>
  <conditionalFormatting sqref="Q40:R40">
    <cfRule type="expression" dxfId="66" priority="74">
      <formula>#REF!="35≠36+37+38+39"</formula>
    </cfRule>
  </conditionalFormatting>
  <conditionalFormatting sqref="Q46:R46">
    <cfRule type="expression" dxfId="65" priority="75">
      <formula>#REF!="48≠49+50+51"</formula>
    </cfRule>
  </conditionalFormatting>
  <conditionalFormatting sqref="T11:U11">
    <cfRule type="expression" dxfId="64" priority="81">
      <formula>#REF!="11≠12+15+18+19+21+22"</formula>
    </cfRule>
  </conditionalFormatting>
  <conditionalFormatting sqref="T23:U23">
    <cfRule type="expression" dxfId="63" priority="82">
      <formula>#REF!="23≠24+27+30+31+33+34"</formula>
    </cfRule>
  </conditionalFormatting>
  <conditionalFormatting sqref="T40:U40">
    <cfRule type="expression" dxfId="62" priority="83">
      <formula>#REF!="35≠36+37+38+39"</formula>
    </cfRule>
  </conditionalFormatting>
  <conditionalFormatting sqref="T46:U46">
    <cfRule type="expression" dxfId="61" priority="84">
      <formula>#REF!="48≠49+50+51"</formula>
    </cfRule>
  </conditionalFormatting>
  <conditionalFormatting sqref="W11:X11">
    <cfRule type="expression" dxfId="60" priority="17">
      <formula>#REF!="11≠12+15+18+19+21+22"</formula>
    </cfRule>
  </conditionalFormatting>
  <conditionalFormatting sqref="W23:X23">
    <cfRule type="expression" dxfId="59" priority="18">
      <formula>#REF!="23≠24+27+30+31+33+34"</formula>
    </cfRule>
  </conditionalFormatting>
  <conditionalFormatting sqref="W40:X40">
    <cfRule type="expression" dxfId="58" priority="19">
      <formula>#REF!="35≠36+37+38+39"</formula>
    </cfRule>
  </conditionalFormatting>
  <conditionalFormatting sqref="W46:X46">
    <cfRule type="expression" dxfId="57" priority="20">
      <formula>#REF!="48≠49+50+51"</formula>
    </cfRule>
  </conditionalFormatting>
  <conditionalFormatting sqref="Z11:AA11">
    <cfRule type="expression" dxfId="56" priority="34">
      <formula>#REF!="11≠12+15+18+19+21+22"</formula>
    </cfRule>
  </conditionalFormatting>
  <conditionalFormatting sqref="Z23:AA23">
    <cfRule type="expression" dxfId="55" priority="35">
      <formula>#REF!="23≠24+27+30+31+33+34"</formula>
    </cfRule>
  </conditionalFormatting>
  <conditionalFormatting sqref="Z35:AA40">
    <cfRule type="expression" dxfId="54" priority="36">
      <formula>#REF!="35≠36+37+38+39"</formula>
    </cfRule>
  </conditionalFormatting>
  <conditionalFormatting sqref="Z46:AA46">
    <cfRule type="expression" dxfId="53" priority="37">
      <formula>#REF!="48≠49+50+51"</formula>
    </cfRule>
  </conditionalFormatting>
  <conditionalFormatting sqref="AC11:AD11">
    <cfRule type="expression" dxfId="52" priority="25">
      <formula>#REF!="11≠12+15+18+19+21+22"</formula>
    </cfRule>
  </conditionalFormatting>
  <conditionalFormatting sqref="AC23:AD23">
    <cfRule type="expression" dxfId="51" priority="26">
      <formula>#REF!="23≠24+27+30+31+33+34"</formula>
    </cfRule>
  </conditionalFormatting>
  <conditionalFormatting sqref="AC35:AD40">
    <cfRule type="expression" dxfId="50" priority="27">
      <formula>#REF!="35≠36+37+38+39"</formula>
    </cfRule>
  </conditionalFormatting>
  <conditionalFormatting sqref="AC46:AD46">
    <cfRule type="expression" dxfId="49" priority="28">
      <formula>#REF!="48≠49+50+51"</formula>
    </cfRule>
  </conditionalFormatting>
  <conditionalFormatting sqref="AF11:AG59">
    <cfRule type="expression" dxfId="48" priority="579">
      <formula>#REF!="11≠12+15+18+19+21+22"</formula>
    </cfRule>
  </conditionalFormatting>
  <pageMargins left="0.78740157480314965" right="0.78740157480314965" top="1.5748031496062993" bottom="0.98425196850393704" header="0.51181102362204722" footer="0.51181102362204722"/>
  <pageSetup paperSize="9" scale="45" fitToWidth="4" orientation="portrait" r:id="rId1"/>
  <headerFooter alignWithMargins="0"/>
  <colBreaks count="2" manualBreakCount="2">
    <brk id="10" min="1" max="63" man="1"/>
    <brk id="31" min="1" max="63"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D191-E730-4837-832D-66D205206DB2}">
  <sheetPr codeName="Ark41"/>
  <dimension ref="A1:Z63"/>
  <sheetViews>
    <sheetView showGridLines="0" zoomScale="70" zoomScaleNormal="70" workbookViewId="0">
      <pane xSplit="1" ySplit="8" topLeftCell="B9" activePane="bottomRight" state="frozen"/>
      <selection activeCell="X52" sqref="X52"/>
      <selection pane="topRight" activeCell="X52" sqref="X52"/>
      <selection pane="bottomLeft" activeCell="X52" sqref="X52"/>
      <selection pane="bottomRight" activeCell="A4" sqref="A4"/>
    </sheetView>
  </sheetViews>
  <sheetFormatPr baseColWidth="10" defaultColWidth="12.5546875" defaultRowHeight="15.6" x14ac:dyDescent="0.3"/>
  <cols>
    <col min="1" max="1" width="77.6640625" style="553" customWidth="1"/>
    <col min="2" max="22" width="11.6640625" style="553" customWidth="1"/>
    <col min="23" max="23" width="13" style="553" customWidth="1"/>
    <col min="24" max="24" width="13.109375" style="553" customWidth="1"/>
    <col min="25" max="27" width="11.6640625" style="553" customWidth="1"/>
    <col min="28" max="28" width="7.6640625" style="553" customWidth="1"/>
    <col min="29" max="30" width="11.6640625" style="553" customWidth="1"/>
    <col min="31" max="31" width="7.6640625" style="553" customWidth="1"/>
    <col min="32" max="16384" width="12.5546875" style="553"/>
  </cols>
  <sheetData>
    <row r="1" spans="1:26" ht="20.25" customHeight="1" x14ac:dyDescent="0.35">
      <c r="A1" s="401" t="s">
        <v>301</v>
      </c>
    </row>
    <row r="2" spans="1:26" ht="20.100000000000001" customHeight="1" x14ac:dyDescent="0.35">
      <c r="A2" s="554" t="s">
        <v>442</v>
      </c>
      <c r="C2" s="515"/>
      <c r="D2" s="516"/>
    </row>
    <row r="3" spans="1:26" ht="20.100000000000001" customHeight="1" x14ac:dyDescent="0.3">
      <c r="A3" s="528" t="s">
        <v>443</v>
      </c>
    </row>
    <row r="4" spans="1:26" ht="18.75" customHeight="1" x14ac:dyDescent="0.3">
      <c r="A4" s="578" t="s">
        <v>235</v>
      </c>
      <c r="B4" s="559"/>
      <c r="C4" s="559"/>
      <c r="D4" s="559"/>
      <c r="E4" s="559"/>
      <c r="F4" s="559"/>
      <c r="G4" s="560"/>
      <c r="H4" s="559"/>
      <c r="I4" s="559"/>
      <c r="J4" s="560"/>
      <c r="K4" s="558"/>
      <c r="L4" s="559"/>
      <c r="M4" s="560"/>
      <c r="N4" s="558"/>
      <c r="O4" s="559"/>
      <c r="P4" s="560"/>
      <c r="Q4" s="558"/>
      <c r="R4" s="559"/>
      <c r="S4" s="560"/>
      <c r="T4" s="558"/>
      <c r="U4" s="559"/>
      <c r="V4" s="560"/>
      <c r="W4" s="558"/>
      <c r="X4" s="559"/>
      <c r="Y4" s="560"/>
    </row>
    <row r="5" spans="1:26" ht="18.75" customHeight="1" x14ac:dyDescent="0.3">
      <c r="A5" s="561" t="s">
        <v>444</v>
      </c>
      <c r="B5" s="787" t="s">
        <v>236</v>
      </c>
      <c r="C5" s="788"/>
      <c r="D5" s="789"/>
      <c r="E5" s="798" t="s">
        <v>238</v>
      </c>
      <c r="F5" s="799"/>
      <c r="G5" s="800"/>
      <c r="H5" s="748"/>
      <c r="I5" s="748"/>
      <c r="J5" s="749"/>
      <c r="K5" s="798" t="s">
        <v>304</v>
      </c>
      <c r="L5" s="799"/>
      <c r="M5" s="800"/>
      <c r="N5" s="787" t="s">
        <v>247</v>
      </c>
      <c r="O5" s="788"/>
      <c r="P5" s="789"/>
      <c r="Q5" s="798" t="s">
        <v>240</v>
      </c>
      <c r="R5" s="799"/>
      <c r="S5" s="800"/>
      <c r="T5" s="798" t="s">
        <v>421</v>
      </c>
      <c r="U5" s="799"/>
      <c r="V5" s="800"/>
      <c r="W5" s="798" t="s">
        <v>242</v>
      </c>
      <c r="X5" s="799"/>
      <c r="Y5" s="800"/>
    </row>
    <row r="6" spans="1:26" ht="18.75" customHeight="1" x14ac:dyDescent="0.3">
      <c r="A6" s="562" t="s">
        <v>422</v>
      </c>
      <c r="B6" s="790" t="s">
        <v>243</v>
      </c>
      <c r="C6" s="791"/>
      <c r="D6" s="792"/>
      <c r="E6" s="793" t="s">
        <v>245</v>
      </c>
      <c r="F6" s="794"/>
      <c r="G6" s="795"/>
      <c r="H6" s="746"/>
      <c r="I6" s="746" t="s">
        <v>55</v>
      </c>
      <c r="J6" s="747"/>
      <c r="K6" s="793" t="s">
        <v>60</v>
      </c>
      <c r="L6" s="794"/>
      <c r="M6" s="795"/>
      <c r="N6" s="790" t="s">
        <v>305</v>
      </c>
      <c r="O6" s="791"/>
      <c r="P6" s="792"/>
      <c r="Q6" s="793" t="s">
        <v>243</v>
      </c>
      <c r="R6" s="794"/>
      <c r="S6" s="795"/>
      <c r="T6" s="793" t="s">
        <v>445</v>
      </c>
      <c r="U6" s="794"/>
      <c r="V6" s="795"/>
      <c r="W6" s="793" t="s">
        <v>446</v>
      </c>
      <c r="X6" s="794"/>
      <c r="Y6" s="795"/>
    </row>
    <row r="7" spans="1:26" ht="18.75" customHeight="1" x14ac:dyDescent="0.3">
      <c r="A7" s="562"/>
      <c r="B7" s="412"/>
      <c r="C7" s="412"/>
      <c r="D7" s="413" t="s">
        <v>85</v>
      </c>
      <c r="E7" s="412"/>
      <c r="F7" s="412"/>
      <c r="G7" s="413" t="s">
        <v>85</v>
      </c>
      <c r="H7" s="412"/>
      <c r="I7" s="412"/>
      <c r="J7" s="413" t="s">
        <v>85</v>
      </c>
      <c r="K7" s="412"/>
      <c r="L7" s="412"/>
      <c r="M7" s="413" t="s">
        <v>85</v>
      </c>
      <c r="N7" s="412"/>
      <c r="O7" s="412"/>
      <c r="P7" s="413" t="s">
        <v>85</v>
      </c>
      <c r="Q7" s="412"/>
      <c r="R7" s="412"/>
      <c r="S7" s="413" t="s">
        <v>85</v>
      </c>
      <c r="T7" s="412"/>
      <c r="U7" s="412"/>
      <c r="V7" s="413" t="s">
        <v>85</v>
      </c>
      <c r="W7" s="412"/>
      <c r="X7" s="412"/>
      <c r="Y7" s="413" t="s">
        <v>85</v>
      </c>
    </row>
    <row r="8" spans="1:26" ht="18.75" customHeight="1" x14ac:dyDescent="0.35">
      <c r="A8" s="563" t="s">
        <v>250</v>
      </c>
      <c r="B8" s="415">
        <v>2024</v>
      </c>
      <c r="C8" s="415">
        <v>2025</v>
      </c>
      <c r="D8" s="416" t="s">
        <v>88</v>
      </c>
      <c r="E8" s="415">
        <v>2024</v>
      </c>
      <c r="F8" s="415">
        <v>2025</v>
      </c>
      <c r="G8" s="416" t="s">
        <v>88</v>
      </c>
      <c r="H8" s="415">
        <v>2024</v>
      </c>
      <c r="I8" s="415">
        <v>2025</v>
      </c>
      <c r="J8" s="416" t="s">
        <v>88</v>
      </c>
      <c r="K8" s="415">
        <v>2024</v>
      </c>
      <c r="L8" s="415">
        <v>2025</v>
      </c>
      <c r="M8" s="416" t="s">
        <v>88</v>
      </c>
      <c r="N8" s="415">
        <v>2024</v>
      </c>
      <c r="O8" s="415">
        <v>2025</v>
      </c>
      <c r="P8" s="416" t="s">
        <v>88</v>
      </c>
      <c r="Q8" s="415">
        <v>2024</v>
      </c>
      <c r="R8" s="415">
        <v>2025</v>
      </c>
      <c r="S8" s="416" t="s">
        <v>88</v>
      </c>
      <c r="T8" s="415">
        <v>2024</v>
      </c>
      <c r="U8" s="415">
        <v>2025</v>
      </c>
      <c r="V8" s="416" t="s">
        <v>88</v>
      </c>
      <c r="W8" s="415">
        <v>2024</v>
      </c>
      <c r="X8" s="415">
        <v>2025</v>
      </c>
      <c r="Y8" s="416" t="s">
        <v>88</v>
      </c>
    </row>
    <row r="9" spans="1:26" ht="18.75" customHeight="1" x14ac:dyDescent="0.35">
      <c r="A9" s="615"/>
      <c r="B9" s="616"/>
      <c r="C9" s="452"/>
      <c r="D9" s="452"/>
      <c r="E9" s="616"/>
      <c r="F9" s="452"/>
      <c r="G9" s="452"/>
      <c r="H9" s="616"/>
      <c r="I9" s="452"/>
      <c r="J9" s="452"/>
      <c r="K9" s="616"/>
      <c r="L9" s="452"/>
      <c r="M9" s="617"/>
      <c r="N9" s="616"/>
      <c r="O9" s="452"/>
      <c r="P9" s="617"/>
      <c r="Q9" s="616"/>
      <c r="R9" s="452"/>
      <c r="S9" s="617"/>
      <c r="T9" s="440"/>
      <c r="U9" s="440"/>
      <c r="V9" s="452"/>
      <c r="W9" s="441"/>
      <c r="X9" s="441"/>
      <c r="Y9" s="452"/>
    </row>
    <row r="10" spans="1:26" s="555" customFormat="1" ht="18.75" customHeight="1" x14ac:dyDescent="0.3">
      <c r="A10" s="457" t="s">
        <v>447</v>
      </c>
      <c r="B10" s="618"/>
      <c r="C10" s="453"/>
      <c r="D10" s="453"/>
      <c r="E10" s="618"/>
      <c r="F10" s="453"/>
      <c r="G10" s="453"/>
      <c r="H10" s="618"/>
      <c r="I10" s="453"/>
      <c r="J10" s="453"/>
      <c r="K10" s="618"/>
      <c r="L10" s="453"/>
      <c r="M10" s="619"/>
      <c r="N10" s="618"/>
      <c r="O10" s="453"/>
      <c r="P10" s="619"/>
      <c r="Q10" s="618"/>
      <c r="R10" s="453"/>
      <c r="S10" s="619"/>
      <c r="T10" s="442"/>
      <c r="U10" s="442"/>
      <c r="V10" s="453"/>
      <c r="W10" s="443"/>
      <c r="X10" s="443"/>
      <c r="Y10" s="453"/>
    </row>
    <row r="11" spans="1:26" s="555" customFormat="1" ht="18.75" customHeight="1" x14ac:dyDescent="0.3">
      <c r="A11" s="606" t="s">
        <v>448</v>
      </c>
      <c r="B11" s="618">
        <f>SUM(B12:B15)</f>
        <v>202011.68199184001</v>
      </c>
      <c r="C11" s="453">
        <f>SUM(C12:C15)</f>
        <v>245706.18389445863</v>
      </c>
      <c r="D11" s="453">
        <f>IF(B11=0, "    ---- ", IF(ABS(ROUND(100/B11*C11-100,1))&lt;999,ROUND(100/B11*C11-100,1),IF(ROUND(100/B11*C11-100,1)&gt;999,999,-999)))</f>
        <v>21.6</v>
      </c>
      <c r="E11" s="618">
        <f>SUM(E12:E15)</f>
        <v>76785</v>
      </c>
      <c r="F11" s="453">
        <f>SUM(F12:F15)</f>
        <v>91474</v>
      </c>
      <c r="G11" s="453">
        <f>IF(E11=0, "    ---- ", IF(ABS(ROUND(100/E11*F11-100,1))&lt;999,ROUND(100/E11*F11-100,1),IF(ROUND(100/E11*F11-100,1)&gt;999,999,-999)))</f>
        <v>19.100000000000001</v>
      </c>
      <c r="H11" s="618">
        <f>SUM(H12:H15)</f>
        <v>2290.2169535399998</v>
      </c>
      <c r="I11" s="453">
        <f>SUM(I12:I15)</f>
        <v>2400.0454005400002</v>
      </c>
      <c r="J11" s="453">
        <f>IF(H11=0, "    ---- ", IF(ABS(ROUND(100/H11*I11-100,1))&lt;999,ROUND(100/H11*I11-100,1),IF(ROUND(100/H11*I11-100,1)&gt;999,999,-999)))</f>
        <v>4.8</v>
      </c>
      <c r="K11" s="618">
        <f>SUM(K12:K15)</f>
        <v>184044.03943382</v>
      </c>
      <c r="L11" s="453">
        <f>SUM(L12:L15)</f>
        <v>215644.49175414498</v>
      </c>
      <c r="M11" s="620">
        <f>IF(K11=0, "    ---- ", IF(ABS(ROUND(100/K11*L11-100,1))&lt;999,ROUND(100/K11*L11-100,1),IF(ROUND(100/K11*L11-100,1)&gt;999,999,-999)))</f>
        <v>17.2</v>
      </c>
      <c r="N11" s="618">
        <f>SUM(N12:N15)</f>
        <v>82849</v>
      </c>
      <c r="O11" s="453">
        <f>SUM(O12:O15)</f>
        <v>96664.13036465997</v>
      </c>
      <c r="P11" s="620">
        <f>IF(N11=0, "    ---- ", IF(ABS(ROUND(100/N11*O11-100,1))&lt;999,ROUND(100/N11*O11-100,1),IF(ROUND(100/N11*O11-100,1)&gt;999,999,-999)))</f>
        <v>16.7</v>
      </c>
      <c r="Q11" s="618">
        <f>SUM(Q12:Q15)</f>
        <v>248216.02440141997</v>
      </c>
      <c r="R11" s="453">
        <f>SUM(R12:R15)</f>
        <v>282187.70089527988</v>
      </c>
      <c r="S11" s="620">
        <f t="shared" ref="S11:S39" si="0">IF(Q11=0, "    ---- ", IF(ABS(ROUND(100/Q11*R11-100,1))&lt;999,ROUND(100/Q11*R11-100,1),IF(ROUND(100/Q11*R11-100,1)&gt;999,999,-999)))</f>
        <v>13.7</v>
      </c>
      <c r="T11" s="618">
        <f>+B11+E11+H11+K11+N11+Q11</f>
        <v>796195.96278061997</v>
      </c>
      <c r="U11" s="618">
        <f>+C11+F11+I11+L11+O11+R11</f>
        <v>934076.5523090834</v>
      </c>
      <c r="V11" s="453">
        <f>IF(T11=0, "    ---- ", IF(ABS(ROUND(100/T11*U11-100,1))&lt;999,ROUND(100/T11*U11-100,1),IF(ROUND(100/T11*U11-100,1)&gt;999,999,-999)))</f>
        <v>17.3</v>
      </c>
      <c r="W11" s="621"/>
      <c r="X11" s="621"/>
      <c r="Y11" s="621"/>
      <c r="Z11" s="528"/>
    </row>
    <row r="12" spans="1:26" s="552" customFormat="1" ht="18.75" customHeight="1" x14ac:dyDescent="0.35">
      <c r="A12" s="610" t="s">
        <v>426</v>
      </c>
      <c r="B12" s="616">
        <v>9237.3923010410399</v>
      </c>
      <c r="C12" s="452">
        <v>10196.235102669221</v>
      </c>
      <c r="D12" s="452">
        <f>IF(B12=0, "    ---- ", IF(ABS(ROUND(100/B12*C12-100,1))&lt;999,ROUND(100/B12*C12-100,1),IF(ROUND(100/B12*C12-100,1)&gt;999,999,-999)))</f>
        <v>10.4</v>
      </c>
      <c r="E12" s="616">
        <v>2882</v>
      </c>
      <c r="F12" s="452">
        <v>3237</v>
      </c>
      <c r="G12" s="452">
        <f>IF(E12=0, "    ---- ", IF(ABS(ROUND(100/E12*F12-100,1))&lt;999,ROUND(100/E12*F12-100,1),IF(ROUND(100/E12*F12-100,1)&gt;999,999,-999)))</f>
        <v>12.3</v>
      </c>
      <c r="H12" s="616"/>
      <c r="I12" s="452"/>
      <c r="J12" s="452"/>
      <c r="K12" s="616">
        <v>66719.340825974912</v>
      </c>
      <c r="L12" s="452">
        <v>70706.066103178979</v>
      </c>
      <c r="M12" s="622">
        <f>IF(K12=0, "    ---- ", IF(ABS(ROUND(100/K12*L12-100,1))&lt;999,ROUND(100/K12*L12-100,1),IF(ROUND(100/K12*L12-100,1)&gt;999,999,-999)))</f>
        <v>6</v>
      </c>
      <c r="N12" s="616">
        <v>6485</v>
      </c>
      <c r="O12" s="452">
        <v>7335.0067346299984</v>
      </c>
      <c r="P12" s="622">
        <f>IF(N12=0, "    ---- ", IF(ABS(ROUND(100/N12*O12-100,1))&lt;999,ROUND(100/N12*O12-100,1),IF(ROUND(100/N12*O12-100,1)&gt;999,999,-999)))</f>
        <v>13.1</v>
      </c>
      <c r="Q12" s="616">
        <v>16436.76665804</v>
      </c>
      <c r="R12" s="452">
        <v>17460.61388144</v>
      </c>
      <c r="S12" s="622">
        <f t="shared" si="0"/>
        <v>6.2</v>
      </c>
      <c r="T12" s="616">
        <f t="shared" ref="T12:T20" si="1">+B12+E12+H12+K12+N12+Q12</f>
        <v>101760.49978505594</v>
      </c>
      <c r="U12" s="616">
        <f t="shared" ref="U12:U20" si="2">+C12+F12+I12+L12+O12+R12</f>
        <v>108934.92182191821</v>
      </c>
      <c r="V12" s="452">
        <f>IF(T12=0, "    ---- ", IF(ABS(ROUND(100/T12*U12-100,1))&lt;999,ROUND(100/T12*U12-100,1),IF(ROUND(100/T12*U12-100,1)&gt;999,999,-999)))</f>
        <v>7.1</v>
      </c>
      <c r="W12" s="623"/>
      <c r="X12" s="623"/>
      <c r="Y12" s="623"/>
    </row>
    <row r="13" spans="1:26" s="552" customFormat="1" ht="18.75" customHeight="1" x14ac:dyDescent="0.35">
      <c r="A13" s="610" t="s">
        <v>429</v>
      </c>
      <c r="B13" s="616">
        <v>5016.2896907989598</v>
      </c>
      <c r="C13" s="452">
        <v>5009.9487917894112</v>
      </c>
      <c r="D13" s="452">
        <f>IF(B13=0, "    ---- ", IF(ABS(ROUND(100/B13*C13-100,1))&lt;999,ROUND(100/B13*C13-100,1),IF(ROUND(100/B13*C13-100,1)&gt;999,999,-999)))</f>
        <v>-0.1</v>
      </c>
      <c r="E13" s="616">
        <v>4158</v>
      </c>
      <c r="F13" s="452">
        <v>2673</v>
      </c>
      <c r="G13" s="452">
        <f>IF(E13=0, "    ---- ", IF(ABS(ROUND(100/E13*F13-100,1))&lt;999,ROUND(100/E13*F13-100,1),IF(ROUND(100/E13*F13-100,1)&gt;999,999,-999)))</f>
        <v>-35.700000000000003</v>
      </c>
      <c r="H13" s="616"/>
      <c r="I13" s="452"/>
      <c r="J13" s="452"/>
      <c r="K13" s="616">
        <v>7001.6680672150851</v>
      </c>
      <c r="L13" s="452">
        <v>7694.0553655988124</v>
      </c>
      <c r="M13" s="452">
        <f>IF(K13=0, "    ---- ", IF(ABS(ROUND(100/K13*L13-100,1))&lt;999,ROUND(100/K13*L13-100,1),IF(ROUND(100/K13*L13-100,1)&gt;999,999,-999)))</f>
        <v>9.9</v>
      </c>
      <c r="N13" s="616">
        <v>5273</v>
      </c>
      <c r="O13" s="452">
        <v>5996.3837339099955</v>
      </c>
      <c r="P13" s="452">
        <f>IF(N13=0, "    ---- ", IF(ABS(ROUND(100/N13*O13-100,1))&lt;999,ROUND(100/N13*O13-100,1),IF(ROUND(100/N13*O13-100,1)&gt;999,999,-999)))</f>
        <v>13.7</v>
      </c>
      <c r="Q13" s="616">
        <v>9859.7473502199991</v>
      </c>
      <c r="R13" s="452">
        <v>10554.704427019997</v>
      </c>
      <c r="S13" s="452">
        <f t="shared" si="0"/>
        <v>7</v>
      </c>
      <c r="T13" s="616">
        <f t="shared" si="1"/>
        <v>31308.705108234048</v>
      </c>
      <c r="U13" s="616">
        <f t="shared" si="2"/>
        <v>31928.092318318217</v>
      </c>
      <c r="V13" s="452">
        <f>IF(T13=0, "    ---- ", IF(ABS(ROUND(100/T13*U13-100,1))&lt;999,ROUND(100/T13*U13-100,1),IF(ROUND(100/T13*U13-100,1)&gt;999,999,-999)))</f>
        <v>2</v>
      </c>
      <c r="W13" s="623"/>
      <c r="X13" s="623"/>
      <c r="Y13" s="623"/>
    </row>
    <row r="14" spans="1:26" s="552" customFormat="1" ht="18.75" customHeight="1" x14ac:dyDescent="0.35">
      <c r="A14" s="610" t="s">
        <v>431</v>
      </c>
      <c r="B14" s="616">
        <v>187758</v>
      </c>
      <c r="C14" s="452">
        <v>230500</v>
      </c>
      <c r="D14" s="452">
        <f>IF(B14=0, "    ---- ", IF(ABS(ROUND(100/B14*C14-100,1))&lt;999,ROUND(100/B14*C14-100,1),IF(ROUND(100/B14*C14-100,1)&gt;999,999,-999)))</f>
        <v>22.8</v>
      </c>
      <c r="E14" s="616">
        <v>69745</v>
      </c>
      <c r="F14" s="452">
        <v>85564</v>
      </c>
      <c r="G14" s="452">
        <f>IF(E14=0, "    ---- ", IF(ABS(ROUND(100/E14*F14-100,1))&lt;999,ROUND(100/E14*F14-100,1),IF(ROUND(100/E14*F14-100,1)&gt;999,999,-999)))</f>
        <v>22.7</v>
      </c>
      <c r="H14" s="616"/>
      <c r="I14" s="452"/>
      <c r="J14" s="452"/>
      <c r="K14" s="616">
        <v>110323.03054063</v>
      </c>
      <c r="L14" s="452">
        <v>137244.37028536719</v>
      </c>
      <c r="M14" s="452">
        <f>IF(K14=0, "    ---- ", IF(ABS(ROUND(100/K14*L14-100,1))&lt;999,ROUND(100/K14*L14-100,1),IF(ROUND(100/K14*L14-100,1)&gt;999,999,-999)))</f>
        <v>24.4</v>
      </c>
      <c r="N14" s="616">
        <v>71091</v>
      </c>
      <c r="O14" s="452">
        <v>83332.73989611998</v>
      </c>
      <c r="P14" s="452">
        <f>IF(N14=0, "    ---- ", IF(ABS(ROUND(100/N14*O14-100,1))&lt;999,ROUND(100/N14*O14-100,1),IF(ROUND(100/N14*O14-100,1)&gt;999,999,-999)))</f>
        <v>17.2</v>
      </c>
      <c r="Q14" s="616">
        <v>221919.51039315999</v>
      </c>
      <c r="R14" s="452">
        <v>254172.38258681988</v>
      </c>
      <c r="S14" s="452">
        <f t="shared" si="0"/>
        <v>14.5</v>
      </c>
      <c r="T14" s="616">
        <f t="shared" si="1"/>
        <v>660836.54093378992</v>
      </c>
      <c r="U14" s="616">
        <f t="shared" si="2"/>
        <v>790813.49276830698</v>
      </c>
      <c r="V14" s="452">
        <f t="shared" ref="V14:V40" si="3">IF(T14=0, "    ---- ", IF(ABS(ROUND(100/T14*U14-100,1))&lt;999,ROUND(100/T14*U14-100,1),IF(ROUND(100/T14*U14-100,1)&gt;999,999,-999)))</f>
        <v>19.7</v>
      </c>
      <c r="W14" s="623"/>
      <c r="X14" s="623"/>
      <c r="Y14" s="623"/>
    </row>
    <row r="15" spans="1:26" s="552" customFormat="1" ht="18.75" customHeight="1" x14ac:dyDescent="0.35">
      <c r="A15" s="610" t="s">
        <v>433</v>
      </c>
      <c r="B15" s="616"/>
      <c r="C15" s="452"/>
      <c r="D15" s="452"/>
      <c r="E15" s="616"/>
      <c r="F15" s="452"/>
      <c r="G15" s="452"/>
      <c r="H15" s="616">
        <v>2290.2169535399998</v>
      </c>
      <c r="I15" s="452">
        <v>2400.0454005400002</v>
      </c>
      <c r="J15" s="452">
        <f>IF(H15=0, "    ---- ", IF(ABS(ROUND(100/H15*I15-100,1))&lt;999,ROUND(100/H15*I15-100,1),IF(ROUND(100/H15*I15-100,1)&gt;999,999,-999)))</f>
        <v>4.8</v>
      </c>
      <c r="K15" s="616"/>
      <c r="L15" s="452"/>
      <c r="M15" s="452"/>
      <c r="N15" s="616"/>
      <c r="O15" s="452"/>
      <c r="P15" s="452"/>
      <c r="Q15" s="616"/>
      <c r="R15" s="452"/>
      <c r="S15" s="452"/>
      <c r="T15" s="616">
        <f t="shared" si="1"/>
        <v>2290.2169535399998</v>
      </c>
      <c r="U15" s="616">
        <f t="shared" si="2"/>
        <v>2400.0454005400002</v>
      </c>
      <c r="V15" s="452">
        <f t="shared" si="3"/>
        <v>4.8</v>
      </c>
      <c r="W15" s="623"/>
      <c r="X15" s="623"/>
      <c r="Y15" s="623"/>
    </row>
    <row r="16" spans="1:26" s="555" customFormat="1" ht="18.75" customHeight="1" x14ac:dyDescent="0.3">
      <c r="A16" s="606" t="s">
        <v>449</v>
      </c>
      <c r="B16" s="618"/>
      <c r="C16" s="453"/>
      <c r="D16" s="453"/>
      <c r="E16" s="618">
        <f>SUM(E17:E20)</f>
        <v>76785</v>
      </c>
      <c r="F16" s="453">
        <f>SUM(F17:F20)</f>
        <v>91474</v>
      </c>
      <c r="G16" s="453">
        <f>IF(E16=0, "    ---- ", IF(ABS(ROUND(100/E16*F16-100,1))&lt;999,ROUND(100/E16*F16-100,1),IF(ROUND(100/E16*F16-100,1)&gt;999,999,-999)))</f>
        <v>19.100000000000001</v>
      </c>
      <c r="H16" s="618">
        <f>SUM(H17:H20)</f>
        <v>2290.2169535399998</v>
      </c>
      <c r="I16" s="453">
        <f>SUM(I17:I20)</f>
        <v>2400.0454005400002</v>
      </c>
      <c r="J16" s="453">
        <f>IF(H16=0, "    ---- ", IF(ABS(ROUND(100/H16*I16-100,1))&lt;999,ROUND(100/H16*I16-100,1),IF(ROUND(100/H16*I16-100,1)&gt;999,999,-999)))</f>
        <v>4.8</v>
      </c>
      <c r="K16" s="618">
        <f>SUM(K17:K20)</f>
        <v>184044.03943382</v>
      </c>
      <c r="L16" s="453">
        <f>SUM(L17:L20)</f>
        <v>215644.49175414498</v>
      </c>
      <c r="M16" s="453">
        <f>IF(K16=0, "    ---- ", IF(ABS(ROUND(100/K16*L16-100,1))&lt;999,ROUND(100/K16*L16-100,1),IF(ROUND(100/K16*L16-100,1)&gt;999,999,-999)))</f>
        <v>17.2</v>
      </c>
      <c r="N16" s="618">
        <f>SUM(N17:N20)</f>
        <v>82849</v>
      </c>
      <c r="O16" s="453">
        <f>SUM(O17:O20)</f>
        <v>96664.13036465997</v>
      </c>
      <c r="P16" s="620">
        <f>IF(N16=0, "    ---- ", IF(ABS(ROUND(100/N16*O16-100,1))&lt;999,ROUND(100/N16*O16-100,1),IF(ROUND(100/N16*O16-100,1)&gt;999,999,-999)))</f>
        <v>16.7</v>
      </c>
      <c r="Q16" s="618">
        <f>SUM(Q17:Q20)</f>
        <v>248216.02440141997</v>
      </c>
      <c r="R16" s="453">
        <f>SUM(R17:R20)</f>
        <v>282187.70089527988</v>
      </c>
      <c r="S16" s="453">
        <f t="shared" si="0"/>
        <v>13.7</v>
      </c>
      <c r="T16" s="618">
        <f t="shared" si="1"/>
        <v>594184.28078877996</v>
      </c>
      <c r="U16" s="618">
        <f t="shared" si="2"/>
        <v>688370.36841462483</v>
      </c>
      <c r="V16" s="453">
        <f t="shared" si="3"/>
        <v>15.9</v>
      </c>
      <c r="W16" s="621"/>
      <c r="X16" s="621"/>
      <c r="Y16" s="621"/>
      <c r="Z16" s="528"/>
    </row>
    <row r="17" spans="1:26" s="552" customFormat="1" ht="18.75" customHeight="1" x14ac:dyDescent="0.35">
      <c r="A17" s="610" t="s">
        <v>426</v>
      </c>
      <c r="B17" s="616"/>
      <c r="C17" s="452"/>
      <c r="D17" s="452"/>
      <c r="E17" s="616">
        <v>2882</v>
      </c>
      <c r="F17" s="452">
        <v>3237</v>
      </c>
      <c r="G17" s="452">
        <f>IF(E17=0, "    ---- ", IF(ABS(ROUND(100/E17*F17-100,1))&lt;999,ROUND(100/E17*F17-100,1),IF(ROUND(100/E17*F17-100,1)&gt;999,999,-999)))</f>
        <v>12.3</v>
      </c>
      <c r="H17" s="616"/>
      <c r="I17" s="452"/>
      <c r="J17" s="452"/>
      <c r="K17" s="616">
        <v>66719.340825974912</v>
      </c>
      <c r="L17" s="452">
        <v>70706.066103178979</v>
      </c>
      <c r="M17" s="452">
        <f>IF(K17=0, "    ---- ", IF(ABS(ROUND(100/K17*L17-100,1))&lt;999,ROUND(100/K17*L17-100,1),IF(ROUND(100/K17*L17-100,1)&gt;999,999,-999)))</f>
        <v>6</v>
      </c>
      <c r="N17" s="616">
        <v>6485</v>
      </c>
      <c r="O17" s="452">
        <v>7335.0067346299984</v>
      </c>
      <c r="P17" s="622">
        <f>IF(N17=0, "    ---- ", IF(ABS(ROUND(100/N17*O17-100,1))&lt;999,ROUND(100/N17*O17-100,1),IF(ROUND(100/N17*O17-100,1)&gt;999,999,-999)))</f>
        <v>13.1</v>
      </c>
      <c r="Q17" s="616">
        <v>16436.76665804</v>
      </c>
      <c r="R17" s="452">
        <v>17460.61388144</v>
      </c>
      <c r="S17" s="452">
        <f t="shared" si="0"/>
        <v>6.2</v>
      </c>
      <c r="T17" s="616">
        <f t="shared" si="1"/>
        <v>92523.107484014909</v>
      </c>
      <c r="U17" s="616">
        <f t="shared" si="2"/>
        <v>98738.686719248988</v>
      </c>
      <c r="V17" s="452">
        <f t="shared" si="3"/>
        <v>6.7</v>
      </c>
      <c r="W17" s="623"/>
      <c r="X17" s="623"/>
      <c r="Y17" s="623"/>
    </row>
    <row r="18" spans="1:26" s="552" customFormat="1" ht="18.75" customHeight="1" x14ac:dyDescent="0.35">
      <c r="A18" s="610" t="s">
        <v>429</v>
      </c>
      <c r="B18" s="616"/>
      <c r="C18" s="452"/>
      <c r="D18" s="452"/>
      <c r="E18" s="616">
        <v>4158</v>
      </c>
      <c r="F18" s="452">
        <v>2673</v>
      </c>
      <c r="G18" s="452">
        <f>IF(E18=0, "    ---- ", IF(ABS(ROUND(100/E18*F18-100,1))&lt;999,ROUND(100/E18*F18-100,1),IF(ROUND(100/E18*F18-100,1)&gt;999,999,-999)))</f>
        <v>-35.700000000000003</v>
      </c>
      <c r="H18" s="616"/>
      <c r="I18" s="452"/>
      <c r="J18" s="452"/>
      <c r="K18" s="616">
        <v>7001.6680672150851</v>
      </c>
      <c r="L18" s="452">
        <v>7694.0553655988124</v>
      </c>
      <c r="M18" s="452">
        <f>IF(K18=0, "    ---- ", IF(ABS(ROUND(100/K18*L18-100,1))&lt;999,ROUND(100/K18*L18-100,1),IF(ROUND(100/K18*L18-100,1)&gt;999,999,-999)))</f>
        <v>9.9</v>
      </c>
      <c r="N18" s="616">
        <v>5273</v>
      </c>
      <c r="O18" s="452">
        <v>5996.3837339099955</v>
      </c>
      <c r="P18" s="452">
        <f>IF(N18=0, "    ---- ", IF(ABS(ROUND(100/N18*O18-100,1))&lt;999,ROUND(100/N18*O18-100,1),IF(ROUND(100/N18*O18-100,1)&gt;999,999,-999)))</f>
        <v>13.7</v>
      </c>
      <c r="Q18" s="616">
        <v>9859.7473502199991</v>
      </c>
      <c r="R18" s="452">
        <v>10554.704427019997</v>
      </c>
      <c r="S18" s="452">
        <f t="shared" si="0"/>
        <v>7</v>
      </c>
      <c r="T18" s="616">
        <f t="shared" si="1"/>
        <v>26292.415417435084</v>
      </c>
      <c r="U18" s="616">
        <f t="shared" si="2"/>
        <v>26918.143526528802</v>
      </c>
      <c r="V18" s="452">
        <f t="shared" si="3"/>
        <v>2.4</v>
      </c>
      <c r="W18" s="623"/>
      <c r="X18" s="623"/>
      <c r="Y18" s="623"/>
    </row>
    <row r="19" spans="1:26" s="552" customFormat="1" ht="18.75" customHeight="1" x14ac:dyDescent="0.35">
      <c r="A19" s="610" t="s">
        <v>431</v>
      </c>
      <c r="B19" s="616"/>
      <c r="C19" s="452"/>
      <c r="D19" s="452"/>
      <c r="E19" s="616">
        <v>69745</v>
      </c>
      <c r="F19" s="452">
        <v>85564</v>
      </c>
      <c r="G19" s="452">
        <f>IF(E19=0, "    ---- ", IF(ABS(ROUND(100/E19*F19-100,1))&lt;999,ROUND(100/E19*F19-100,1),IF(ROUND(100/E19*F19-100,1)&gt;999,999,-999)))</f>
        <v>22.7</v>
      </c>
      <c r="H19" s="616"/>
      <c r="I19" s="452"/>
      <c r="J19" s="452"/>
      <c r="K19" s="616">
        <v>110323.03054063</v>
      </c>
      <c r="L19" s="452">
        <v>137244.37028536719</v>
      </c>
      <c r="M19" s="452">
        <f>IF(K19=0, "    ---- ", IF(ABS(ROUND(100/K19*L19-100,1))&lt;999,ROUND(100/K19*L19-100,1),IF(ROUND(100/K19*L19-100,1)&gt;999,999,-999)))</f>
        <v>24.4</v>
      </c>
      <c r="N19" s="616">
        <v>71091</v>
      </c>
      <c r="O19" s="452">
        <v>83332.73989611998</v>
      </c>
      <c r="P19" s="452">
        <f>IF(N19=0, "    ---- ", IF(ABS(ROUND(100/N19*O19-100,1))&lt;999,ROUND(100/N19*O19-100,1),IF(ROUND(100/N19*O19-100,1)&gt;999,999,-999)))</f>
        <v>17.2</v>
      </c>
      <c r="Q19" s="616">
        <v>221919.51039315999</v>
      </c>
      <c r="R19" s="452">
        <v>254172.38258681988</v>
      </c>
      <c r="S19" s="452">
        <f t="shared" si="0"/>
        <v>14.5</v>
      </c>
      <c r="T19" s="616">
        <f t="shared" si="1"/>
        <v>473078.54093378998</v>
      </c>
      <c r="U19" s="616">
        <f t="shared" si="2"/>
        <v>560313.49276830698</v>
      </c>
      <c r="V19" s="452">
        <f t="shared" si="3"/>
        <v>18.399999999999999</v>
      </c>
      <c r="W19" s="623"/>
      <c r="X19" s="623"/>
      <c r="Y19" s="623"/>
    </row>
    <row r="20" spans="1:26" s="552" customFormat="1" ht="18.75" customHeight="1" x14ac:dyDescent="0.35">
      <c r="A20" s="610" t="s">
        <v>433</v>
      </c>
      <c r="B20" s="616"/>
      <c r="C20" s="452"/>
      <c r="D20" s="452"/>
      <c r="E20" s="616"/>
      <c r="F20" s="452"/>
      <c r="G20" s="452"/>
      <c r="H20" s="616">
        <v>2290.2169535399998</v>
      </c>
      <c r="I20" s="452">
        <v>2400.0454005400002</v>
      </c>
      <c r="J20" s="452">
        <f>IF(H20=0, "    ---- ", IF(ABS(ROUND(100/H20*I20-100,1))&lt;999,ROUND(100/H20*I20-100,1),IF(ROUND(100/H20*I20-100,1)&gt;999,999,-999)))</f>
        <v>4.8</v>
      </c>
      <c r="K20" s="616"/>
      <c r="L20" s="452"/>
      <c r="M20" s="452"/>
      <c r="N20" s="616"/>
      <c r="O20" s="452"/>
      <c r="P20" s="452"/>
      <c r="Q20" s="616"/>
      <c r="R20" s="452"/>
      <c r="S20" s="452"/>
      <c r="T20" s="616">
        <f t="shared" si="1"/>
        <v>2290.2169535399998</v>
      </c>
      <c r="U20" s="616">
        <f t="shared" si="2"/>
        <v>2400.0454005400002</v>
      </c>
      <c r="V20" s="452">
        <f t="shared" si="3"/>
        <v>4.8</v>
      </c>
      <c r="W20" s="623"/>
      <c r="X20" s="623"/>
      <c r="Y20" s="623"/>
    </row>
    <row r="21" spans="1:26" s="555" customFormat="1" ht="18.75" customHeight="1" x14ac:dyDescent="0.3">
      <c r="A21" s="606" t="s">
        <v>450</v>
      </c>
      <c r="B21" s="618"/>
      <c r="C21" s="453"/>
      <c r="D21" s="453"/>
      <c r="E21" s="618"/>
      <c r="F21" s="453"/>
      <c r="G21" s="453"/>
      <c r="H21" s="618">
        <f>SUM(H22:H25)</f>
        <v>259.79510754</v>
      </c>
      <c r="I21" s="453">
        <f>SUM(I22:I25)</f>
        <v>376.82027805000001</v>
      </c>
      <c r="J21" s="453">
        <f>IF(H21=0, "    ---- ", IF(ABS(ROUND(100/H21*I21-100,1))&lt;999,ROUND(100/H21*I21-100,1),IF(ROUND(100/H21*I21-100,1)&gt;999,999,-999)))</f>
        <v>45</v>
      </c>
      <c r="K21" s="618"/>
      <c r="L21" s="453"/>
      <c r="M21" s="453"/>
      <c r="N21" s="618"/>
      <c r="O21" s="453"/>
      <c r="P21" s="453"/>
      <c r="Q21" s="618"/>
      <c r="R21" s="453"/>
      <c r="S21" s="453"/>
      <c r="T21" s="618"/>
      <c r="U21" s="618"/>
      <c r="V21" s="453"/>
      <c r="W21" s="621"/>
      <c r="X21" s="621"/>
      <c r="Y21" s="621"/>
      <c r="Z21" s="528"/>
    </row>
    <row r="22" spans="1:26" s="552" customFormat="1" ht="18.75" customHeight="1" x14ac:dyDescent="0.35">
      <c r="A22" s="610" t="s">
        <v>426</v>
      </c>
      <c r="B22" s="616"/>
      <c r="C22" s="452"/>
      <c r="D22" s="452"/>
      <c r="E22" s="616"/>
      <c r="F22" s="452"/>
      <c r="G22" s="452"/>
      <c r="H22" s="616"/>
      <c r="I22" s="452"/>
      <c r="J22" s="452"/>
      <c r="K22" s="616"/>
      <c r="L22" s="452"/>
      <c r="M22" s="452"/>
      <c r="N22" s="616"/>
      <c r="O22" s="452"/>
      <c r="P22" s="452"/>
      <c r="Q22" s="616"/>
      <c r="R22" s="452"/>
      <c r="S22" s="452"/>
      <c r="T22" s="616"/>
      <c r="U22" s="616"/>
      <c r="V22" s="452"/>
      <c r="W22" s="623"/>
      <c r="X22" s="623"/>
      <c r="Y22" s="623"/>
    </row>
    <row r="23" spans="1:26" s="552" customFormat="1" ht="18.75" customHeight="1" x14ac:dyDescent="0.35">
      <c r="A23" s="610" t="s">
        <v>429</v>
      </c>
      <c r="B23" s="616"/>
      <c r="C23" s="452"/>
      <c r="D23" s="452"/>
      <c r="E23" s="616"/>
      <c r="F23" s="452"/>
      <c r="G23" s="452"/>
      <c r="H23" s="616"/>
      <c r="I23" s="452"/>
      <c r="J23" s="452"/>
      <c r="K23" s="616"/>
      <c r="L23" s="452"/>
      <c r="M23" s="452"/>
      <c r="N23" s="616"/>
      <c r="O23" s="452"/>
      <c r="P23" s="452"/>
      <c r="Q23" s="616"/>
      <c r="R23" s="452"/>
      <c r="S23" s="452"/>
      <c r="T23" s="616"/>
      <c r="U23" s="616"/>
      <c r="V23" s="452"/>
      <c r="W23" s="623"/>
      <c r="X23" s="623"/>
      <c r="Y23" s="623"/>
    </row>
    <row r="24" spans="1:26" s="552" customFormat="1" ht="18.75" customHeight="1" x14ac:dyDescent="0.35">
      <c r="A24" s="610" t="s">
        <v>431</v>
      </c>
      <c r="B24" s="616"/>
      <c r="C24" s="452"/>
      <c r="D24" s="452"/>
      <c r="E24" s="616"/>
      <c r="F24" s="452"/>
      <c r="G24" s="452"/>
      <c r="H24" s="616"/>
      <c r="I24" s="452"/>
      <c r="J24" s="452"/>
      <c r="K24" s="616"/>
      <c r="L24" s="452"/>
      <c r="M24" s="452"/>
      <c r="N24" s="616"/>
      <c r="O24" s="452"/>
      <c r="P24" s="452"/>
      <c r="Q24" s="616"/>
      <c r="R24" s="452"/>
      <c r="S24" s="452"/>
      <c r="T24" s="616"/>
      <c r="U24" s="616"/>
      <c r="V24" s="452"/>
      <c r="W24" s="623"/>
      <c r="X24" s="623"/>
      <c r="Y24" s="623"/>
    </row>
    <row r="25" spans="1:26" s="552" customFormat="1" ht="18.75" customHeight="1" x14ac:dyDescent="0.35">
      <c r="A25" s="610" t="s">
        <v>433</v>
      </c>
      <c r="B25" s="616"/>
      <c r="C25" s="452"/>
      <c r="D25" s="452"/>
      <c r="E25" s="616"/>
      <c r="F25" s="452"/>
      <c r="G25" s="452"/>
      <c r="H25" s="616">
        <v>259.79510754</v>
      </c>
      <c r="I25" s="452">
        <v>376.82027805000001</v>
      </c>
      <c r="J25" s="452">
        <f>IF(H25=0, "    ---- ", IF(ABS(ROUND(100/H25*I25-100,1))&lt;999,ROUND(100/H25*I25-100,1),IF(ROUND(100/H25*I25-100,1)&gt;999,999,-999)))</f>
        <v>45</v>
      </c>
      <c r="K25" s="616"/>
      <c r="L25" s="452"/>
      <c r="M25" s="452"/>
      <c r="N25" s="616"/>
      <c r="O25" s="452"/>
      <c r="P25" s="452"/>
      <c r="Q25" s="616"/>
      <c r="R25" s="452"/>
      <c r="S25" s="452"/>
      <c r="T25" s="616">
        <f t="shared" ref="T25:U26" si="4">+B25+E25+H25+K25+N25+Q25</f>
        <v>259.79510754</v>
      </c>
      <c r="U25" s="616">
        <f t="shared" si="4"/>
        <v>376.82027805000001</v>
      </c>
      <c r="V25" s="452">
        <f t="shared" si="3"/>
        <v>45</v>
      </c>
      <c r="W25" s="623"/>
      <c r="X25" s="623"/>
      <c r="Y25" s="623"/>
    </row>
    <row r="26" spans="1:26" s="555" customFormat="1" ht="18.75" customHeight="1" x14ac:dyDescent="0.35">
      <c r="A26" s="751" t="s">
        <v>500</v>
      </c>
      <c r="B26" s="618"/>
      <c r="C26" s="453"/>
      <c r="D26" s="453"/>
      <c r="E26" s="618"/>
      <c r="F26" s="453"/>
      <c r="G26" s="453"/>
      <c r="H26" s="618"/>
      <c r="I26" s="453"/>
      <c r="J26" s="453"/>
      <c r="K26" s="618"/>
      <c r="L26" s="453"/>
      <c r="M26" s="453"/>
      <c r="N26" s="618"/>
      <c r="O26" s="453"/>
      <c r="P26" s="453"/>
      <c r="Q26" s="618"/>
      <c r="R26" s="453"/>
      <c r="S26" s="453"/>
      <c r="T26" s="618">
        <f t="shared" si="4"/>
        <v>0</v>
      </c>
      <c r="U26" s="618">
        <f t="shared" si="4"/>
        <v>0</v>
      </c>
      <c r="V26" s="453" t="str">
        <f t="shared" si="3"/>
        <v xml:space="preserve">    ---- </v>
      </c>
      <c r="W26" s="621"/>
      <c r="X26" s="621"/>
      <c r="Y26" s="621"/>
      <c r="Z26" s="528"/>
    </row>
    <row r="27" spans="1:26" s="552" customFormat="1" ht="18.75" customHeight="1" x14ac:dyDescent="0.35">
      <c r="A27" s="719" t="s">
        <v>426</v>
      </c>
      <c r="B27" s="616"/>
      <c r="C27" s="452"/>
      <c r="D27" s="452"/>
      <c r="E27" s="616"/>
      <c r="F27" s="452"/>
      <c r="G27" s="452"/>
      <c r="H27" s="616"/>
      <c r="I27" s="452"/>
      <c r="J27" s="452"/>
      <c r="K27" s="616"/>
      <c r="L27" s="452"/>
      <c r="M27" s="452"/>
      <c r="N27" s="616"/>
      <c r="O27" s="452"/>
      <c r="P27" s="452"/>
      <c r="Q27" s="616"/>
      <c r="R27" s="452"/>
      <c r="S27" s="452"/>
      <c r="T27" s="616"/>
      <c r="U27" s="616"/>
      <c r="V27" s="452"/>
      <c r="W27" s="623"/>
      <c r="X27" s="623"/>
      <c r="Y27" s="623"/>
    </row>
    <row r="28" spans="1:26" s="552" customFormat="1" ht="18.75" customHeight="1" x14ac:dyDescent="0.35">
      <c r="A28" s="719" t="s">
        <v>429</v>
      </c>
      <c r="B28" s="616"/>
      <c r="C28" s="452"/>
      <c r="D28" s="452"/>
      <c r="E28" s="616"/>
      <c r="F28" s="452"/>
      <c r="G28" s="452"/>
      <c r="H28" s="616"/>
      <c r="I28" s="452"/>
      <c r="J28" s="452"/>
      <c r="K28" s="616"/>
      <c r="L28" s="452"/>
      <c r="M28" s="452"/>
      <c r="N28" s="616"/>
      <c r="O28" s="452"/>
      <c r="P28" s="452"/>
      <c r="Q28" s="616"/>
      <c r="R28" s="452"/>
      <c r="S28" s="452"/>
      <c r="T28" s="616"/>
      <c r="U28" s="616"/>
      <c r="V28" s="452"/>
      <c r="W28" s="623"/>
      <c r="X28" s="623"/>
      <c r="Y28" s="623"/>
    </row>
    <row r="29" spans="1:26" s="552" customFormat="1" ht="18.75" customHeight="1" x14ac:dyDescent="0.35">
      <c r="A29" s="719" t="s">
        <v>431</v>
      </c>
      <c r="B29" s="616"/>
      <c r="C29" s="452"/>
      <c r="D29" s="452"/>
      <c r="E29" s="616"/>
      <c r="F29" s="452"/>
      <c r="G29" s="452"/>
      <c r="H29" s="616"/>
      <c r="I29" s="452"/>
      <c r="J29" s="452"/>
      <c r="K29" s="616"/>
      <c r="L29" s="452"/>
      <c r="M29" s="452"/>
      <c r="N29" s="616"/>
      <c r="O29" s="452"/>
      <c r="P29" s="452"/>
      <c r="Q29" s="616"/>
      <c r="R29" s="452"/>
      <c r="S29" s="452"/>
      <c r="T29" s="616"/>
      <c r="U29" s="616"/>
      <c r="V29" s="452"/>
      <c r="W29" s="623"/>
      <c r="X29" s="623"/>
      <c r="Y29" s="623"/>
    </row>
    <row r="30" spans="1:26" s="552" customFormat="1" ht="18.75" customHeight="1" x14ac:dyDescent="0.35">
      <c r="A30" s="719" t="s">
        <v>433</v>
      </c>
      <c r="B30" s="616"/>
      <c r="C30" s="452"/>
      <c r="D30" s="452"/>
      <c r="E30" s="616"/>
      <c r="F30" s="452"/>
      <c r="G30" s="452"/>
      <c r="H30" s="616"/>
      <c r="I30" s="452"/>
      <c r="J30" s="452"/>
      <c r="K30" s="616"/>
      <c r="L30" s="452"/>
      <c r="M30" s="452"/>
      <c r="N30" s="616"/>
      <c r="O30" s="452"/>
      <c r="P30" s="452"/>
      <c r="Q30" s="616"/>
      <c r="R30" s="452"/>
      <c r="S30" s="452"/>
      <c r="T30" s="616"/>
      <c r="U30" s="616"/>
      <c r="V30" s="452"/>
      <c r="W30" s="623"/>
      <c r="X30" s="623"/>
      <c r="Y30" s="623"/>
    </row>
    <row r="31" spans="1:26" s="555" customFormat="1" ht="18.75" customHeight="1" x14ac:dyDescent="0.3">
      <c r="A31" s="580" t="s">
        <v>451</v>
      </c>
      <c r="B31" s="618">
        <f>SUM(B32:B34)</f>
        <v>242.99742311000003</v>
      </c>
      <c r="C31" s="453">
        <f>SUM(C32:C34)</f>
        <v>82</v>
      </c>
      <c r="D31" s="453">
        <f>IF(B31=0, "    ---- ", IF(ABS(ROUND(100/B31*C31-100,1))&lt;999,ROUND(100/B31*C31-100,1),IF(ROUND(100/B31*C31-100,1)&gt;999,999,-999)))</f>
        <v>-66.3</v>
      </c>
      <c r="E31" s="618">
        <f>SUM(E32:E34)</f>
        <v>107</v>
      </c>
      <c r="F31" s="453">
        <f>SUM(F32:F34)</f>
        <v>106</v>
      </c>
      <c r="G31" s="453">
        <f>IF(E31=0, "    ---- ", IF(ABS(ROUND(100/E31*F31-100,1))&lt;999,ROUND(100/E31*F31-100,1),IF(ROUND(100/E31*F31-100,1)&gt;999,999,-999)))</f>
        <v>-0.9</v>
      </c>
      <c r="H31" s="618">
        <f>SUM(H32:H34)</f>
        <v>597.41562424999995</v>
      </c>
      <c r="I31" s="453">
        <f>SUM(I32:I34)</f>
        <v>613.44864267999992</v>
      </c>
      <c r="J31" s="453">
        <f>IF(H31=0, "    ---- ", IF(ABS(ROUND(100/H31*I31-100,1))&lt;999,ROUND(100/H31*I31-100,1),IF(ROUND(100/H31*I31-100,1)&gt;999,999,-999)))</f>
        <v>2.7</v>
      </c>
      <c r="K31" s="618"/>
      <c r="L31" s="453"/>
      <c r="M31" s="453"/>
      <c r="N31" s="618">
        <f>SUM(N32:N34)</f>
        <v>911</v>
      </c>
      <c r="O31" s="453">
        <f>SUM(O32:O34)</f>
        <v>1085.5131577299996</v>
      </c>
      <c r="P31" s="453">
        <f>IF(N31=0, "    ---- ", IF(ABS(ROUND(100/N31*O31-100,1))&lt;999,ROUND(100/N31*O31-100,1),IF(ROUND(100/N31*O31-100,1)&gt;999,999,-999)))</f>
        <v>19.2</v>
      </c>
      <c r="Q31" s="618"/>
      <c r="R31" s="453"/>
      <c r="S31" s="453"/>
      <c r="T31" s="618">
        <f t="shared" ref="T31" si="5">+B31+E31+H31+K31+N31+Q31</f>
        <v>1858.4130473599998</v>
      </c>
      <c r="U31" s="618">
        <f t="shared" ref="U31" si="6">+C31+F31+I31+L31+O31+R31</f>
        <v>1886.9618004099996</v>
      </c>
      <c r="V31" s="453">
        <f t="shared" si="3"/>
        <v>1.5</v>
      </c>
      <c r="W31" s="621"/>
      <c r="X31" s="621"/>
      <c r="Y31" s="621"/>
      <c r="Z31" s="528"/>
    </row>
    <row r="32" spans="1:26" s="552" customFormat="1" ht="18.75" customHeight="1" x14ac:dyDescent="0.35">
      <c r="A32" s="610" t="s">
        <v>429</v>
      </c>
      <c r="B32" s="616"/>
      <c r="C32" s="452"/>
      <c r="D32" s="452"/>
      <c r="E32" s="616"/>
      <c r="F32" s="452"/>
      <c r="G32" s="452"/>
      <c r="H32" s="616"/>
      <c r="I32" s="452"/>
      <c r="J32" s="452"/>
      <c r="K32" s="616"/>
      <c r="L32" s="452"/>
      <c r="M32" s="452"/>
      <c r="N32" s="616"/>
      <c r="O32" s="452"/>
      <c r="P32" s="452"/>
      <c r="Q32" s="616"/>
      <c r="R32" s="452"/>
      <c r="S32" s="452"/>
      <c r="T32" s="616"/>
      <c r="U32" s="616"/>
      <c r="V32" s="452"/>
      <c r="W32" s="623"/>
      <c r="X32" s="623"/>
      <c r="Y32" s="623"/>
    </row>
    <row r="33" spans="1:26" s="552" customFormat="1" ht="18.75" customHeight="1" x14ac:dyDescent="0.35">
      <c r="A33" s="610" t="s">
        <v>431</v>
      </c>
      <c r="B33" s="616">
        <v>242.99742311000003</v>
      </c>
      <c r="C33" s="452">
        <v>82</v>
      </c>
      <c r="D33" s="452">
        <f>IF(B33=0, "    ---- ", IF(ABS(ROUND(100/B33*C33-100,1))&lt;999,ROUND(100/B33*C33-100,1),IF(ROUND(100/B33*C33-100,1)&gt;999,999,-999)))</f>
        <v>-66.3</v>
      </c>
      <c r="E33" s="616">
        <v>107</v>
      </c>
      <c r="F33" s="452">
        <v>106</v>
      </c>
      <c r="G33" s="452">
        <f>IF(E33=0, "    ---- ", IF(ABS(ROUND(100/E33*F33-100,1))&lt;999,ROUND(100/E33*F33-100,1),IF(ROUND(100/E33*F33-100,1)&gt;999,999,-999)))</f>
        <v>-0.9</v>
      </c>
      <c r="H33" s="616"/>
      <c r="I33" s="452"/>
      <c r="J33" s="452"/>
      <c r="K33" s="616"/>
      <c r="L33" s="452"/>
      <c r="M33" s="452"/>
      <c r="N33" s="616">
        <v>911</v>
      </c>
      <c r="O33" s="452">
        <v>1085.5131577299996</v>
      </c>
      <c r="P33" s="452">
        <f>IF(N33=0, "    ---- ", IF(ABS(ROUND(100/N33*O33-100,1))&lt;999,ROUND(100/N33*O33-100,1),IF(ROUND(100/N33*O33-100,1)&gt;999,999,-999)))</f>
        <v>19.2</v>
      </c>
      <c r="Q33" s="616"/>
      <c r="R33" s="452"/>
      <c r="S33" s="452"/>
      <c r="T33" s="616">
        <f t="shared" ref="T33:T37" si="7">+B33+E33+H33+K33+N33+Q33</f>
        <v>1260.99742311</v>
      </c>
      <c r="U33" s="616">
        <f t="shared" ref="U33:U37" si="8">+C33+F33+I33+L33+O33+R33</f>
        <v>1273.5131577299996</v>
      </c>
      <c r="V33" s="452">
        <f t="shared" si="3"/>
        <v>1</v>
      </c>
      <c r="W33" s="623"/>
      <c r="X33" s="623"/>
      <c r="Y33" s="623"/>
    </row>
    <row r="34" spans="1:26" s="552" customFormat="1" ht="18.75" customHeight="1" x14ac:dyDescent="0.35">
      <c r="A34" s="610" t="s">
        <v>433</v>
      </c>
      <c r="B34" s="616"/>
      <c r="C34" s="452"/>
      <c r="D34" s="452"/>
      <c r="E34" s="616"/>
      <c r="F34" s="452"/>
      <c r="G34" s="452"/>
      <c r="H34" s="616">
        <v>597.41562424999995</v>
      </c>
      <c r="I34" s="452">
        <v>613.44864267999992</v>
      </c>
      <c r="J34" s="452">
        <f>IF(H34=0, "    ---- ", IF(ABS(ROUND(100/H34*I34-100,1))&lt;999,ROUND(100/H34*I34-100,1),IF(ROUND(100/H34*I34-100,1)&gt;999,999,-999)))</f>
        <v>2.7</v>
      </c>
      <c r="K34" s="616"/>
      <c r="L34" s="452"/>
      <c r="M34" s="452"/>
      <c r="N34" s="616"/>
      <c r="O34" s="452"/>
      <c r="P34" s="452"/>
      <c r="Q34" s="616"/>
      <c r="R34" s="452"/>
      <c r="S34" s="452"/>
      <c r="T34" s="616">
        <f t="shared" si="7"/>
        <v>597.41562424999995</v>
      </c>
      <c r="U34" s="616">
        <f t="shared" si="8"/>
        <v>613.44864267999992</v>
      </c>
      <c r="V34" s="452">
        <f t="shared" si="3"/>
        <v>2.7</v>
      </c>
      <c r="W34" s="624"/>
      <c r="X34" s="623"/>
      <c r="Y34" s="623"/>
    </row>
    <row r="35" spans="1:26" s="555" customFormat="1" ht="18.75" customHeight="1" x14ac:dyDescent="0.3">
      <c r="A35" s="580" t="s">
        <v>452</v>
      </c>
      <c r="B35" s="453">
        <f>SUM(B11+B21+B26+B31)</f>
        <v>202254.67941495002</v>
      </c>
      <c r="C35" s="453">
        <f>SUM(C11+C21+C26+C31)</f>
        <v>245788.18389445863</v>
      </c>
      <c r="D35" s="453">
        <f>IF(B35=0, "    ---- ", IF(ABS(ROUND(100/B35*C35-100,1))&lt;999,ROUND(100/B35*C35-100,1),IF(ROUND(100/B35*C35-100,1)&gt;999,999,-999)))</f>
        <v>21.5</v>
      </c>
      <c r="E35" s="453">
        <f>SUM(E11+E21+E26+E31)</f>
        <v>76892</v>
      </c>
      <c r="F35" s="453">
        <f>SUM(F11+F21+F26+F31)</f>
        <v>91580</v>
      </c>
      <c r="G35" s="453">
        <f>IF(E35=0, "    ---- ", IF(ABS(ROUND(100/E35*F35-100,1))&lt;999,ROUND(100/E35*F35-100,1),IF(ROUND(100/E35*F35-100,1)&gt;999,999,-999)))</f>
        <v>19.100000000000001</v>
      </c>
      <c r="H35" s="453">
        <f>SUM(H11+H21+H26+H31)</f>
        <v>3147.4276853299998</v>
      </c>
      <c r="I35" s="453">
        <f>SUM(I11+I21+I26+I31)</f>
        <v>3390.3143212700002</v>
      </c>
      <c r="J35" s="453">
        <f>IF(H35=0, "    ---- ", IF(ABS(ROUND(100/H35*I35-100,1))&lt;999,ROUND(100/H35*I35-100,1),IF(ROUND(100/H35*I35-100,1)&gt;999,999,-999)))</f>
        <v>7.7</v>
      </c>
      <c r="K35" s="453">
        <f>SUM(K11+K21+K26+K31)</f>
        <v>184044.03943382</v>
      </c>
      <c r="L35" s="453">
        <f>SUM(L11+L21+L26+L31)</f>
        <v>215644.49175414498</v>
      </c>
      <c r="M35" s="453">
        <f>IF(K35=0, "    ---- ", IF(ABS(ROUND(100/K35*L35-100,1))&lt;999,ROUND(100/K35*L35-100,1),IF(ROUND(100/K35*L35-100,1)&gt;999,999,-999)))</f>
        <v>17.2</v>
      </c>
      <c r="N35" s="453">
        <f>SUM(N11+N21+N26+N31)</f>
        <v>83760</v>
      </c>
      <c r="O35" s="453">
        <f>SUM(O11+O21+O26+O31)</f>
        <v>97749.643522389975</v>
      </c>
      <c r="P35" s="453">
        <f>IF(N35=0, "    ---- ", IF(ABS(ROUND(100/N35*O35-100,1))&lt;999,ROUND(100/N35*O35-100,1),IF(ROUND(100/N35*O35-100,1)&gt;999,999,-999)))</f>
        <v>16.7</v>
      </c>
      <c r="Q35" s="453">
        <f>SUM(Q11+Q21+Q26+Q31)</f>
        <v>248216.02440141997</v>
      </c>
      <c r="R35" s="453">
        <f>SUM(R11+R21+R26+R31)</f>
        <v>282187.70089527988</v>
      </c>
      <c r="S35" s="453">
        <f t="shared" si="0"/>
        <v>13.7</v>
      </c>
      <c r="T35" s="618">
        <f t="shared" si="7"/>
        <v>798314.17093551997</v>
      </c>
      <c r="U35" s="618">
        <f t="shared" si="8"/>
        <v>936340.33438754338</v>
      </c>
      <c r="V35" s="453">
        <f t="shared" si="3"/>
        <v>17.3</v>
      </c>
      <c r="W35" s="618">
        <f>T35+'Tabell 7a'!AF52</f>
        <v>2227792.2620275128</v>
      </c>
      <c r="X35" s="453">
        <f>U35+'Tabell 7a'!AG52</f>
        <v>2459582.1375977295</v>
      </c>
      <c r="Y35" s="453">
        <f t="shared" ref="Y35:Y42" si="9">IF(W35=0, "    ---- ", IF(ABS(ROUND(100/W35*X35-100,1))&lt;999,ROUND(100/W35*X35-100,1),IF(ROUND(100/W35*X35-100,1)&gt;999,999,-999)))</f>
        <v>10.4</v>
      </c>
      <c r="Z35" s="528"/>
    </row>
    <row r="36" spans="1:26" s="552" customFormat="1" ht="18.75" customHeight="1" x14ac:dyDescent="0.35">
      <c r="A36" s="610" t="s">
        <v>426</v>
      </c>
      <c r="B36" s="452">
        <f>SUM(B12+B22)</f>
        <v>9237.3923010410399</v>
      </c>
      <c r="C36" s="452">
        <f>SUM(C12+C22+C27)</f>
        <v>10196.235102669221</v>
      </c>
      <c r="D36" s="452">
        <f>IF(B36=0, "    ---- ", IF(ABS(ROUND(100/B36*C36-100,1))&lt;999,ROUND(100/B36*C36-100,1),IF(ROUND(100/B36*C36-100,1)&gt;999,999,-999)))</f>
        <v>10.4</v>
      </c>
      <c r="E36" s="452">
        <f>SUM(E12+E22+E27)</f>
        <v>2882</v>
      </c>
      <c r="F36" s="452">
        <f>SUM(F12+F22+F27)</f>
        <v>3237</v>
      </c>
      <c r="G36" s="452">
        <f>IF(E36=0, "    ---- ", IF(ABS(ROUND(100/E36*F36-100,1))&lt;999,ROUND(100/E36*F36-100,1),IF(ROUND(100/E36*F36-100,1)&gt;999,999,-999)))</f>
        <v>12.3</v>
      </c>
      <c r="H36" s="452"/>
      <c r="I36" s="452"/>
      <c r="J36" s="452"/>
      <c r="K36" s="452">
        <f>SUM(K12+K22+K27)</f>
        <v>66719.340825974912</v>
      </c>
      <c r="L36" s="452">
        <f>SUM(L12+L22+L27)</f>
        <v>70706.066103178979</v>
      </c>
      <c r="M36" s="452">
        <f>IF(K36=0, "    ---- ", IF(ABS(ROUND(100/K36*L36-100,1))&lt;999,ROUND(100/K36*L36-100,1),IF(ROUND(100/K36*L36-100,1)&gt;999,999,-999)))</f>
        <v>6</v>
      </c>
      <c r="N36" s="452">
        <f>SUM(N12+N22+N27)</f>
        <v>6485</v>
      </c>
      <c r="O36" s="452">
        <f>SUM(O12+O22+O27)</f>
        <v>7335.0067346299984</v>
      </c>
      <c r="P36" s="452">
        <f>IF(N36=0, "    ---- ", IF(ABS(ROUND(100/N36*O36-100,1))&lt;999,ROUND(100/N36*O36-100,1),IF(ROUND(100/N36*O36-100,1)&gt;999,999,-999)))</f>
        <v>13.1</v>
      </c>
      <c r="Q36" s="452">
        <f>SUM(Q12+Q22+Q27)</f>
        <v>16436.76665804</v>
      </c>
      <c r="R36" s="452">
        <f>SUM(R12+R22+R27)</f>
        <v>17460.61388144</v>
      </c>
      <c r="S36" s="452">
        <f t="shared" si="0"/>
        <v>6.2</v>
      </c>
      <c r="T36" s="616">
        <f t="shared" si="7"/>
        <v>101760.49978505594</v>
      </c>
      <c r="U36" s="616">
        <f t="shared" si="8"/>
        <v>108934.92182191821</v>
      </c>
      <c r="V36" s="452">
        <f t="shared" si="3"/>
        <v>7.1</v>
      </c>
      <c r="W36" s="616">
        <f>T36+'Tabell 7a'!AF53</f>
        <v>112010.61672811807</v>
      </c>
      <c r="X36" s="452">
        <f>U36+'Tabell 7a'!AG53</f>
        <v>118398.75219657208</v>
      </c>
      <c r="Y36" s="452">
        <f t="shared" si="9"/>
        <v>5.7</v>
      </c>
    </row>
    <row r="37" spans="1:26" s="552" customFormat="1" ht="18.75" customHeight="1" x14ac:dyDescent="0.35">
      <c r="A37" s="610" t="s">
        <v>429</v>
      </c>
      <c r="B37" s="452">
        <f>SUM(B13+B23+B32)</f>
        <v>5016.2896907989598</v>
      </c>
      <c r="C37" s="452">
        <f>SUM(C13+C23+C28+C32)</f>
        <v>5009.9487917894112</v>
      </c>
      <c r="D37" s="452">
        <f>IF(B37=0, "    ---- ", IF(ABS(ROUND(100/B37*C37-100,1))&lt;999,ROUND(100/B37*C37-100,1),IF(ROUND(100/B37*C37-100,1)&gt;999,999,-999)))</f>
        <v>-0.1</v>
      </c>
      <c r="E37" s="452">
        <f>SUM(E13+E23+E28+E32)</f>
        <v>4158</v>
      </c>
      <c r="F37" s="452">
        <f>SUM(F13+F23+F28+F32)</f>
        <v>2673</v>
      </c>
      <c r="G37" s="452">
        <f>IF(E37=0, "    ---- ", IF(ABS(ROUND(100/E37*F37-100,1))&lt;999,ROUND(100/E37*F37-100,1),IF(ROUND(100/E37*F37-100,1)&gt;999,999,-999)))</f>
        <v>-35.700000000000003</v>
      </c>
      <c r="H37" s="452"/>
      <c r="I37" s="452"/>
      <c r="J37" s="452"/>
      <c r="K37" s="452">
        <f>SUM(K13+K23+K28+K32)</f>
        <v>7001.6680672150851</v>
      </c>
      <c r="L37" s="452">
        <f>SUM(L13+L23+L28+L32)</f>
        <v>7694.0553655988124</v>
      </c>
      <c r="M37" s="452">
        <f>IF(K37=0, "    ---- ", IF(ABS(ROUND(100/K37*L37-100,1))&lt;999,ROUND(100/K37*L37-100,1),IF(ROUND(100/K37*L37-100,1)&gt;999,999,-999)))</f>
        <v>9.9</v>
      </c>
      <c r="N37" s="452">
        <f>SUM(N13+N23+N28+N32)</f>
        <v>5273</v>
      </c>
      <c r="O37" s="452">
        <f>SUM(O13+O23+O28+O32)</f>
        <v>5996.3837339099955</v>
      </c>
      <c r="P37" s="452">
        <f>IF(N37=0, "    ---- ", IF(ABS(ROUND(100/N37*O37-100,1))&lt;999,ROUND(100/N37*O37-100,1),IF(ROUND(100/N37*O37-100,1)&gt;999,999,-999)))</f>
        <v>13.7</v>
      </c>
      <c r="Q37" s="452">
        <f>SUM(Q13+Q23+Q28+Q32)</f>
        <v>9859.7473502199991</v>
      </c>
      <c r="R37" s="452">
        <f>SUM(R13+R23+R28+R32)</f>
        <v>10554.704427019997</v>
      </c>
      <c r="S37" s="452">
        <f t="shared" si="0"/>
        <v>7</v>
      </c>
      <c r="T37" s="616">
        <f t="shared" si="7"/>
        <v>31308.705108234048</v>
      </c>
      <c r="U37" s="616">
        <f t="shared" si="8"/>
        <v>31928.092318318217</v>
      </c>
      <c r="V37" s="452">
        <f t="shared" si="3"/>
        <v>2</v>
      </c>
      <c r="W37" s="616">
        <f>T37+'Tabell 7a'!AF54</f>
        <v>77592.741139325037</v>
      </c>
      <c r="X37" s="452">
        <f>U37+'Tabell 7a'!AG54</f>
        <v>79252.137249323481</v>
      </c>
      <c r="Y37" s="452">
        <f t="shared" si="9"/>
        <v>2.1</v>
      </c>
    </row>
    <row r="38" spans="1:26" s="552" customFormat="1" ht="18.75" customHeight="1" x14ac:dyDescent="0.35">
      <c r="A38" s="421" t="s">
        <v>430</v>
      </c>
      <c r="B38" s="452"/>
      <c r="C38" s="452"/>
      <c r="D38" s="452"/>
      <c r="E38" s="452"/>
      <c r="F38" s="452"/>
      <c r="G38" s="452"/>
      <c r="H38" s="452"/>
      <c r="I38" s="452"/>
      <c r="J38" s="452"/>
      <c r="K38" s="452"/>
      <c r="L38" s="452"/>
      <c r="M38" s="452"/>
      <c r="N38" s="452"/>
      <c r="O38" s="452"/>
      <c r="P38" s="452"/>
      <c r="Q38" s="452"/>
      <c r="R38" s="452"/>
      <c r="S38" s="452"/>
      <c r="T38" s="616"/>
      <c r="U38" s="616"/>
      <c r="V38" s="452"/>
      <c r="W38" s="616">
        <f>T38+'Tabell 7a'!AF55</f>
        <v>5443.0955957200003</v>
      </c>
      <c r="X38" s="452">
        <f>U38+'Tabell 7a'!AG55</f>
        <v>5948.2095612399999</v>
      </c>
      <c r="Y38" s="452">
        <f t="shared" si="9"/>
        <v>9.3000000000000007</v>
      </c>
    </row>
    <row r="39" spans="1:26" s="552" customFormat="1" ht="18.75" customHeight="1" x14ac:dyDescent="0.35">
      <c r="A39" s="610" t="s">
        <v>431</v>
      </c>
      <c r="B39" s="452">
        <f>SUM(B14+B24+B33)</f>
        <v>188000.99742311001</v>
      </c>
      <c r="C39" s="452">
        <f>SUM(C14+C24+C29+C33)</f>
        <v>230582</v>
      </c>
      <c r="D39" s="452">
        <f>IF(B39=0, "    ---- ", IF(ABS(ROUND(100/B39*C39-100,1))&lt;999,ROUND(100/B39*C39-100,1),IF(ROUND(100/B39*C39-100,1)&gt;999,999,-999)))</f>
        <v>22.6</v>
      </c>
      <c r="E39" s="452">
        <f>SUM(E14+E24+E29+E33)</f>
        <v>69852</v>
      </c>
      <c r="F39" s="452">
        <f>SUM(F14+F24+F29+F33)</f>
        <v>85670</v>
      </c>
      <c r="G39" s="452">
        <f>IF(E39=0, "    ---- ", IF(ABS(ROUND(100/E39*F39-100,1))&lt;999,ROUND(100/E39*F39-100,1),IF(ROUND(100/E39*F39-100,1)&gt;999,999,-999)))</f>
        <v>22.6</v>
      </c>
      <c r="H39" s="452"/>
      <c r="I39" s="452"/>
      <c r="J39" s="452"/>
      <c r="K39" s="452">
        <f>SUM(K14+K24+K29+K33)</f>
        <v>110323.03054063</v>
      </c>
      <c r="L39" s="452">
        <f>SUM(L14+L24+L29+L33)</f>
        <v>137244.37028536719</v>
      </c>
      <c r="M39" s="452">
        <f>IF(K39=0, "    ---- ", IF(ABS(ROUND(100/K39*L39-100,1))&lt;999,ROUND(100/K39*L39-100,1),IF(ROUND(100/K39*L39-100,1)&gt;999,999,-999)))</f>
        <v>24.4</v>
      </c>
      <c r="N39" s="452">
        <f>SUM(N14+N24+N29+N33)</f>
        <v>72002</v>
      </c>
      <c r="O39" s="452">
        <f>SUM(O14+O24+O29+O33)</f>
        <v>84418.253053849985</v>
      </c>
      <c r="P39" s="452">
        <f>IF(N39=0, "    ---- ", IF(ABS(ROUND(100/N39*O39-100,1))&lt;999,ROUND(100/N39*O39-100,1),IF(ROUND(100/N39*O39-100,1)&gt;999,999,-999)))</f>
        <v>17.2</v>
      </c>
      <c r="Q39" s="452">
        <f>SUM(Q14+Q24+Q29+Q33)</f>
        <v>221919.51039315999</v>
      </c>
      <c r="R39" s="452">
        <f>SUM(R14+R24+R29+R33)</f>
        <v>254172.38258681988</v>
      </c>
      <c r="S39" s="452">
        <f t="shared" si="0"/>
        <v>14.5</v>
      </c>
      <c r="T39" s="616">
        <f t="shared" ref="T39:T40" si="10">+B39+E39+H39+K39+N39+Q39</f>
        <v>662097.53835689998</v>
      </c>
      <c r="U39" s="616">
        <f t="shared" ref="U39:U40" si="11">+C39+F39+I39+L39+O39+R39</f>
        <v>792087.00592603697</v>
      </c>
      <c r="V39" s="452">
        <f t="shared" si="3"/>
        <v>19.600000000000001</v>
      </c>
      <c r="W39" s="616">
        <f>T39+'Tabell 7a'!AF56</f>
        <v>1071489.5284014179</v>
      </c>
      <c r="X39" s="452">
        <f>U39+'Tabell 7a'!AG56</f>
        <v>1209286.5432739393</v>
      </c>
      <c r="Y39" s="452">
        <f t="shared" si="9"/>
        <v>12.9</v>
      </c>
    </row>
    <row r="40" spans="1:26" s="552" customFormat="1" ht="18.75" customHeight="1" x14ac:dyDescent="0.35">
      <c r="A40" s="610" t="s">
        <v>433</v>
      </c>
      <c r="B40" s="452"/>
      <c r="C40" s="452"/>
      <c r="D40" s="452"/>
      <c r="E40" s="452"/>
      <c r="F40" s="452"/>
      <c r="G40" s="452"/>
      <c r="H40" s="452">
        <f>SUM(H15+H25+H30+H34)</f>
        <v>3147.4276853299998</v>
      </c>
      <c r="I40" s="452">
        <f>SUM(I15+I25+I30+I34)</f>
        <v>3390.3143212700002</v>
      </c>
      <c r="J40" s="452">
        <f>IF(H40=0, "    ---- ", IF(ABS(ROUND(100/H40*I40-100,1))&lt;999,ROUND(100/H40*I40-100,1),IF(ROUND(100/H40*I40-100,1)&gt;999,999,-999)))</f>
        <v>7.7</v>
      </c>
      <c r="K40" s="452"/>
      <c r="L40" s="452"/>
      <c r="M40" s="452"/>
      <c r="N40" s="452"/>
      <c r="O40" s="452"/>
      <c r="P40" s="452"/>
      <c r="Q40" s="452"/>
      <c r="R40" s="452"/>
      <c r="S40" s="452"/>
      <c r="T40" s="616">
        <f t="shared" si="10"/>
        <v>3147.4276853299998</v>
      </c>
      <c r="U40" s="616">
        <f t="shared" si="11"/>
        <v>3390.3143212700002</v>
      </c>
      <c r="V40" s="452">
        <f t="shared" si="3"/>
        <v>7.7</v>
      </c>
      <c r="W40" s="616">
        <f>T40+'Tabell 7a'!AF57</f>
        <v>956763.69098277995</v>
      </c>
      <c r="X40" s="452">
        <f>U40+'Tabell 7a'!AG57</f>
        <v>977168.77022380999</v>
      </c>
      <c r="Y40" s="452">
        <f t="shared" si="9"/>
        <v>2.1</v>
      </c>
    </row>
    <row r="41" spans="1:26" s="552" customFormat="1" ht="18.75" customHeight="1" x14ac:dyDescent="0.35">
      <c r="A41" s="421" t="s">
        <v>434</v>
      </c>
      <c r="B41" s="452"/>
      <c r="C41" s="452"/>
      <c r="D41" s="452"/>
      <c r="E41" s="452"/>
      <c r="F41" s="452"/>
      <c r="G41" s="452"/>
      <c r="H41" s="452"/>
      <c r="I41" s="452"/>
      <c r="J41" s="452"/>
      <c r="K41" s="452"/>
      <c r="L41" s="452"/>
      <c r="M41" s="452"/>
      <c r="N41" s="452"/>
      <c r="O41" s="452"/>
      <c r="P41" s="452"/>
      <c r="Q41" s="452"/>
      <c r="R41" s="452"/>
      <c r="S41" s="452"/>
      <c r="T41" s="616"/>
      <c r="U41" s="616"/>
      <c r="V41" s="452"/>
      <c r="W41" s="616">
        <f>T41+'Tabell 7a'!AF58</f>
        <v>1014.0811801519689</v>
      </c>
      <c r="X41" s="452">
        <f>U41+'Tabell 7a'!AG58</f>
        <v>1171.0582948443052</v>
      </c>
      <c r="Y41" s="452">
        <f t="shared" si="9"/>
        <v>15.5</v>
      </c>
    </row>
    <row r="42" spans="1:26" s="552" customFormat="1" ht="18.75" customHeight="1" x14ac:dyDescent="0.35">
      <c r="A42" s="612" t="s">
        <v>441</v>
      </c>
      <c r="B42" s="448"/>
      <c r="C42" s="448"/>
      <c r="D42" s="448"/>
      <c r="E42" s="448"/>
      <c r="F42" s="448"/>
      <c r="G42" s="448"/>
      <c r="H42" s="448"/>
      <c r="I42" s="448"/>
      <c r="J42" s="448"/>
      <c r="K42" s="448"/>
      <c r="L42" s="448"/>
      <c r="M42" s="448"/>
      <c r="N42" s="448"/>
      <c r="O42" s="448"/>
      <c r="P42" s="448"/>
      <c r="Q42" s="448"/>
      <c r="R42" s="448"/>
      <c r="S42" s="448"/>
      <c r="T42" s="625"/>
      <c r="U42" s="625"/>
      <c r="V42" s="448"/>
      <c r="W42" s="625">
        <f>T42+'Tabell 7a'!AF59</f>
        <v>3478.5079999999998</v>
      </c>
      <c r="X42" s="448">
        <f>U42+'Tabell 7a'!AG59</f>
        <v>3648</v>
      </c>
      <c r="Y42" s="448">
        <f t="shared" si="9"/>
        <v>4.9000000000000004</v>
      </c>
    </row>
    <row r="43" spans="1:26" s="575" customFormat="1" ht="18.75" customHeight="1" x14ac:dyDescent="0.35">
      <c r="A43" s="395" t="s">
        <v>298</v>
      </c>
      <c r="E43" s="395"/>
      <c r="K43" s="626"/>
      <c r="N43" s="395"/>
      <c r="T43" s="395"/>
      <c r="W43" s="395"/>
    </row>
    <row r="44" spans="1:26" s="575" customFormat="1" ht="18.75" customHeight="1" x14ac:dyDescent="0.35">
      <c r="A44" s="395" t="s">
        <v>300</v>
      </c>
      <c r="E44" s="395"/>
      <c r="N44" s="395"/>
      <c r="W44" s="395"/>
    </row>
    <row r="45" spans="1:26" s="575" customFormat="1" ht="18" x14ac:dyDescent="0.35"/>
    <row r="46" spans="1:26" s="575" customFormat="1" ht="18" x14ac:dyDescent="0.35"/>
    <row r="47" spans="1:26" s="575" customFormat="1" ht="18" x14ac:dyDescent="0.35"/>
    <row r="48" spans="1:26" s="575" customFormat="1" ht="18" x14ac:dyDescent="0.35"/>
    <row r="49" s="575" customFormat="1" ht="18" x14ac:dyDescent="0.35"/>
    <row r="50" s="575" customFormat="1" ht="18" x14ac:dyDescent="0.35"/>
    <row r="51" s="575" customFormat="1" ht="18" x14ac:dyDescent="0.35"/>
    <row r="52" s="575" customFormat="1" ht="18" x14ac:dyDescent="0.35"/>
    <row r="53" s="575" customFormat="1" ht="18" x14ac:dyDescent="0.35"/>
    <row r="54" s="575" customFormat="1" ht="18" x14ac:dyDescent="0.35"/>
    <row r="55" s="575" customFormat="1" ht="18" x14ac:dyDescent="0.35"/>
    <row r="56" s="575" customFormat="1" ht="18" x14ac:dyDescent="0.35"/>
    <row r="57" s="575" customFormat="1" ht="18" x14ac:dyDescent="0.35"/>
    <row r="58" s="575" customFormat="1" ht="18" x14ac:dyDescent="0.35"/>
    <row r="59" s="575" customFormat="1" ht="18" x14ac:dyDescent="0.35"/>
    <row r="60" s="575" customFormat="1" ht="18" x14ac:dyDescent="0.35"/>
    <row r="61" s="575" customFormat="1" ht="18" x14ac:dyDescent="0.35"/>
    <row r="62" s="575" customFormat="1" ht="18" x14ac:dyDescent="0.35"/>
    <row r="63" s="575" customFormat="1" ht="18" x14ac:dyDescent="0.35"/>
  </sheetData>
  <mergeCells count="14">
    <mergeCell ref="N5:P5"/>
    <mergeCell ref="Q5:S5"/>
    <mergeCell ref="T5:V5"/>
    <mergeCell ref="W5:Y5"/>
    <mergeCell ref="B6:D6"/>
    <mergeCell ref="E6:G6"/>
    <mergeCell ref="K5:M5"/>
    <mergeCell ref="B5:D5"/>
    <mergeCell ref="E5:G5"/>
    <mergeCell ref="K6:M6"/>
    <mergeCell ref="N6:P6"/>
    <mergeCell ref="Q6:S6"/>
    <mergeCell ref="T6:V6"/>
    <mergeCell ref="W6:Y6"/>
  </mergeCells>
  <conditionalFormatting sqref="B11:C11">
    <cfRule type="expression" dxfId="47" priority="40">
      <formula>#REF!="11≠12+13+14+15"</formula>
    </cfRule>
  </conditionalFormatting>
  <conditionalFormatting sqref="B16:C16">
    <cfRule type="expression" dxfId="46" priority="41">
      <formula>#REF!="11≠12+13+14+15"</formula>
    </cfRule>
  </conditionalFormatting>
  <conditionalFormatting sqref="B21:C21">
    <cfRule type="expression" dxfId="45" priority="42">
      <formula>#REF!="11≠12+13+14+15"</formula>
    </cfRule>
  </conditionalFormatting>
  <conditionalFormatting sqref="B26:C26">
    <cfRule type="expression" dxfId="44" priority="43">
      <formula>#REF!="26≠27+28+29+30"</formula>
    </cfRule>
  </conditionalFormatting>
  <conditionalFormatting sqref="B31:C31">
    <cfRule type="expression" dxfId="43" priority="44">
      <formula>#REF!="36≠37+38+39"</formula>
    </cfRule>
  </conditionalFormatting>
  <conditionalFormatting sqref="B35:C35">
    <cfRule type="expression" dxfId="42" priority="133">
      <formula>#REF!="40≠41+42+43+44+45+46+47"</formula>
    </cfRule>
  </conditionalFormatting>
  <conditionalFormatting sqref="E11:F11">
    <cfRule type="expression" dxfId="41" priority="12">
      <formula>#REF!="11≠12+13+14+15"</formula>
    </cfRule>
  </conditionalFormatting>
  <conditionalFormatting sqref="E16:F16 E21:F21">
    <cfRule type="expression" dxfId="40" priority="13">
      <formula>#REF!="11≠12+13+14+15"</formula>
    </cfRule>
  </conditionalFormatting>
  <conditionalFormatting sqref="E26:F26">
    <cfRule type="expression" dxfId="39" priority="14">
      <formula>#REF!="26≠27+28+29+30"</formula>
    </cfRule>
  </conditionalFormatting>
  <conditionalFormatting sqref="E31:F31">
    <cfRule type="expression" dxfId="38" priority="15">
      <formula>#REF!="36≠37+38+39"</formula>
    </cfRule>
  </conditionalFormatting>
  <conditionalFormatting sqref="E35:F35">
    <cfRule type="expression" dxfId="37" priority="93">
      <formula>#REF!="40≠41+42+43+44+45+46+47"</formula>
    </cfRule>
  </conditionalFormatting>
  <conditionalFormatting sqref="H11:I11">
    <cfRule type="expression" dxfId="36" priority="4">
      <formula>#REF!="11≠12+13+14+15"</formula>
    </cfRule>
  </conditionalFormatting>
  <conditionalFormatting sqref="H16:I16 H21:I21 H26">
    <cfRule type="expression" dxfId="35" priority="5">
      <formula>#REF!="11≠12+13+14+15"</formula>
    </cfRule>
  </conditionalFormatting>
  <conditionalFormatting sqref="H31:I31">
    <cfRule type="expression" dxfId="34" priority="6">
      <formula>#REF!="36≠37+38+39"</formula>
    </cfRule>
  </conditionalFormatting>
  <conditionalFormatting sqref="H35:I35">
    <cfRule type="expression" dxfId="33" priority="90">
      <formula>#REF!="40≠41+42+43+44+45+46+47"</formula>
    </cfRule>
  </conditionalFormatting>
  <conditionalFormatting sqref="I26 W26:X26">
    <cfRule type="expression" dxfId="32" priority="611">
      <formula>#REF!="26≠27+28+29+30"</formula>
    </cfRule>
  </conditionalFormatting>
  <conditionalFormatting sqref="K11:L11">
    <cfRule type="expression" dxfId="31" priority="50">
      <formula>#REF!="11≠12+13+14+15"</formula>
    </cfRule>
  </conditionalFormatting>
  <conditionalFormatting sqref="K16:L16 K21:L21">
    <cfRule type="expression" dxfId="30" priority="51">
      <formula>#REF!="11≠12+13+14+15"</formula>
    </cfRule>
  </conditionalFormatting>
  <conditionalFormatting sqref="K26:L26">
    <cfRule type="expression" dxfId="29" priority="52">
      <formula>#REF!="26≠27+28+29+30"</formula>
    </cfRule>
  </conditionalFormatting>
  <conditionalFormatting sqref="K31:L31">
    <cfRule type="expression" dxfId="28" priority="53">
      <formula>#REF!="36≠37+38+39"</formula>
    </cfRule>
  </conditionalFormatting>
  <conditionalFormatting sqref="K35:L35">
    <cfRule type="expression" dxfId="27" priority="84">
      <formula>#REF!="40≠41+42+43+44+45+46+47"</formula>
    </cfRule>
  </conditionalFormatting>
  <conditionalFormatting sqref="N11:O11">
    <cfRule type="expression" dxfId="26" priority="21">
      <formula>#REF!="11≠12+13+14+15"</formula>
    </cfRule>
  </conditionalFormatting>
  <conditionalFormatting sqref="N16:O16">
    <cfRule type="expression" dxfId="25" priority="22">
      <formula>#REF!="11≠12+13+14+15"</formula>
    </cfRule>
  </conditionalFormatting>
  <conditionalFormatting sqref="N21:O21">
    <cfRule type="expression" dxfId="24" priority="23">
      <formula>#REF!="11≠12+13+14+15"</formula>
    </cfRule>
  </conditionalFormatting>
  <conditionalFormatting sqref="N26:O26">
    <cfRule type="expression" dxfId="23" priority="24">
      <formula>#REF!="26≠27+28+29+30"</formula>
    </cfRule>
  </conditionalFormatting>
  <conditionalFormatting sqref="N31:O31">
    <cfRule type="expression" dxfId="22" priority="25">
      <formula>#REF!="36≠37+38+39"</formula>
    </cfRule>
  </conditionalFormatting>
  <conditionalFormatting sqref="N35:O35">
    <cfRule type="expression" dxfId="21" priority="78">
      <formula>#REF!="40≠41+42+43+44+45+46+47"</formula>
    </cfRule>
  </conditionalFormatting>
  <conditionalFormatting sqref="Q11:R11">
    <cfRule type="expression" dxfId="20" priority="31">
      <formula>#REF!="11≠12+13+14+15"</formula>
    </cfRule>
  </conditionalFormatting>
  <conditionalFormatting sqref="Q16:R16 Q21:R21">
    <cfRule type="expression" dxfId="19" priority="32">
      <formula>#REF!="11≠12+13+14+15"</formula>
    </cfRule>
  </conditionalFormatting>
  <conditionalFormatting sqref="Q26:R26">
    <cfRule type="expression" dxfId="18" priority="33">
      <formula>#REF!="26≠27+28+29+30"</formula>
    </cfRule>
  </conditionalFormatting>
  <conditionalFormatting sqref="Q31:R31">
    <cfRule type="expression" dxfId="17" priority="34">
      <formula>#REF!="36≠37+38+39"</formula>
    </cfRule>
  </conditionalFormatting>
  <conditionalFormatting sqref="Q35:R35">
    <cfRule type="expression" dxfId="16" priority="75">
      <formula>#REF!="40≠41+42+43+44+45+46+47"</formula>
    </cfRule>
  </conditionalFormatting>
  <conditionalFormatting sqref="T21:U21 W21:X21">
    <cfRule type="expression" dxfId="15" priority="639">
      <formula>#REF!="21≠22+23+24+25"</formula>
    </cfRule>
  </conditionalFormatting>
  <conditionalFormatting sqref="T25:U31">
    <cfRule type="expression" dxfId="14" priority="1">
      <formula>#REF!="11≠12+13+14+15"</formula>
    </cfRule>
  </conditionalFormatting>
  <conditionalFormatting sqref="W11:X11 T11:U20 T33:U37 T39:U40">
    <cfRule type="expression" dxfId="13" priority="608">
      <formula>#REF!="11≠12+13+14+15"</formula>
    </cfRule>
  </conditionalFormatting>
  <conditionalFormatting sqref="W16:X16">
    <cfRule type="expression" dxfId="12" priority="645">
      <formula>#REF!="16≠17+18+19+20"</formula>
    </cfRule>
  </conditionalFormatting>
  <conditionalFormatting sqref="W31:X31">
    <cfRule type="expression" dxfId="11" priority="612">
      <formula>#REF!="36≠37+38+39"</formula>
    </cfRule>
  </conditionalFormatting>
  <conditionalFormatting sqref="W35:X35">
    <cfRule type="expression" dxfId="10" priority="138">
      <formula>#REF!="40≠41+42+43+44+45+46+47"</formula>
    </cfRule>
  </conditionalFormatting>
  <pageMargins left="0.78740157480314965" right="0.78740157480314965" top="1.5748031496062993" bottom="0.98425196850393704" header="0.51181102362204722" footer="0.51181102362204722"/>
  <pageSetup paperSize="9" scale="45" fitToWidth="4" orientation="portrait" r:id="rId1"/>
  <headerFooter alignWithMargins="0"/>
  <colBreaks count="4" manualBreakCount="4">
    <brk id="4" min="1" max="48" man="1"/>
    <brk id="10" min="1" max="48" man="1"/>
    <brk id="13" min="1" max="48" man="1"/>
    <brk id="22" min="1" max="48"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C5483-50BC-43CD-92B6-43EBC7563ED5}">
  <sheetPr codeName="Ark42"/>
  <dimension ref="A1:AV41"/>
  <sheetViews>
    <sheetView showGridLines="0" zoomScale="60" zoomScaleNormal="60" zoomScaleSheetLayoutView="80" workbookViewId="0">
      <pane xSplit="1" ySplit="8" topLeftCell="B9" activePane="bottomRight" state="frozen"/>
      <selection activeCell="X52" sqref="X52"/>
      <selection pane="topRight" activeCell="X52" sqref="X52"/>
      <selection pane="bottomLeft" activeCell="X52" sqref="X52"/>
      <selection pane="bottomRight" activeCell="A4" sqref="A4"/>
    </sheetView>
  </sheetViews>
  <sheetFormatPr baseColWidth="10" defaultColWidth="11.44140625" defaultRowHeight="13.2" x14ac:dyDescent="0.25"/>
  <cols>
    <col min="1" max="1" width="70.109375" style="402" customWidth="1"/>
    <col min="2" max="31" width="11.6640625" style="402" customWidth="1"/>
    <col min="32" max="250" width="11.44140625" style="402"/>
    <col min="251" max="251" width="62" style="402" customWidth="1"/>
    <col min="252" max="287" width="11.6640625" style="402" customWidth="1"/>
    <col min="288" max="506" width="11.44140625" style="402"/>
    <col min="507" max="507" width="62" style="402" customWidth="1"/>
    <col min="508" max="543" width="11.6640625" style="402" customWidth="1"/>
    <col min="544" max="762" width="11.44140625" style="402"/>
    <col min="763" max="763" width="62" style="402" customWidth="1"/>
    <col min="764" max="799" width="11.6640625" style="402" customWidth="1"/>
    <col min="800" max="1018" width="11.44140625" style="402"/>
    <col min="1019" max="1019" width="62" style="402" customWidth="1"/>
    <col min="1020" max="1055" width="11.6640625" style="402" customWidth="1"/>
    <col min="1056" max="1274" width="11.44140625" style="402"/>
    <col min="1275" max="1275" width="62" style="402" customWidth="1"/>
    <col min="1276" max="1311" width="11.6640625" style="402" customWidth="1"/>
    <col min="1312" max="1530" width="11.44140625" style="402"/>
    <col min="1531" max="1531" width="62" style="402" customWidth="1"/>
    <col min="1532" max="1567" width="11.6640625" style="402" customWidth="1"/>
    <col min="1568" max="1786" width="11.44140625" style="402"/>
    <col min="1787" max="1787" width="62" style="402" customWidth="1"/>
    <col min="1788" max="1823" width="11.6640625" style="402" customWidth="1"/>
    <col min="1824" max="2042" width="11.44140625" style="402"/>
    <col min="2043" max="2043" width="62" style="402" customWidth="1"/>
    <col min="2044" max="2079" width="11.6640625" style="402" customWidth="1"/>
    <col min="2080" max="2298" width="11.44140625" style="402"/>
    <col min="2299" max="2299" width="62" style="402" customWidth="1"/>
    <col min="2300" max="2335" width="11.6640625" style="402" customWidth="1"/>
    <col min="2336" max="2554" width="11.44140625" style="402"/>
    <col min="2555" max="2555" width="62" style="402" customWidth="1"/>
    <col min="2556" max="2591" width="11.6640625" style="402" customWidth="1"/>
    <col min="2592" max="2810" width="11.44140625" style="402"/>
    <col min="2811" max="2811" width="62" style="402" customWidth="1"/>
    <col min="2812" max="2847" width="11.6640625" style="402" customWidth="1"/>
    <col min="2848" max="3066" width="11.44140625" style="402"/>
    <col min="3067" max="3067" width="62" style="402" customWidth="1"/>
    <col min="3068" max="3103" width="11.6640625" style="402" customWidth="1"/>
    <col min="3104" max="3322" width="11.44140625" style="402"/>
    <col min="3323" max="3323" width="62" style="402" customWidth="1"/>
    <col min="3324" max="3359" width="11.6640625" style="402" customWidth="1"/>
    <col min="3360" max="3578" width="11.44140625" style="402"/>
    <col min="3579" max="3579" width="62" style="402" customWidth="1"/>
    <col min="3580" max="3615" width="11.6640625" style="402" customWidth="1"/>
    <col min="3616" max="3834" width="11.44140625" style="402"/>
    <col min="3835" max="3835" width="62" style="402" customWidth="1"/>
    <col min="3836" max="3871" width="11.6640625" style="402" customWidth="1"/>
    <col min="3872" max="4090" width="11.44140625" style="402"/>
    <col min="4091" max="4091" width="62" style="402" customWidth="1"/>
    <col min="4092" max="4127" width="11.6640625" style="402" customWidth="1"/>
    <col min="4128" max="4346" width="11.44140625" style="402"/>
    <col min="4347" max="4347" width="62" style="402" customWidth="1"/>
    <col min="4348" max="4383" width="11.6640625" style="402" customWidth="1"/>
    <col min="4384" max="4602" width="11.44140625" style="402"/>
    <col min="4603" max="4603" width="62" style="402" customWidth="1"/>
    <col min="4604" max="4639" width="11.6640625" style="402" customWidth="1"/>
    <col min="4640" max="4858" width="11.44140625" style="402"/>
    <col min="4859" max="4859" width="62" style="402" customWidth="1"/>
    <col min="4860" max="4895" width="11.6640625" style="402" customWidth="1"/>
    <col min="4896" max="5114" width="11.44140625" style="402"/>
    <col min="5115" max="5115" width="62" style="402" customWidth="1"/>
    <col min="5116" max="5151" width="11.6640625" style="402" customWidth="1"/>
    <col min="5152" max="5370" width="11.44140625" style="402"/>
    <col min="5371" max="5371" width="62" style="402" customWidth="1"/>
    <col min="5372" max="5407" width="11.6640625" style="402" customWidth="1"/>
    <col min="5408" max="5626" width="11.44140625" style="402"/>
    <col min="5627" max="5627" width="62" style="402" customWidth="1"/>
    <col min="5628" max="5663" width="11.6640625" style="402" customWidth="1"/>
    <col min="5664" max="5882" width="11.44140625" style="402"/>
    <col min="5883" max="5883" width="62" style="402" customWidth="1"/>
    <col min="5884" max="5919" width="11.6640625" style="402" customWidth="1"/>
    <col min="5920" max="6138" width="11.44140625" style="402"/>
    <col min="6139" max="6139" width="62" style="402" customWidth="1"/>
    <col min="6140" max="6175" width="11.6640625" style="402" customWidth="1"/>
    <col min="6176" max="6394" width="11.44140625" style="402"/>
    <col min="6395" max="6395" width="62" style="402" customWidth="1"/>
    <col min="6396" max="6431" width="11.6640625" style="402" customWidth="1"/>
    <col min="6432" max="6650" width="11.44140625" style="402"/>
    <col min="6651" max="6651" width="62" style="402" customWidth="1"/>
    <col min="6652" max="6687" width="11.6640625" style="402" customWidth="1"/>
    <col min="6688" max="6906" width="11.44140625" style="402"/>
    <col min="6907" max="6907" width="62" style="402" customWidth="1"/>
    <col min="6908" max="6943" width="11.6640625" style="402" customWidth="1"/>
    <col min="6944" max="7162" width="11.44140625" style="402"/>
    <col min="7163" max="7163" width="62" style="402" customWidth="1"/>
    <col min="7164" max="7199" width="11.6640625" style="402" customWidth="1"/>
    <col min="7200" max="7418" width="11.44140625" style="402"/>
    <col min="7419" max="7419" width="62" style="402" customWidth="1"/>
    <col min="7420" max="7455" width="11.6640625" style="402" customWidth="1"/>
    <col min="7456" max="7674" width="11.44140625" style="402"/>
    <col min="7675" max="7675" width="62" style="402" customWidth="1"/>
    <col min="7676" max="7711" width="11.6640625" style="402" customWidth="1"/>
    <col min="7712" max="7930" width="11.44140625" style="402"/>
    <col min="7931" max="7931" width="62" style="402" customWidth="1"/>
    <col min="7932" max="7967" width="11.6640625" style="402" customWidth="1"/>
    <col min="7968" max="8186" width="11.44140625" style="402"/>
    <col min="8187" max="8187" width="62" style="402" customWidth="1"/>
    <col min="8188" max="8223" width="11.6640625" style="402" customWidth="1"/>
    <col min="8224" max="8442" width="11.44140625" style="402"/>
    <col min="8443" max="8443" width="62" style="402" customWidth="1"/>
    <col min="8444" max="8479" width="11.6640625" style="402" customWidth="1"/>
    <col min="8480" max="8698" width="11.44140625" style="402"/>
    <col min="8699" max="8699" width="62" style="402" customWidth="1"/>
    <col min="8700" max="8735" width="11.6640625" style="402" customWidth="1"/>
    <col min="8736" max="8954" width="11.44140625" style="402"/>
    <col min="8955" max="8955" width="62" style="402" customWidth="1"/>
    <col min="8956" max="8991" width="11.6640625" style="402" customWidth="1"/>
    <col min="8992" max="9210" width="11.44140625" style="402"/>
    <col min="9211" max="9211" width="62" style="402" customWidth="1"/>
    <col min="9212" max="9247" width="11.6640625" style="402" customWidth="1"/>
    <col min="9248" max="9466" width="11.44140625" style="402"/>
    <col min="9467" max="9467" width="62" style="402" customWidth="1"/>
    <col min="9468" max="9503" width="11.6640625" style="402" customWidth="1"/>
    <col min="9504" max="9722" width="11.44140625" style="402"/>
    <col min="9723" max="9723" width="62" style="402" customWidth="1"/>
    <col min="9724" max="9759" width="11.6640625" style="402" customWidth="1"/>
    <col min="9760" max="9978" width="11.44140625" style="402"/>
    <col min="9979" max="9979" width="62" style="402" customWidth="1"/>
    <col min="9980" max="10015" width="11.6640625" style="402" customWidth="1"/>
    <col min="10016" max="10234" width="11.44140625" style="402"/>
    <col min="10235" max="10235" width="62" style="402" customWidth="1"/>
    <col min="10236" max="10271" width="11.6640625" style="402" customWidth="1"/>
    <col min="10272" max="10490" width="11.44140625" style="402"/>
    <col min="10491" max="10491" width="62" style="402" customWidth="1"/>
    <col min="10492" max="10527" width="11.6640625" style="402" customWidth="1"/>
    <col min="10528" max="10746" width="11.44140625" style="402"/>
    <col min="10747" max="10747" width="62" style="402" customWidth="1"/>
    <col min="10748" max="10783" width="11.6640625" style="402" customWidth="1"/>
    <col min="10784" max="11002" width="11.44140625" style="402"/>
    <col min="11003" max="11003" width="62" style="402" customWidth="1"/>
    <col min="11004" max="11039" width="11.6640625" style="402" customWidth="1"/>
    <col min="11040" max="11258" width="11.44140625" style="402"/>
    <col min="11259" max="11259" width="62" style="402" customWidth="1"/>
    <col min="11260" max="11295" width="11.6640625" style="402" customWidth="1"/>
    <col min="11296" max="11514" width="11.44140625" style="402"/>
    <col min="11515" max="11515" width="62" style="402" customWidth="1"/>
    <col min="11516" max="11551" width="11.6640625" style="402" customWidth="1"/>
    <col min="11552" max="11770" width="11.44140625" style="402"/>
    <col min="11771" max="11771" width="62" style="402" customWidth="1"/>
    <col min="11772" max="11807" width="11.6640625" style="402" customWidth="1"/>
    <col min="11808" max="12026" width="11.44140625" style="402"/>
    <col min="12027" max="12027" width="62" style="402" customWidth="1"/>
    <col min="12028" max="12063" width="11.6640625" style="402" customWidth="1"/>
    <col min="12064" max="12282" width="11.44140625" style="402"/>
    <col min="12283" max="12283" width="62" style="402" customWidth="1"/>
    <col min="12284" max="12319" width="11.6640625" style="402" customWidth="1"/>
    <col min="12320" max="12538" width="11.44140625" style="402"/>
    <col min="12539" max="12539" width="62" style="402" customWidth="1"/>
    <col min="12540" max="12575" width="11.6640625" style="402" customWidth="1"/>
    <col min="12576" max="12794" width="11.44140625" style="402"/>
    <col min="12795" max="12795" width="62" style="402" customWidth="1"/>
    <col min="12796" max="12831" width="11.6640625" style="402" customWidth="1"/>
    <col min="12832" max="13050" width="11.44140625" style="402"/>
    <col min="13051" max="13051" width="62" style="402" customWidth="1"/>
    <col min="13052" max="13087" width="11.6640625" style="402" customWidth="1"/>
    <col min="13088" max="13306" width="11.44140625" style="402"/>
    <col min="13307" max="13307" width="62" style="402" customWidth="1"/>
    <col min="13308" max="13343" width="11.6640625" style="402" customWidth="1"/>
    <col min="13344" max="13562" width="11.44140625" style="402"/>
    <col min="13563" max="13563" width="62" style="402" customWidth="1"/>
    <col min="13564" max="13599" width="11.6640625" style="402" customWidth="1"/>
    <col min="13600" max="13818" width="11.44140625" style="402"/>
    <col min="13819" max="13819" width="62" style="402" customWidth="1"/>
    <col min="13820" max="13855" width="11.6640625" style="402" customWidth="1"/>
    <col min="13856" max="14074" width="11.44140625" style="402"/>
    <col min="14075" max="14075" width="62" style="402" customWidth="1"/>
    <col min="14076" max="14111" width="11.6640625" style="402" customWidth="1"/>
    <col min="14112" max="14330" width="11.44140625" style="402"/>
    <col min="14331" max="14331" width="62" style="402" customWidth="1"/>
    <col min="14332" max="14367" width="11.6640625" style="402" customWidth="1"/>
    <col min="14368" max="14586" width="11.44140625" style="402"/>
    <col min="14587" max="14587" width="62" style="402" customWidth="1"/>
    <col min="14588" max="14623" width="11.6640625" style="402" customWidth="1"/>
    <col min="14624" max="14842" width="11.44140625" style="402"/>
    <col min="14843" max="14843" width="62" style="402" customWidth="1"/>
    <col min="14844" max="14879" width="11.6640625" style="402" customWidth="1"/>
    <col min="14880" max="15098" width="11.44140625" style="402"/>
    <col min="15099" max="15099" width="62" style="402" customWidth="1"/>
    <col min="15100" max="15135" width="11.6640625" style="402" customWidth="1"/>
    <col min="15136" max="15354" width="11.44140625" style="402"/>
    <col min="15355" max="15355" width="62" style="402" customWidth="1"/>
    <col min="15356" max="15391" width="11.6640625" style="402" customWidth="1"/>
    <col min="15392" max="15610" width="11.44140625" style="402"/>
    <col min="15611" max="15611" width="62" style="402" customWidth="1"/>
    <col min="15612" max="15647" width="11.6640625" style="402" customWidth="1"/>
    <col min="15648" max="15866" width="11.44140625" style="402"/>
    <col min="15867" max="15867" width="62" style="402" customWidth="1"/>
    <col min="15868" max="15903" width="11.6640625" style="402" customWidth="1"/>
    <col min="15904" max="16122" width="11.44140625" style="402"/>
    <col min="16123" max="16123" width="62" style="402" customWidth="1"/>
    <col min="16124" max="16159" width="11.6640625" style="402" customWidth="1"/>
    <col min="16160" max="16384" width="11.44140625" style="402"/>
  </cols>
  <sheetData>
    <row r="1" spans="1:48" ht="20.25" customHeight="1" x14ac:dyDescent="0.35">
      <c r="A1" s="401" t="s">
        <v>301</v>
      </c>
      <c r="AF1" s="595"/>
    </row>
    <row r="2" spans="1:48" ht="20.100000000000001" customHeight="1" x14ac:dyDescent="0.35">
      <c r="A2" s="401" t="s">
        <v>41</v>
      </c>
      <c r="AF2" s="595"/>
    </row>
    <row r="3" spans="1:48" ht="20.100000000000001" customHeight="1" x14ac:dyDescent="0.3">
      <c r="A3" s="403" t="s">
        <v>453</v>
      </c>
      <c r="AF3" s="595"/>
    </row>
    <row r="4" spans="1:48" ht="20.100000000000001" customHeight="1" x14ac:dyDescent="0.3">
      <c r="A4" s="404" t="s">
        <v>235</v>
      </c>
      <c r="B4" s="405"/>
      <c r="C4" s="406"/>
      <c r="D4" s="407"/>
      <c r="E4" s="406"/>
      <c r="F4" s="406"/>
      <c r="G4" s="407"/>
      <c r="H4" s="406"/>
      <c r="I4" s="406"/>
      <c r="J4" s="407"/>
      <c r="K4" s="405"/>
      <c r="L4" s="406"/>
      <c r="M4" s="407"/>
      <c r="N4" s="405"/>
      <c r="O4" s="406"/>
      <c r="P4" s="407"/>
      <c r="Q4" s="405"/>
      <c r="R4" s="406"/>
      <c r="S4" s="407"/>
      <c r="T4" s="405"/>
      <c r="U4" s="406"/>
      <c r="V4" s="407"/>
      <c r="W4" s="405"/>
      <c r="X4" s="406"/>
      <c r="Y4" s="407"/>
      <c r="Z4" s="405"/>
      <c r="AA4" s="406"/>
      <c r="AB4" s="407"/>
      <c r="AC4" s="405"/>
      <c r="AD4" s="408"/>
      <c r="AE4" s="407"/>
      <c r="AF4" s="628"/>
      <c r="AG4" s="409"/>
      <c r="AH4" s="409"/>
      <c r="AI4" s="409"/>
      <c r="AJ4" s="409"/>
      <c r="AK4" s="409"/>
      <c r="AL4" s="409"/>
      <c r="AM4" s="409"/>
      <c r="AN4" s="409"/>
      <c r="AO4" s="409"/>
      <c r="AP4" s="409"/>
      <c r="AQ4" s="409"/>
      <c r="AR4" s="409"/>
      <c r="AS4" s="409"/>
      <c r="AT4" s="409"/>
      <c r="AU4" s="409"/>
      <c r="AV4" s="409"/>
    </row>
    <row r="5" spans="1:48" ht="20.100000000000001" customHeight="1" x14ac:dyDescent="0.3">
      <c r="A5" s="410"/>
      <c r="B5" s="787" t="s">
        <v>236</v>
      </c>
      <c r="C5" s="788"/>
      <c r="D5" s="789"/>
      <c r="E5" s="788"/>
      <c r="F5" s="788"/>
      <c r="G5" s="789"/>
      <c r="H5" s="788" t="s">
        <v>237</v>
      </c>
      <c r="I5" s="788"/>
      <c r="J5" s="789"/>
      <c r="K5" s="787" t="s">
        <v>238</v>
      </c>
      <c r="L5" s="788"/>
      <c r="M5" s="789"/>
      <c r="N5" s="641" t="s">
        <v>304</v>
      </c>
      <c r="O5" s="642"/>
      <c r="P5" s="643"/>
      <c r="Q5" s="641"/>
      <c r="R5" s="642"/>
      <c r="S5" s="643"/>
      <c r="T5" s="787" t="s">
        <v>239</v>
      </c>
      <c r="U5" s="788"/>
      <c r="V5" s="789"/>
      <c r="W5" s="787" t="s">
        <v>247</v>
      </c>
      <c r="X5" s="788"/>
      <c r="Y5" s="789"/>
      <c r="Z5" s="787" t="s">
        <v>240</v>
      </c>
      <c r="AA5" s="788"/>
      <c r="AB5" s="789"/>
      <c r="AC5" s="787" t="s">
        <v>242</v>
      </c>
      <c r="AD5" s="788"/>
      <c r="AE5" s="789"/>
      <c r="AG5" s="646"/>
      <c r="AH5" s="801"/>
      <c r="AI5" s="801"/>
      <c r="AJ5" s="801"/>
      <c r="AK5" s="801"/>
      <c r="AL5" s="801"/>
      <c r="AM5" s="801"/>
      <c r="AN5" s="801"/>
      <c r="AO5" s="801"/>
      <c r="AP5" s="801"/>
      <c r="AQ5" s="801"/>
      <c r="AR5" s="801"/>
      <c r="AS5" s="801"/>
      <c r="AT5" s="801"/>
      <c r="AU5" s="801"/>
      <c r="AV5" s="801"/>
    </row>
    <row r="6" spans="1:48" ht="20.100000000000001" customHeight="1" x14ac:dyDescent="0.3">
      <c r="A6" s="411"/>
      <c r="B6" s="790" t="s">
        <v>243</v>
      </c>
      <c r="C6" s="791"/>
      <c r="D6" s="792"/>
      <c r="E6" s="791" t="s">
        <v>244</v>
      </c>
      <c r="F6" s="791"/>
      <c r="G6" s="792"/>
      <c r="H6" s="791" t="s">
        <v>243</v>
      </c>
      <c r="I6" s="791"/>
      <c r="J6" s="792"/>
      <c r="K6" s="790" t="s">
        <v>245</v>
      </c>
      <c r="L6" s="791"/>
      <c r="M6" s="792"/>
      <c r="N6" s="790" t="s">
        <v>55</v>
      </c>
      <c r="O6" s="791"/>
      <c r="P6" s="792"/>
      <c r="Q6" s="790" t="s">
        <v>60</v>
      </c>
      <c r="R6" s="791"/>
      <c r="S6" s="792"/>
      <c r="T6" s="790" t="s">
        <v>246</v>
      </c>
      <c r="U6" s="791"/>
      <c r="V6" s="792"/>
      <c r="W6" s="790" t="s">
        <v>305</v>
      </c>
      <c r="X6" s="791"/>
      <c r="Y6" s="792"/>
      <c r="Z6" s="790" t="s">
        <v>243</v>
      </c>
      <c r="AA6" s="791"/>
      <c r="AB6" s="792"/>
      <c r="AC6" s="790" t="s">
        <v>248</v>
      </c>
      <c r="AD6" s="791"/>
      <c r="AE6" s="792"/>
      <c r="AG6" s="646"/>
      <c r="AH6" s="801"/>
      <c r="AI6" s="801"/>
      <c r="AJ6" s="801"/>
      <c r="AK6" s="801"/>
      <c r="AL6" s="801"/>
      <c r="AM6" s="801"/>
      <c r="AN6" s="801"/>
      <c r="AO6" s="801"/>
      <c r="AP6" s="801"/>
      <c r="AQ6" s="801"/>
      <c r="AR6" s="801"/>
      <c r="AS6" s="801"/>
      <c r="AT6" s="801"/>
      <c r="AU6" s="801"/>
      <c r="AV6" s="801"/>
    </row>
    <row r="7" spans="1:48" ht="20.100000000000001" customHeight="1" x14ac:dyDescent="0.3">
      <c r="A7" s="411"/>
      <c r="B7" s="412"/>
      <c r="C7" s="412"/>
      <c r="D7" s="413" t="s">
        <v>85</v>
      </c>
      <c r="E7" s="412"/>
      <c r="F7" s="412"/>
      <c r="G7" s="413" t="s">
        <v>85</v>
      </c>
      <c r="H7" s="412"/>
      <c r="I7" s="412"/>
      <c r="J7" s="413" t="s">
        <v>85</v>
      </c>
      <c r="K7" s="412"/>
      <c r="L7" s="412"/>
      <c r="M7" s="413" t="s">
        <v>85</v>
      </c>
      <c r="N7" s="412"/>
      <c r="O7" s="412"/>
      <c r="P7" s="413" t="s">
        <v>85</v>
      </c>
      <c r="Q7" s="412"/>
      <c r="R7" s="412"/>
      <c r="S7" s="413" t="s">
        <v>85</v>
      </c>
      <c r="T7" s="412"/>
      <c r="U7" s="412"/>
      <c r="V7" s="413" t="s">
        <v>85</v>
      </c>
      <c r="W7" s="412"/>
      <c r="X7" s="412"/>
      <c r="Y7" s="413" t="s">
        <v>85</v>
      </c>
      <c r="Z7" s="412"/>
      <c r="AA7" s="412"/>
      <c r="AB7" s="413" t="s">
        <v>85</v>
      </c>
      <c r="AC7" s="412"/>
      <c r="AD7" s="412"/>
      <c r="AE7" s="413" t="s">
        <v>85</v>
      </c>
      <c r="AG7" s="646"/>
      <c r="AH7" s="646"/>
      <c r="AI7" s="646"/>
      <c r="AJ7" s="646"/>
      <c r="AK7" s="646"/>
      <c r="AL7" s="646"/>
      <c r="AM7" s="646"/>
      <c r="AN7" s="646"/>
      <c r="AO7" s="646"/>
      <c r="AP7" s="646"/>
      <c r="AQ7" s="646"/>
      <c r="AR7" s="646"/>
      <c r="AS7" s="646"/>
      <c r="AT7" s="646"/>
      <c r="AU7" s="646"/>
      <c r="AV7" s="646"/>
    </row>
    <row r="8" spans="1:48" ht="20.100000000000001" customHeight="1" x14ac:dyDescent="0.35">
      <c r="A8" s="414" t="s">
        <v>250</v>
      </c>
      <c r="B8" s="415">
        <v>2024</v>
      </c>
      <c r="C8" s="415">
        <v>2025</v>
      </c>
      <c r="D8" s="416" t="s">
        <v>88</v>
      </c>
      <c r="E8" s="415">
        <v>2024</v>
      </c>
      <c r="F8" s="415">
        <v>2025</v>
      </c>
      <c r="G8" s="416" t="s">
        <v>88</v>
      </c>
      <c r="H8" s="415">
        <v>2024</v>
      </c>
      <c r="I8" s="415">
        <v>2025</v>
      </c>
      <c r="J8" s="416" t="s">
        <v>88</v>
      </c>
      <c r="K8" s="415">
        <v>2024</v>
      </c>
      <c r="L8" s="415">
        <v>2025</v>
      </c>
      <c r="M8" s="416" t="s">
        <v>88</v>
      </c>
      <c r="N8" s="415">
        <v>2024</v>
      </c>
      <c r="O8" s="415">
        <v>2025</v>
      </c>
      <c r="P8" s="416" t="s">
        <v>88</v>
      </c>
      <c r="Q8" s="415">
        <v>2024</v>
      </c>
      <c r="R8" s="415">
        <v>2025</v>
      </c>
      <c r="S8" s="416" t="s">
        <v>88</v>
      </c>
      <c r="T8" s="415">
        <v>2024</v>
      </c>
      <c r="U8" s="415">
        <v>2025</v>
      </c>
      <c r="V8" s="416" t="s">
        <v>88</v>
      </c>
      <c r="W8" s="415">
        <v>2024</v>
      </c>
      <c r="X8" s="415">
        <v>2025</v>
      </c>
      <c r="Y8" s="416" t="s">
        <v>88</v>
      </c>
      <c r="Z8" s="415">
        <v>2024</v>
      </c>
      <c r="AA8" s="415">
        <v>2025</v>
      </c>
      <c r="AB8" s="416" t="s">
        <v>88</v>
      </c>
      <c r="AC8" s="415">
        <v>2024</v>
      </c>
      <c r="AD8" s="415">
        <v>2025</v>
      </c>
      <c r="AE8" s="416" t="s">
        <v>88</v>
      </c>
      <c r="AG8" s="417"/>
      <c r="AH8" s="418"/>
      <c r="AI8" s="418"/>
      <c r="AJ8" s="417"/>
      <c r="AK8" s="418"/>
      <c r="AL8" s="418"/>
      <c r="AM8" s="417"/>
      <c r="AN8" s="418"/>
      <c r="AO8" s="418"/>
      <c r="AP8" s="417"/>
      <c r="AQ8" s="418"/>
      <c r="AR8" s="418"/>
      <c r="AS8" s="417"/>
      <c r="AT8" s="418"/>
      <c r="AU8" s="418"/>
      <c r="AV8" s="417"/>
    </row>
    <row r="9" spans="1:48" s="627" customFormat="1" ht="20.100000000000001" customHeight="1" x14ac:dyDescent="0.35">
      <c r="A9" s="535"/>
      <c r="B9" s="427"/>
      <c r="C9" s="427"/>
      <c r="D9" s="427"/>
      <c r="E9" s="427"/>
      <c r="F9" s="427"/>
      <c r="G9" s="427"/>
      <c r="H9" s="629"/>
      <c r="I9" s="427"/>
      <c r="J9" s="427"/>
      <c r="K9" s="396"/>
      <c r="L9" s="396"/>
      <c r="M9" s="427"/>
      <c r="N9" s="630"/>
      <c r="O9" s="427"/>
      <c r="P9" s="427"/>
      <c r="Q9" s="396"/>
      <c r="R9" s="396"/>
      <c r="S9" s="427"/>
      <c r="T9" s="427"/>
      <c r="U9" s="427"/>
      <c r="V9" s="427"/>
      <c r="W9" s="420"/>
      <c r="X9" s="427"/>
      <c r="Y9" s="419"/>
      <c r="Z9" s="427"/>
      <c r="AA9" s="427"/>
      <c r="AB9" s="427"/>
      <c r="AC9" s="427"/>
      <c r="AD9" s="427"/>
      <c r="AE9" s="427"/>
    </row>
    <row r="10" spans="1:48" s="632" customFormat="1" ht="20.100000000000001" customHeight="1" x14ac:dyDescent="0.35">
      <c r="A10" s="610" t="s">
        <v>454</v>
      </c>
      <c r="B10" s="718">
        <v>18.52</v>
      </c>
      <c r="C10" s="427">
        <v>18.97</v>
      </c>
      <c r="D10" s="427"/>
      <c r="E10" s="427">
        <v>31.026390136867626</v>
      </c>
      <c r="F10" s="427">
        <v>25.857299565185965</v>
      </c>
      <c r="G10" s="427"/>
      <c r="H10" s="427">
        <v>27.9</v>
      </c>
      <c r="I10" s="427">
        <v>30</v>
      </c>
      <c r="J10" s="427"/>
      <c r="K10" s="396">
        <v>7.14</v>
      </c>
      <c r="L10" s="396">
        <v>14.55</v>
      </c>
      <c r="M10" s="427"/>
      <c r="N10" s="420">
        <v>24</v>
      </c>
      <c r="O10" s="427">
        <v>25.9</v>
      </c>
      <c r="P10" s="427"/>
      <c r="Q10" s="427"/>
      <c r="R10" s="427"/>
      <c r="S10" s="427"/>
      <c r="T10" s="427"/>
      <c r="U10" s="427"/>
      <c r="V10" s="427"/>
      <c r="W10" s="631">
        <v>38.365474356170942</v>
      </c>
      <c r="X10" s="456">
        <v>36.53736539949719</v>
      </c>
      <c r="Y10" s="427"/>
      <c r="Z10" s="456"/>
      <c r="AA10" s="729">
        <v>12.1130660558849</v>
      </c>
      <c r="AB10" s="427"/>
      <c r="AC10" s="427"/>
      <c r="AD10" s="427"/>
      <c r="AE10" s="427"/>
    </row>
    <row r="11" spans="1:48" s="632" customFormat="1" ht="20.100000000000001" customHeight="1" x14ac:dyDescent="0.35">
      <c r="A11" s="719" t="s">
        <v>455</v>
      </c>
      <c r="B11" s="694"/>
      <c r="C11" s="76"/>
      <c r="D11" s="428"/>
      <c r="E11" s="76"/>
      <c r="F11" s="76"/>
      <c r="G11" s="428"/>
      <c r="H11" s="633"/>
      <c r="I11" s="76"/>
      <c r="J11" s="428"/>
      <c r="K11" s="76"/>
      <c r="L11" s="76"/>
      <c r="M11" s="428"/>
      <c r="N11" s="422"/>
      <c r="O11" s="76"/>
      <c r="P11" s="428"/>
      <c r="Q11" s="76"/>
      <c r="R11" s="76"/>
      <c r="S11" s="428"/>
      <c r="T11" s="427"/>
      <c r="U11" s="76"/>
      <c r="V11" s="428"/>
      <c r="W11" s="603"/>
      <c r="X11" s="76"/>
      <c r="Y11" s="428"/>
      <c r="Z11" s="76"/>
      <c r="AA11" s="76">
        <v>66.546062990000038</v>
      </c>
      <c r="AB11" s="428"/>
      <c r="AC11" s="428">
        <f t="shared" ref="AC11:AD12" si="0">B11+E11+H11+K11+N11+Q11+T11+W11+Z11</f>
        <v>0</v>
      </c>
      <c r="AD11" s="76">
        <f t="shared" si="0"/>
        <v>66.546062990000038</v>
      </c>
      <c r="AE11" s="428" t="str">
        <f>IF(AC11=0, "    ---- ", IF(ABS(ROUND(100/AC11*AD11-100,1))&lt;999,ROUND(100/AC11*AD11-100,1),IF(ROUND(100/AC11*AD11-100,1)&gt;999,999,-999)))</f>
        <v xml:space="preserve">    ---- </v>
      </c>
    </row>
    <row r="12" spans="1:48" s="632" customFormat="1" ht="20.100000000000001" customHeight="1" x14ac:dyDescent="0.35">
      <c r="A12" s="610" t="s">
        <v>456</v>
      </c>
      <c r="B12" s="720">
        <v>7680.7510000000002</v>
      </c>
      <c r="C12" s="428">
        <v>9124</v>
      </c>
      <c r="D12" s="428">
        <f>IF(B12=0, "    ---- ", IF(ABS(ROUND(100/B12*C12-100,1))&lt;999,ROUND(100/B12*C12-100,1),IF(ROUND(100/B12*C12-100,1)&gt;999,999,-999)))</f>
        <v>18.8</v>
      </c>
      <c r="E12" s="428"/>
      <c r="F12" s="428"/>
      <c r="G12" s="428"/>
      <c r="H12" s="633"/>
      <c r="I12" s="428"/>
      <c r="J12" s="428"/>
      <c r="K12" s="435">
        <v>315.3</v>
      </c>
      <c r="L12" s="397">
        <v>399</v>
      </c>
      <c r="M12" s="428">
        <f t="shared" ref="M12:M13" si="1">IF(K12=0, "    ---- ", IF(ABS(ROUND(100/K12*L12-100,1))&lt;999,ROUND(100/K12*L12-100,1),IF(ROUND(100/K12*L12-100,1)&gt;999,999,-999)))</f>
        <v>26.5</v>
      </c>
      <c r="N12" s="422">
        <v>123236</v>
      </c>
      <c r="O12" s="428">
        <v>144513.70622805002</v>
      </c>
      <c r="P12" s="428">
        <f t="shared" ref="P12" si="2">IF(N12=0, "    ---- ", IF(ABS(ROUND(100/N12*O12-100,1))&lt;999,ROUND(100/N12*O12-100,1),IF(ROUND(100/N12*O12-100,1)&gt;999,999,-999)))</f>
        <v>17.3</v>
      </c>
      <c r="Q12" s="397">
        <v>5899</v>
      </c>
      <c r="R12" s="397">
        <v>6215</v>
      </c>
      <c r="S12" s="428">
        <f t="shared" ref="S12" si="3">IF(Q12=0, "    ---- ", IF(ABS(ROUND(100/Q12*R12-100,1))&lt;999,ROUND(100/Q12*R12-100,1),IF(ROUND(100/Q12*R12-100,1)&gt;999,999,-999)))</f>
        <v>5.4</v>
      </c>
      <c r="T12" s="428">
        <v>32468</v>
      </c>
      <c r="U12" s="428">
        <v>36219</v>
      </c>
      <c r="V12" s="428">
        <f>IF(T12=0, "    ---- ", IF(ABS(ROUND(100/T12*U12-100,1))&lt;999,ROUND(100/T12*U12-100,1),IF(ROUND(100/T12*U12-100,1)&gt;999,999,-999)))</f>
        <v>11.6</v>
      </c>
      <c r="W12" s="603">
        <v>3722</v>
      </c>
      <c r="X12" s="449">
        <v>4085.2558919600019</v>
      </c>
      <c r="Y12" s="428">
        <f>IF(W12=0, "    ---- ", IF(ABS(ROUND(100/W12*X12-100,1))&lt;999,ROUND(100/W12*X12-100,1),IF(ROUND(100/W12*X12-100,1)&gt;999,999,-999)))</f>
        <v>9.8000000000000007</v>
      </c>
      <c r="Z12" s="449">
        <v>14128</v>
      </c>
      <c r="AA12" s="449">
        <v>16849.178522760001</v>
      </c>
      <c r="AB12" s="428">
        <f>IF(Z12=0, "    ---- ", IF(ABS(ROUND(100/Z12*AA12-100,1))&lt;999,ROUND(100/Z12*AA12-100,1),IF(ROUND(100/Z12*AA12-100,1)&gt;999,999,-999)))</f>
        <v>19.3</v>
      </c>
      <c r="AC12" s="428">
        <f t="shared" si="0"/>
        <v>187449.05100000001</v>
      </c>
      <c r="AD12" s="428">
        <f t="shared" si="0"/>
        <v>217405.14064277001</v>
      </c>
      <c r="AE12" s="428">
        <f>IF(AC12=0, "    ---- ", IF(ABS(ROUND(100/AC12*AD12-100,1))&lt;999,ROUND(100/AC12*AD12-100,1),IF(ROUND(100/AC12*AD12-100,1)&gt;999,999,-999)))</f>
        <v>16</v>
      </c>
    </row>
    <row r="13" spans="1:48" s="632" customFormat="1" ht="20.100000000000001" customHeight="1" x14ac:dyDescent="0.35">
      <c r="A13" s="612" t="s">
        <v>457</v>
      </c>
      <c r="B13" s="721">
        <v>-6022.8429999999998</v>
      </c>
      <c r="C13" s="429">
        <v>-4719.165</v>
      </c>
      <c r="D13" s="429">
        <f>IF(B13=0, "    ---- ", IF(ABS(ROUND(100/B13*C13-100,1))&lt;999,ROUND(100/B13*C13-100,1),IF(ROUND(100/B13*C13-100,1)&gt;999,999,-999)))</f>
        <v>-21.6</v>
      </c>
      <c r="E13" s="429">
        <v>36.5</v>
      </c>
      <c r="F13" s="429">
        <v>2.16</v>
      </c>
      <c r="G13" s="429"/>
      <c r="H13" s="634"/>
      <c r="I13" s="429"/>
      <c r="J13" s="429"/>
      <c r="K13" s="398">
        <v>-15</v>
      </c>
      <c r="L13" s="398">
        <v>-11</v>
      </c>
      <c r="M13" s="429">
        <f t="shared" si="1"/>
        <v>-26.7</v>
      </c>
      <c r="N13" s="424">
        <v>-12501</v>
      </c>
      <c r="O13" s="429">
        <v>-8130</v>
      </c>
      <c r="P13" s="429">
        <f>IF(N13=0, "    ---- ", IF(ABS(ROUND(100/N13*O13-100,1))&lt;999,ROUND(100/N13*O13-100,1),IF(ROUND(100/N13*O13-100,1)&gt;999,999,-999)))</f>
        <v>-35</v>
      </c>
      <c r="Q13" s="398">
        <v>-2969</v>
      </c>
      <c r="R13" s="398">
        <v>-2539</v>
      </c>
      <c r="S13" s="429">
        <f>IF(Q13=0, "    ---- ", IF(ABS(ROUND(100/Q13*R13-100,1))&lt;999,ROUND(100/Q13*R13-100,1),IF(ROUND(100/Q13*R13-100,1)&gt;999,999,-999)))</f>
        <v>-14.5</v>
      </c>
      <c r="T13" s="429"/>
      <c r="U13" s="429"/>
      <c r="V13" s="429"/>
      <c r="W13" s="613">
        <v>-63.011000000000003</v>
      </c>
      <c r="X13" s="451">
        <v>-42.963000000000001</v>
      </c>
      <c r="Y13" s="429">
        <f>IF(W13=0, "    ---- ", IF(ABS(ROUND(100/W13*X13-100,1))&lt;999,ROUND(100/W13*X13-100,1),IF(ROUND(100/W13*X13-100,1)&gt;999,999,-999)))</f>
        <v>-31.8</v>
      </c>
      <c r="Z13" s="451"/>
      <c r="AA13" s="451">
        <v>-12099.57807449</v>
      </c>
      <c r="AB13" s="429"/>
      <c r="AC13" s="429">
        <f>B13+E13+H13+K13+N13+Q13+T13+W13+Z13</f>
        <v>-21534.353999999999</v>
      </c>
      <c r="AD13" s="429">
        <f>C13+F13+I13+L13+O13+R13+U13+X13+AA13</f>
        <v>-27539.546074490001</v>
      </c>
      <c r="AE13" s="429">
        <f>IF(AC13=0, "    ---- ", IF(ABS(ROUND(100/AC13*AD13-100,1))&lt;999,ROUND(100/AC13*AD13-100,1),IF(ROUND(100/AC13*AD13-100,1)&gt;999,999,-999)))</f>
        <v>27.9</v>
      </c>
    </row>
    <row r="14" spans="1:48" s="632" customFormat="1" ht="20.100000000000001" customHeight="1" x14ac:dyDescent="0.35">
      <c r="A14" s="457"/>
      <c r="B14" s="456"/>
      <c r="C14" s="456"/>
      <c r="D14" s="456"/>
      <c r="E14" s="635"/>
      <c r="F14" s="456"/>
      <c r="G14" s="456"/>
      <c r="H14" s="635"/>
      <c r="I14" s="456"/>
      <c r="J14" s="456"/>
      <c r="K14" s="454"/>
      <c r="L14" s="454"/>
      <c r="M14" s="456"/>
      <c r="N14" s="456"/>
      <c r="O14" s="456"/>
      <c r="P14" s="456"/>
      <c r="Q14" s="454"/>
      <c r="R14" s="454"/>
      <c r="S14" s="456"/>
      <c r="T14" s="456"/>
      <c r="U14" s="456"/>
      <c r="V14" s="456"/>
      <c r="W14" s="456"/>
      <c r="X14" s="456"/>
      <c r="Y14" s="456"/>
      <c r="Z14" s="456"/>
      <c r="AA14" s="456"/>
      <c r="AB14" s="456"/>
      <c r="AC14" s="456"/>
      <c r="AD14" s="456"/>
      <c r="AE14" s="456"/>
    </row>
    <row r="15" spans="1:48" s="632" customFormat="1" ht="20.100000000000001" customHeight="1" x14ac:dyDescent="0.3">
      <c r="A15" s="457" t="s">
        <v>458</v>
      </c>
      <c r="B15" s="455"/>
      <c r="C15" s="455"/>
      <c r="D15" s="455"/>
      <c r="E15" s="636"/>
      <c r="F15" s="455"/>
      <c r="G15" s="455"/>
      <c r="H15" s="636"/>
      <c r="I15" s="455"/>
      <c r="J15" s="455"/>
      <c r="K15" s="455"/>
      <c r="L15" s="455"/>
      <c r="M15" s="455"/>
      <c r="N15" s="455"/>
      <c r="O15" s="455"/>
      <c r="P15" s="455"/>
      <c r="Q15" s="455"/>
      <c r="R15" s="455"/>
      <c r="S15" s="455"/>
      <c r="T15" s="455"/>
      <c r="U15" s="455"/>
      <c r="V15" s="455"/>
      <c r="W15" s="455"/>
      <c r="X15" s="455"/>
      <c r="Y15" s="455"/>
      <c r="Z15" s="455"/>
      <c r="AA15" s="455"/>
      <c r="AB15" s="455"/>
      <c r="AC15" s="450"/>
      <c r="AD15" s="455"/>
      <c r="AE15" s="455"/>
    </row>
    <row r="16" spans="1:48" s="632" customFormat="1" ht="19.5" customHeight="1" x14ac:dyDescent="0.3">
      <c r="A16" s="457" t="s">
        <v>482</v>
      </c>
      <c r="B16" s="455"/>
      <c r="C16" s="455"/>
      <c r="D16" s="455"/>
      <c r="E16" s="636"/>
      <c r="F16" s="455"/>
      <c r="G16" s="455"/>
      <c r="H16" s="636"/>
      <c r="I16" s="455"/>
      <c r="J16" s="455"/>
      <c r="K16" s="455"/>
      <c r="L16" s="455"/>
      <c r="M16" s="455"/>
      <c r="N16" s="455"/>
      <c r="O16" s="455"/>
      <c r="P16" s="455"/>
      <c r="Q16" s="455"/>
      <c r="R16" s="455"/>
      <c r="S16" s="455"/>
      <c r="T16" s="455"/>
      <c r="U16" s="455"/>
      <c r="V16" s="455"/>
      <c r="W16" s="455"/>
      <c r="X16" s="455"/>
      <c r="Y16" s="455"/>
      <c r="Z16" s="455"/>
      <c r="AA16" s="455"/>
      <c r="AB16" s="455"/>
      <c r="AC16" s="450"/>
      <c r="AD16" s="455"/>
      <c r="AE16" s="455"/>
    </row>
    <row r="17" spans="1:31" s="632" customFormat="1" ht="20.100000000000001" customHeight="1" x14ac:dyDescent="0.3">
      <c r="A17" s="722" t="s">
        <v>483</v>
      </c>
      <c r="B17" s="455"/>
      <c r="C17" s="455">
        <f>AVERAGE(C18:C22)</f>
        <v>3.69</v>
      </c>
      <c r="D17" s="455"/>
      <c r="F17" s="455">
        <f>AVERAGE(F18:F22)</f>
        <v>2.734</v>
      </c>
      <c r="G17" s="455"/>
      <c r="H17" s="455"/>
      <c r="I17" s="455"/>
      <c r="J17" s="455"/>
      <c r="K17" s="455"/>
      <c r="L17" s="455">
        <f>AVERAGE(L18:L22)</f>
        <v>3.2664</v>
      </c>
      <c r="M17" s="455"/>
      <c r="N17" s="455"/>
      <c r="O17" s="455">
        <f>AVERAGE(O18:O22)</f>
        <v>5.622493314894415</v>
      </c>
      <c r="P17" s="455"/>
      <c r="Q17" s="455"/>
      <c r="R17" s="455">
        <f>AVERAGE(R18:R22)</f>
        <v>4.3600000000000003</v>
      </c>
      <c r="S17" s="455"/>
      <c r="T17" s="455"/>
      <c r="U17" s="455">
        <f>AVERAGE(U18:U22)</f>
        <v>6.1480000000000006</v>
      </c>
      <c r="V17" s="455"/>
      <c r="W17" s="455"/>
      <c r="X17" s="455">
        <f>AVERAGE(X18:X22)</f>
        <v>4.3204907102962311</v>
      </c>
      <c r="Y17" s="455"/>
      <c r="Z17" s="455"/>
      <c r="AA17" s="455">
        <f>AVERAGE(AA18:AA22)</f>
        <v>3.0960000000000005</v>
      </c>
      <c r="AB17" s="455"/>
      <c r="AC17" s="450"/>
      <c r="AD17" s="455"/>
      <c r="AE17" s="455"/>
    </row>
    <row r="18" spans="1:31" s="632" customFormat="1" ht="20.100000000000001" customHeight="1" x14ac:dyDescent="0.35">
      <c r="A18" s="723">
        <v>2025</v>
      </c>
      <c r="B18" s="455"/>
      <c r="C18" s="456">
        <v>5.09</v>
      </c>
      <c r="D18" s="455"/>
      <c r="F18" s="456">
        <v>5.5</v>
      </c>
      <c r="G18" s="455"/>
      <c r="H18" s="636"/>
      <c r="I18" s="455"/>
      <c r="J18" s="455"/>
      <c r="K18" s="455"/>
      <c r="L18" s="456">
        <v>4.25</v>
      </c>
      <c r="M18" s="455"/>
      <c r="N18" s="455"/>
      <c r="O18" s="455">
        <v>8.56</v>
      </c>
      <c r="P18" s="455"/>
      <c r="Q18" s="455"/>
      <c r="R18" s="456">
        <v>6</v>
      </c>
      <c r="S18" s="455"/>
      <c r="T18" s="455"/>
      <c r="U18" s="456">
        <v>8.3000000000000007</v>
      </c>
      <c r="V18" s="455"/>
      <c r="W18" s="455"/>
      <c r="X18" s="456">
        <v>6.0009011544413404</v>
      </c>
      <c r="Y18" s="455"/>
      <c r="Z18" s="455"/>
      <c r="AA18" s="454">
        <v>5.37</v>
      </c>
      <c r="AB18" s="455"/>
      <c r="AC18" s="450"/>
      <c r="AD18" s="455"/>
      <c r="AE18" s="455"/>
    </row>
    <row r="19" spans="1:31" s="627" customFormat="1" ht="20.100000000000001" customHeight="1" x14ac:dyDescent="0.35">
      <c r="A19" s="723">
        <v>2024</v>
      </c>
      <c r="B19" s="456"/>
      <c r="C19" s="724">
        <v>4.72</v>
      </c>
      <c r="D19" s="456"/>
      <c r="F19" s="421">
        <v>5.07</v>
      </c>
      <c r="G19" s="456"/>
      <c r="H19" s="635"/>
      <c r="I19" s="456"/>
      <c r="J19" s="456"/>
      <c r="K19" s="456"/>
      <c r="L19" s="456">
        <v>3.99</v>
      </c>
      <c r="M19" s="456"/>
      <c r="N19" s="456"/>
      <c r="O19" s="454">
        <v>8.7200000000000006</v>
      </c>
      <c r="P19" s="456"/>
      <c r="Q19" s="456"/>
      <c r="R19" s="456">
        <v>4.4000000000000004</v>
      </c>
      <c r="S19" s="456"/>
      <c r="T19" s="456"/>
      <c r="U19" s="454">
        <v>7.1</v>
      </c>
      <c r="V19" s="456"/>
      <c r="W19" s="456"/>
      <c r="X19" s="454">
        <v>5.3634607283506304</v>
      </c>
      <c r="Y19" s="456"/>
      <c r="Z19" s="456"/>
      <c r="AA19" s="454">
        <v>4.91</v>
      </c>
      <c r="AB19" s="456"/>
      <c r="AC19" s="449"/>
      <c r="AD19" s="456"/>
      <c r="AE19" s="456"/>
    </row>
    <row r="20" spans="1:31" s="632" customFormat="1" ht="20.100000000000001" customHeight="1" x14ac:dyDescent="0.35">
      <c r="A20" s="723">
        <v>2023</v>
      </c>
      <c r="B20" s="456"/>
      <c r="C20" s="724">
        <v>3.14</v>
      </c>
      <c r="D20" s="456"/>
      <c r="F20" s="456">
        <v>1.22</v>
      </c>
      <c r="G20" s="456"/>
      <c r="H20" s="635"/>
      <c r="I20" s="456"/>
      <c r="J20" s="456"/>
      <c r="K20" s="456"/>
      <c r="L20" s="456">
        <v>2.2610000000000001</v>
      </c>
      <c r="M20" s="456"/>
      <c r="N20" s="456"/>
      <c r="O20" s="454">
        <v>6.3941972727610707</v>
      </c>
      <c r="P20" s="456"/>
      <c r="Q20" s="456"/>
      <c r="R20" s="456">
        <v>2.5</v>
      </c>
      <c r="S20" s="456"/>
      <c r="T20" s="456"/>
      <c r="U20" s="454">
        <v>5.4</v>
      </c>
      <c r="V20" s="456"/>
      <c r="W20" s="456"/>
      <c r="X20" s="454">
        <v>3.0955783508854302</v>
      </c>
      <c r="Y20" s="456"/>
      <c r="Z20" s="456"/>
      <c r="AA20" s="454">
        <v>2.71</v>
      </c>
      <c r="AB20" s="456"/>
      <c r="AC20" s="449"/>
      <c r="AD20" s="456"/>
      <c r="AE20" s="456"/>
    </row>
    <row r="21" spans="1:31" s="632" customFormat="1" ht="20.100000000000001" customHeight="1" x14ac:dyDescent="0.35">
      <c r="A21" s="723">
        <v>2022</v>
      </c>
      <c r="B21" s="456"/>
      <c r="C21" s="724">
        <v>0.98</v>
      </c>
      <c r="D21" s="456"/>
      <c r="F21" s="456">
        <v>0.6</v>
      </c>
      <c r="G21" s="456"/>
      <c r="H21" s="635"/>
      <c r="I21" s="456"/>
      <c r="J21" s="456"/>
      <c r="K21" s="456"/>
      <c r="L21" s="456">
        <v>1.931</v>
      </c>
      <c r="M21" s="456"/>
      <c r="N21" s="456"/>
      <c r="O21" s="454">
        <v>-3.9206710477550644</v>
      </c>
      <c r="P21" s="456"/>
      <c r="Q21" s="456"/>
      <c r="R21" s="456">
        <v>0.8</v>
      </c>
      <c r="S21" s="456"/>
      <c r="T21" s="456"/>
      <c r="U21" s="454">
        <v>-0.3</v>
      </c>
      <c r="V21" s="456"/>
      <c r="W21" s="456"/>
      <c r="X21" s="454">
        <v>-2.3071379296748402</v>
      </c>
      <c r="Y21" s="456"/>
      <c r="Z21" s="456"/>
      <c r="AA21" s="454">
        <v>-1.45</v>
      </c>
      <c r="AB21" s="456"/>
      <c r="AC21" s="449"/>
      <c r="AD21" s="456"/>
      <c r="AE21" s="456"/>
    </row>
    <row r="22" spans="1:31" s="632" customFormat="1" ht="20.100000000000001" customHeight="1" x14ac:dyDescent="0.35">
      <c r="A22" s="723">
        <v>2021</v>
      </c>
      <c r="B22" s="456"/>
      <c r="C22" s="724">
        <v>4.5199999999999996</v>
      </c>
      <c r="D22" s="456"/>
      <c r="F22" s="456">
        <v>1.28</v>
      </c>
      <c r="G22" s="456"/>
      <c r="H22" s="635"/>
      <c r="I22" s="456"/>
      <c r="J22" s="456"/>
      <c r="K22" s="456"/>
      <c r="L22" s="456">
        <v>3.9</v>
      </c>
      <c r="M22" s="456"/>
      <c r="N22" s="456"/>
      <c r="O22" s="454">
        <v>8.3589403494660708</v>
      </c>
      <c r="P22" s="456"/>
      <c r="Q22" s="456"/>
      <c r="R22" s="456">
        <v>8.1</v>
      </c>
      <c r="S22" s="456"/>
      <c r="T22" s="456"/>
      <c r="U22" s="454">
        <v>10.24</v>
      </c>
      <c r="V22" s="456"/>
      <c r="W22" s="456"/>
      <c r="X22" s="454">
        <v>9.4496512474785899</v>
      </c>
      <c r="Y22" s="456"/>
      <c r="Z22" s="456"/>
      <c r="AA22" s="454">
        <v>3.94</v>
      </c>
      <c r="AB22" s="456"/>
      <c r="AC22" s="449"/>
      <c r="AD22" s="456"/>
      <c r="AE22" s="456"/>
    </row>
    <row r="23" spans="1:31" s="632" customFormat="1" ht="20.100000000000001" customHeight="1" x14ac:dyDescent="0.35">
      <c r="A23" s="725" t="s">
        <v>459</v>
      </c>
      <c r="B23" s="456"/>
      <c r="C23" s="456"/>
      <c r="D23" s="456"/>
      <c r="E23" s="635"/>
      <c r="F23" s="456"/>
      <c r="G23" s="456"/>
      <c r="H23" s="635"/>
      <c r="I23" s="456"/>
      <c r="J23" s="456"/>
      <c r="K23" s="456"/>
      <c r="L23" s="456"/>
      <c r="M23" s="456"/>
      <c r="N23" s="456"/>
      <c r="O23" s="456"/>
      <c r="P23" s="456"/>
      <c r="Q23" s="456"/>
      <c r="R23" s="456"/>
      <c r="S23" s="456"/>
      <c r="T23" s="456"/>
      <c r="U23" s="456"/>
      <c r="V23" s="456"/>
      <c r="W23" s="456"/>
      <c r="X23" s="456"/>
      <c r="Y23" s="456"/>
      <c r="Z23" s="456"/>
      <c r="AA23" s="456"/>
      <c r="AB23" s="456"/>
      <c r="AC23" s="449"/>
      <c r="AD23" s="456"/>
      <c r="AE23" s="456"/>
    </row>
    <row r="24" spans="1:31" s="632" customFormat="1" ht="20.100000000000001" customHeight="1" x14ac:dyDescent="0.35">
      <c r="A24" s="723">
        <v>2025</v>
      </c>
      <c r="B24" s="456"/>
      <c r="C24" s="456">
        <v>4.5999999999999996</v>
      </c>
      <c r="D24" s="456"/>
      <c r="E24" s="635"/>
      <c r="F24" s="456"/>
      <c r="G24" s="456"/>
      <c r="H24" s="635"/>
      <c r="I24" s="456"/>
      <c r="J24" s="456"/>
      <c r="K24" s="456"/>
      <c r="L24" s="456"/>
      <c r="M24" s="456"/>
      <c r="N24" s="456"/>
      <c r="O24" s="456"/>
      <c r="P24" s="456"/>
      <c r="Q24" s="456"/>
      <c r="R24" s="456">
        <v>6</v>
      </c>
      <c r="S24" s="456"/>
      <c r="T24" s="456"/>
      <c r="U24" s="456"/>
      <c r="V24" s="456"/>
      <c r="W24" s="456"/>
      <c r="X24" s="456">
        <v>6.9559770885696999</v>
      </c>
      <c r="Y24" s="456"/>
      <c r="Z24" s="456"/>
      <c r="AA24" s="456"/>
      <c r="AB24" s="456"/>
      <c r="AC24" s="449"/>
      <c r="AD24" s="456"/>
      <c r="AE24" s="456"/>
    </row>
    <row r="25" spans="1:31" s="632" customFormat="1" ht="20.100000000000001" customHeight="1" x14ac:dyDescent="0.35">
      <c r="A25" s="723">
        <v>2024</v>
      </c>
      <c r="B25" s="456"/>
      <c r="C25" s="718">
        <v>4.68</v>
      </c>
      <c r="D25" s="456"/>
      <c r="E25" s="635"/>
      <c r="F25" s="456"/>
      <c r="G25" s="456"/>
      <c r="H25" s="635"/>
      <c r="I25" s="456"/>
      <c r="J25" s="456"/>
      <c r="K25" s="456"/>
      <c r="L25" s="456"/>
      <c r="M25" s="456"/>
      <c r="N25" s="456"/>
      <c r="O25" s="456"/>
      <c r="P25" s="456"/>
      <c r="Q25" s="456"/>
      <c r="R25" s="456">
        <v>4.4000000000000004</v>
      </c>
      <c r="S25" s="456"/>
      <c r="T25" s="456"/>
      <c r="U25" s="456"/>
      <c r="V25" s="456"/>
      <c r="W25" s="456"/>
      <c r="X25" s="456">
        <v>5.1556274808600904</v>
      </c>
      <c r="Y25" s="456"/>
      <c r="Z25" s="456"/>
      <c r="AA25" s="456"/>
      <c r="AB25" s="456"/>
      <c r="AC25" s="449"/>
      <c r="AD25" s="456"/>
      <c r="AE25" s="456"/>
    </row>
    <row r="26" spans="1:31" s="632" customFormat="1" ht="20.100000000000001" customHeight="1" x14ac:dyDescent="0.35">
      <c r="A26" s="723">
        <v>2023</v>
      </c>
      <c r="B26" s="456"/>
      <c r="C26" s="718">
        <v>3.09</v>
      </c>
      <c r="D26" s="456"/>
      <c r="E26" s="635"/>
      <c r="F26" s="456"/>
      <c r="G26" s="456"/>
      <c r="H26" s="635"/>
      <c r="I26" s="456"/>
      <c r="J26" s="456"/>
      <c r="K26" s="456"/>
      <c r="L26" s="456"/>
      <c r="M26" s="456"/>
      <c r="N26" s="456"/>
      <c r="O26" s="456"/>
      <c r="P26" s="456"/>
      <c r="Q26" s="456"/>
      <c r="R26" s="456">
        <v>2.5</v>
      </c>
      <c r="S26" s="456"/>
      <c r="T26" s="456"/>
      <c r="U26" s="456"/>
      <c r="V26" s="456"/>
      <c r="W26" s="456"/>
      <c r="X26" s="456">
        <v>3.0892643858577302</v>
      </c>
      <c r="Y26" s="456"/>
      <c r="Z26" s="456"/>
      <c r="AA26" s="456"/>
      <c r="AB26" s="456"/>
      <c r="AC26" s="449"/>
      <c r="AD26" s="456"/>
      <c r="AE26" s="456"/>
    </row>
    <row r="27" spans="1:31" s="632" customFormat="1" ht="20.100000000000001" customHeight="1" x14ac:dyDescent="0.35">
      <c r="A27" s="723">
        <v>2022</v>
      </c>
      <c r="B27" s="456"/>
      <c r="C27" s="718">
        <v>0.33</v>
      </c>
      <c r="D27" s="456"/>
      <c r="E27" s="635"/>
      <c r="F27" s="456"/>
      <c r="G27" s="456"/>
      <c r="H27" s="635"/>
      <c r="I27" s="456"/>
      <c r="J27" s="456"/>
      <c r="K27" s="456"/>
      <c r="L27" s="456"/>
      <c r="M27" s="456"/>
      <c r="N27" s="456"/>
      <c r="O27" s="456"/>
      <c r="P27" s="456"/>
      <c r="Q27" s="456"/>
      <c r="R27" s="456">
        <v>0.8</v>
      </c>
      <c r="S27" s="456"/>
      <c r="T27" s="456"/>
      <c r="U27" s="456"/>
      <c r="V27" s="456"/>
      <c r="W27" s="456"/>
      <c r="X27" s="456">
        <v>-1.42620707786671</v>
      </c>
      <c r="Y27" s="456"/>
      <c r="Z27" s="456"/>
      <c r="AA27" s="456"/>
      <c r="AB27" s="456"/>
      <c r="AC27" s="449"/>
      <c r="AD27" s="456"/>
      <c r="AE27" s="456"/>
    </row>
    <row r="28" spans="1:31" s="632" customFormat="1" ht="20.100000000000001" customHeight="1" x14ac:dyDescent="0.35">
      <c r="A28" s="723">
        <v>2021</v>
      </c>
      <c r="B28" s="456"/>
      <c r="C28" s="718">
        <v>5.07</v>
      </c>
      <c r="D28" s="456"/>
      <c r="E28" s="635"/>
      <c r="F28" s="456"/>
      <c r="G28" s="456"/>
      <c r="H28" s="635"/>
      <c r="I28" s="456"/>
      <c r="J28" s="456"/>
      <c r="K28" s="456"/>
      <c r="L28" s="456"/>
      <c r="M28" s="456"/>
      <c r="N28" s="456"/>
      <c r="O28" s="456"/>
      <c r="P28" s="456"/>
      <c r="Q28" s="456"/>
      <c r="R28" s="456">
        <v>8.1</v>
      </c>
      <c r="S28" s="456"/>
      <c r="T28" s="456"/>
      <c r="U28" s="456"/>
      <c r="V28" s="456"/>
      <c r="W28" s="456"/>
      <c r="X28" s="456">
        <v>9.4582857477536297</v>
      </c>
      <c r="Y28" s="456"/>
      <c r="Z28" s="456"/>
      <c r="AA28" s="456"/>
      <c r="AB28" s="456"/>
      <c r="AC28" s="449"/>
      <c r="AD28" s="456"/>
      <c r="AE28" s="456"/>
    </row>
    <row r="29" spans="1:31" s="632" customFormat="1" ht="20.100000000000001" customHeight="1" x14ac:dyDescent="0.35">
      <c r="A29" s="725" t="s">
        <v>460</v>
      </c>
      <c r="B29" s="456"/>
      <c r="C29" s="456"/>
      <c r="D29" s="456"/>
      <c r="E29" s="635"/>
      <c r="F29" s="456"/>
      <c r="G29" s="456"/>
      <c r="H29" s="635"/>
      <c r="I29" s="456"/>
      <c r="J29" s="456"/>
      <c r="K29" s="456"/>
      <c r="L29" s="456"/>
      <c r="M29" s="456"/>
      <c r="N29" s="456"/>
      <c r="O29" s="456"/>
      <c r="P29" s="456"/>
      <c r="Q29" s="456"/>
      <c r="R29" s="456"/>
      <c r="S29" s="456"/>
      <c r="T29" s="456"/>
      <c r="U29" s="456"/>
      <c r="V29" s="456"/>
      <c r="W29" s="456"/>
      <c r="X29" s="456"/>
      <c r="Y29" s="456"/>
      <c r="Z29" s="456"/>
      <c r="AA29" s="456"/>
      <c r="AB29" s="456"/>
      <c r="AC29" s="449"/>
      <c r="AD29" s="456"/>
      <c r="AE29" s="456"/>
    </row>
    <row r="30" spans="1:31" s="632" customFormat="1" ht="20.100000000000001" customHeight="1" x14ac:dyDescent="0.35">
      <c r="A30" s="723">
        <v>2025</v>
      </c>
      <c r="B30" s="456"/>
      <c r="C30" s="456">
        <v>4.97</v>
      </c>
      <c r="D30" s="456"/>
      <c r="E30" s="635"/>
      <c r="F30" s="637"/>
      <c r="G30" s="456"/>
      <c r="H30" s="635"/>
      <c r="I30" s="637"/>
      <c r="J30" s="456"/>
      <c r="K30" s="456"/>
      <c r="L30" s="456">
        <v>3.61</v>
      </c>
      <c r="M30" s="456"/>
      <c r="N30" s="456"/>
      <c r="O30" s="456"/>
      <c r="P30" s="456"/>
      <c r="Q30" s="456"/>
      <c r="R30" s="456">
        <v>6</v>
      </c>
      <c r="S30" s="456"/>
      <c r="T30" s="456"/>
      <c r="U30" s="456"/>
      <c r="V30" s="456"/>
      <c r="W30" s="456"/>
      <c r="X30" s="456">
        <v>5.4259294418700401</v>
      </c>
      <c r="Y30" s="456"/>
      <c r="Z30" s="456"/>
      <c r="AA30" s="456"/>
      <c r="AB30" s="456"/>
      <c r="AC30" s="449"/>
      <c r="AD30" s="456"/>
      <c r="AE30" s="456"/>
    </row>
    <row r="31" spans="1:31" s="632" customFormat="1" ht="20.100000000000001" customHeight="1" x14ac:dyDescent="0.35">
      <c r="A31" s="723">
        <v>2024</v>
      </c>
      <c r="B31" s="456"/>
      <c r="C31" s="718">
        <v>4.5999999999999996</v>
      </c>
      <c r="D31" s="456"/>
      <c r="E31" s="635"/>
      <c r="F31" s="637"/>
      <c r="G31" s="456"/>
      <c r="H31" s="635"/>
      <c r="I31" s="637"/>
      <c r="J31" s="456"/>
      <c r="K31" s="456"/>
      <c r="L31" s="456">
        <v>3.52</v>
      </c>
      <c r="M31" s="456"/>
      <c r="N31" s="456"/>
      <c r="O31" s="456"/>
      <c r="P31" s="456"/>
      <c r="Q31" s="456"/>
      <c r="R31" s="456">
        <v>4.4000000000000004</v>
      </c>
      <c r="S31" s="456"/>
      <c r="T31" s="456"/>
      <c r="U31" s="456"/>
      <c r="V31" s="456"/>
      <c r="W31" s="456"/>
      <c r="X31" s="454">
        <v>5.5120134751666798</v>
      </c>
      <c r="Y31" s="456"/>
      <c r="Z31" s="456"/>
      <c r="AA31" s="456"/>
      <c r="AB31" s="456"/>
      <c r="AC31" s="449"/>
      <c r="AD31" s="456"/>
      <c r="AE31" s="456"/>
    </row>
    <row r="32" spans="1:31" s="632" customFormat="1" ht="20.100000000000001" customHeight="1" x14ac:dyDescent="0.35">
      <c r="A32" s="723">
        <v>2023</v>
      </c>
      <c r="B32" s="456"/>
      <c r="C32" s="456">
        <v>3.04</v>
      </c>
      <c r="D32" s="456"/>
      <c r="E32" s="635"/>
      <c r="F32" s="637"/>
      <c r="G32" s="456"/>
      <c r="H32" s="635"/>
      <c r="I32" s="637"/>
      <c r="J32" s="456"/>
      <c r="K32" s="456"/>
      <c r="L32" s="456">
        <v>1.228</v>
      </c>
      <c r="M32" s="456"/>
      <c r="N32" s="456"/>
      <c r="O32" s="456"/>
      <c r="P32" s="456"/>
      <c r="Q32" s="456"/>
      <c r="R32" s="456">
        <v>2.5</v>
      </c>
      <c r="S32" s="456"/>
      <c r="T32" s="456"/>
      <c r="U32" s="456"/>
      <c r="V32" s="456"/>
      <c r="W32" s="456"/>
      <c r="X32" s="454">
        <v>3.1635067988680099</v>
      </c>
      <c r="Y32" s="456"/>
      <c r="Z32" s="456"/>
      <c r="AA32" s="456"/>
      <c r="AB32" s="456"/>
      <c r="AC32" s="449"/>
      <c r="AD32" s="456"/>
      <c r="AE32" s="456"/>
    </row>
    <row r="33" spans="1:31" s="632" customFormat="1" ht="20.100000000000001" customHeight="1" x14ac:dyDescent="0.35">
      <c r="A33" s="723">
        <v>2022</v>
      </c>
      <c r="B33" s="456"/>
      <c r="C33" s="456">
        <v>1.19</v>
      </c>
      <c r="D33" s="456"/>
      <c r="E33" s="635"/>
      <c r="F33" s="637"/>
      <c r="G33" s="456"/>
      <c r="H33" s="635"/>
      <c r="I33" s="637"/>
      <c r="J33" s="456"/>
      <c r="K33" s="456"/>
      <c r="L33" s="456">
        <v>1.1299999999999999</v>
      </c>
      <c r="M33" s="456"/>
      <c r="N33" s="456"/>
      <c r="O33" s="456">
        <v>5.83</v>
      </c>
      <c r="P33" s="456"/>
      <c r="Q33" s="456"/>
      <c r="R33" s="456">
        <v>0.8</v>
      </c>
      <c r="S33" s="456"/>
      <c r="T33" s="456"/>
      <c r="U33" s="456"/>
      <c r="V33" s="456"/>
      <c r="W33" s="456"/>
      <c r="X33" s="454">
        <v>-2.7469041014758102</v>
      </c>
      <c r="Y33" s="456"/>
      <c r="Z33" s="456"/>
      <c r="AA33" s="456"/>
      <c r="AB33" s="456"/>
      <c r="AC33" s="449"/>
      <c r="AD33" s="456"/>
      <c r="AE33" s="456"/>
    </row>
    <row r="34" spans="1:31" s="632" customFormat="1" ht="20.100000000000001" customHeight="1" x14ac:dyDescent="0.35">
      <c r="A34" s="726">
        <v>2021</v>
      </c>
      <c r="B34" s="651"/>
      <c r="C34" s="651">
        <v>4.46</v>
      </c>
      <c r="D34" s="651"/>
      <c r="E34" s="727"/>
      <c r="F34" s="728"/>
      <c r="G34" s="651"/>
      <c r="H34" s="727"/>
      <c r="I34" s="728"/>
      <c r="J34" s="651"/>
      <c r="K34" s="651"/>
      <c r="L34" s="651">
        <v>4.63</v>
      </c>
      <c r="M34" s="651"/>
      <c r="N34" s="651"/>
      <c r="O34" s="651">
        <v>3.95</v>
      </c>
      <c r="P34" s="651"/>
      <c r="Q34" s="651"/>
      <c r="R34" s="651">
        <v>8.1</v>
      </c>
      <c r="S34" s="651"/>
      <c r="T34" s="651"/>
      <c r="U34" s="651"/>
      <c r="V34" s="651"/>
      <c r="W34" s="651"/>
      <c r="X34" s="652">
        <v>9.4482270924385308</v>
      </c>
      <c r="Y34" s="651"/>
      <c r="Z34" s="651"/>
      <c r="AA34" s="651"/>
      <c r="AB34" s="651"/>
      <c r="AC34" s="451"/>
      <c r="AD34" s="651"/>
      <c r="AE34" s="651"/>
    </row>
    <row r="35" spans="1:31" s="395" customFormat="1" ht="18" x14ac:dyDescent="0.35">
      <c r="A35" s="395" t="s">
        <v>298</v>
      </c>
    </row>
    <row r="36" spans="1:31" s="395" customFormat="1" ht="18" x14ac:dyDescent="0.35"/>
    <row r="37" spans="1:31" s="395" customFormat="1" ht="18" x14ac:dyDescent="0.35"/>
    <row r="38" spans="1:31" s="395" customFormat="1" ht="18" x14ac:dyDescent="0.35"/>
    <row r="39" spans="1:31" s="395" customFormat="1" ht="18" x14ac:dyDescent="0.35"/>
    <row r="40" spans="1:31" s="395" customFormat="1" ht="18" x14ac:dyDescent="0.35"/>
    <row r="41" spans="1:31" s="395" customFormat="1" ht="18" x14ac:dyDescent="0.35"/>
  </sheetData>
  <mergeCells count="28">
    <mergeCell ref="AC6:AE6"/>
    <mergeCell ref="AH6:AJ6"/>
    <mergeCell ref="AK6:AM6"/>
    <mergeCell ref="AN6:AP6"/>
    <mergeCell ref="AQ6:AS6"/>
    <mergeCell ref="AT6:AV6"/>
    <mergeCell ref="AT5:AV5"/>
    <mergeCell ref="B6:D6"/>
    <mergeCell ref="E6:G6"/>
    <mergeCell ref="H6:J6"/>
    <mergeCell ref="K6:M6"/>
    <mergeCell ref="N6:P6"/>
    <mergeCell ref="Q6:S6"/>
    <mergeCell ref="T6:V6"/>
    <mergeCell ref="W6:Y6"/>
    <mergeCell ref="Z6:AB6"/>
    <mergeCell ref="Z5:AB5"/>
    <mergeCell ref="AC5:AE5"/>
    <mergeCell ref="AH5:AJ5"/>
    <mergeCell ref="AK5:AM5"/>
    <mergeCell ref="AN5:AP5"/>
    <mergeCell ref="AQ5:AS5"/>
    <mergeCell ref="B5:D5"/>
    <mergeCell ref="E5:G5"/>
    <mergeCell ref="H5:J5"/>
    <mergeCell ref="K5:M5"/>
    <mergeCell ref="T5:V5"/>
    <mergeCell ref="W5:Y5"/>
  </mergeCells>
  <conditionalFormatting sqref="B11:C11">
    <cfRule type="expression" dxfId="9" priority="8">
      <formula>kvartal &lt; 4</formula>
    </cfRule>
  </conditionalFormatting>
  <conditionalFormatting sqref="E11:F11">
    <cfRule type="expression" dxfId="8" priority="7">
      <formula>kvartal &lt; 4</formula>
    </cfRule>
  </conditionalFormatting>
  <conditionalFormatting sqref="I11">
    <cfRule type="expression" dxfId="7" priority="6">
      <formula>kvartal &lt; 4</formula>
    </cfRule>
  </conditionalFormatting>
  <conditionalFormatting sqref="K11:L11">
    <cfRule type="expression" dxfId="6" priority="5">
      <formula>kvartal &lt; 4</formula>
    </cfRule>
  </conditionalFormatting>
  <conditionalFormatting sqref="O11">
    <cfRule type="expression" dxfId="5" priority="17">
      <formula>kvartal &lt; 4</formula>
    </cfRule>
  </conditionalFormatting>
  <conditionalFormatting sqref="Q11:R11">
    <cfRule type="expression" dxfId="4" priority="4">
      <formula>kvartal &lt; 4</formula>
    </cfRule>
  </conditionalFormatting>
  <conditionalFormatting sqref="U11">
    <cfRule type="expression" dxfId="3" priority="3">
      <formula>kvartal &lt; 4</formula>
    </cfRule>
  </conditionalFormatting>
  <conditionalFormatting sqref="X11">
    <cfRule type="expression" dxfId="2" priority="2">
      <formula>kvartal &lt; 4</formula>
    </cfRule>
  </conditionalFormatting>
  <conditionalFormatting sqref="Z11:AA11">
    <cfRule type="expression" dxfId="1" priority="1">
      <formula>kvartal &lt; 4</formula>
    </cfRule>
  </conditionalFormatting>
  <conditionalFormatting sqref="AD11">
    <cfRule type="expression" dxfId="0" priority="14">
      <formula>kvartal &lt; 4</formula>
    </cfRule>
  </conditionalFormatting>
  <pageMargins left="0.78740157480314965" right="0.78740157480314965" top="1.5748031496062993" bottom="0.98425196850393704" header="0.51181102362204722" footer="0.51181102362204722"/>
  <pageSetup paperSize="9" scale="45" fitToWidth="4" orientation="portrait" r:id="rId1"/>
  <headerFooter alignWithMargins="0"/>
  <colBreaks count="4" manualBreakCount="4">
    <brk id="10" min="1" max="72" man="1"/>
    <brk id="16" min="1" max="72" man="1"/>
    <brk id="22" min="1" max="72" man="1"/>
    <brk id="34"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9"/>
  <dimension ref="A2:N65"/>
  <sheetViews>
    <sheetView showGridLines="0" zoomScale="90" zoomScaleNormal="90" workbookViewId="0"/>
  </sheetViews>
  <sheetFormatPr baseColWidth="10" defaultColWidth="11.44140625" defaultRowHeight="13.2" x14ac:dyDescent="0.25"/>
  <cols>
    <col min="1" max="1" width="66.33203125" style="1" customWidth="1"/>
    <col min="2" max="2" width="4.33203125" style="40" customWidth="1"/>
    <col min="3" max="3" width="105.33203125" style="1" customWidth="1"/>
    <col min="4" max="8" width="12.6640625" style="1" customWidth="1"/>
    <col min="9" max="257" width="11.44140625" style="1"/>
    <col min="258" max="258" width="2.6640625" style="1" customWidth="1"/>
    <col min="259" max="259" width="176.6640625" style="1" customWidth="1"/>
    <col min="260" max="260" width="11.44140625" style="1"/>
    <col min="261" max="261" width="176.6640625" style="1" customWidth="1"/>
    <col min="262" max="262" width="11.44140625" style="1"/>
    <col min="263" max="263" width="88.6640625" style="1" customWidth="1"/>
    <col min="264" max="513" width="11.44140625" style="1"/>
    <col min="514" max="514" width="2.6640625" style="1" customWidth="1"/>
    <col min="515" max="515" width="176.6640625" style="1" customWidth="1"/>
    <col min="516" max="516" width="11.44140625" style="1"/>
    <col min="517" max="517" width="176.6640625" style="1" customWidth="1"/>
    <col min="518" max="518" width="11.44140625" style="1"/>
    <col min="519" max="519" width="88.6640625" style="1" customWidth="1"/>
    <col min="520" max="769" width="11.44140625" style="1"/>
    <col min="770" max="770" width="2.6640625" style="1" customWidth="1"/>
    <col min="771" max="771" width="176.6640625" style="1" customWidth="1"/>
    <col min="772" max="772" width="11.44140625" style="1"/>
    <col min="773" max="773" width="176.6640625" style="1" customWidth="1"/>
    <col min="774" max="774" width="11.44140625" style="1"/>
    <col min="775" max="775" width="88.6640625" style="1" customWidth="1"/>
    <col min="776" max="1025" width="11.44140625" style="1"/>
    <col min="1026" max="1026" width="2.6640625" style="1" customWidth="1"/>
    <col min="1027" max="1027" width="176.6640625" style="1" customWidth="1"/>
    <col min="1028" max="1028" width="11.44140625" style="1"/>
    <col min="1029" max="1029" width="176.6640625" style="1" customWidth="1"/>
    <col min="1030" max="1030" width="11.44140625" style="1"/>
    <col min="1031" max="1031" width="88.6640625" style="1" customWidth="1"/>
    <col min="1032" max="1281" width="11.44140625" style="1"/>
    <col min="1282" max="1282" width="2.6640625" style="1" customWidth="1"/>
    <col min="1283" max="1283" width="176.6640625" style="1" customWidth="1"/>
    <col min="1284" max="1284" width="11.44140625" style="1"/>
    <col min="1285" max="1285" width="176.6640625" style="1" customWidth="1"/>
    <col min="1286" max="1286" width="11.44140625" style="1"/>
    <col min="1287" max="1287" width="88.6640625" style="1" customWidth="1"/>
    <col min="1288" max="1537" width="11.44140625" style="1"/>
    <col min="1538" max="1538" width="2.6640625" style="1" customWidth="1"/>
    <col min="1539" max="1539" width="176.6640625" style="1" customWidth="1"/>
    <col min="1540" max="1540" width="11.44140625" style="1"/>
    <col min="1541" max="1541" width="176.6640625" style="1" customWidth="1"/>
    <col min="1542" max="1542" width="11.44140625" style="1"/>
    <col min="1543" max="1543" width="88.6640625" style="1" customWidth="1"/>
    <col min="1544" max="1793" width="11.44140625" style="1"/>
    <col min="1794" max="1794" width="2.6640625" style="1" customWidth="1"/>
    <col min="1795" max="1795" width="176.6640625" style="1" customWidth="1"/>
    <col min="1796" max="1796" width="11.44140625" style="1"/>
    <col min="1797" max="1797" width="176.6640625" style="1" customWidth="1"/>
    <col min="1798" max="1798" width="11.44140625" style="1"/>
    <col min="1799" max="1799" width="88.6640625" style="1" customWidth="1"/>
    <col min="1800" max="2049" width="11.44140625" style="1"/>
    <col min="2050" max="2050" width="2.6640625" style="1" customWidth="1"/>
    <col min="2051" max="2051" width="176.6640625" style="1" customWidth="1"/>
    <col min="2052" max="2052" width="11.44140625" style="1"/>
    <col min="2053" max="2053" width="176.6640625" style="1" customWidth="1"/>
    <col min="2054" max="2054" width="11.44140625" style="1"/>
    <col min="2055" max="2055" width="88.6640625" style="1" customWidth="1"/>
    <col min="2056" max="2305" width="11.44140625" style="1"/>
    <col min="2306" max="2306" width="2.6640625" style="1" customWidth="1"/>
    <col min="2307" max="2307" width="176.6640625" style="1" customWidth="1"/>
    <col min="2308" max="2308" width="11.44140625" style="1"/>
    <col min="2309" max="2309" width="176.6640625" style="1" customWidth="1"/>
    <col min="2310" max="2310" width="11.44140625" style="1"/>
    <col min="2311" max="2311" width="88.6640625" style="1" customWidth="1"/>
    <col min="2312" max="2561" width="11.44140625" style="1"/>
    <col min="2562" max="2562" width="2.6640625" style="1" customWidth="1"/>
    <col min="2563" max="2563" width="176.6640625" style="1" customWidth="1"/>
    <col min="2564" max="2564" width="11.44140625" style="1"/>
    <col min="2565" max="2565" width="176.6640625" style="1" customWidth="1"/>
    <col min="2566" max="2566" width="11.44140625" style="1"/>
    <col min="2567" max="2567" width="88.6640625" style="1" customWidth="1"/>
    <col min="2568" max="2817" width="11.44140625" style="1"/>
    <col min="2818" max="2818" width="2.6640625" style="1" customWidth="1"/>
    <col min="2819" max="2819" width="176.6640625" style="1" customWidth="1"/>
    <col min="2820" max="2820" width="11.44140625" style="1"/>
    <col min="2821" max="2821" width="176.6640625" style="1" customWidth="1"/>
    <col min="2822" max="2822" width="11.44140625" style="1"/>
    <col min="2823" max="2823" width="88.6640625" style="1" customWidth="1"/>
    <col min="2824" max="3073" width="11.44140625" style="1"/>
    <col min="3074" max="3074" width="2.6640625" style="1" customWidth="1"/>
    <col min="3075" max="3075" width="176.6640625" style="1" customWidth="1"/>
    <col min="3076" max="3076" width="11.44140625" style="1"/>
    <col min="3077" max="3077" width="176.6640625" style="1" customWidth="1"/>
    <col min="3078" max="3078" width="11.44140625" style="1"/>
    <col min="3079" max="3079" width="88.6640625" style="1" customWidth="1"/>
    <col min="3080" max="3329" width="11.44140625" style="1"/>
    <col min="3330" max="3330" width="2.6640625" style="1" customWidth="1"/>
    <col min="3331" max="3331" width="176.6640625" style="1" customWidth="1"/>
    <col min="3332" max="3332" width="11.44140625" style="1"/>
    <col min="3333" max="3333" width="176.6640625" style="1" customWidth="1"/>
    <col min="3334" max="3334" width="11.44140625" style="1"/>
    <col min="3335" max="3335" width="88.6640625" style="1" customWidth="1"/>
    <col min="3336" max="3585" width="11.44140625" style="1"/>
    <col min="3586" max="3586" width="2.6640625" style="1" customWidth="1"/>
    <col min="3587" max="3587" width="176.6640625" style="1" customWidth="1"/>
    <col min="3588" max="3588" width="11.44140625" style="1"/>
    <col min="3589" max="3589" width="176.6640625" style="1" customWidth="1"/>
    <col min="3590" max="3590" width="11.44140625" style="1"/>
    <col min="3591" max="3591" width="88.6640625" style="1" customWidth="1"/>
    <col min="3592" max="3841" width="11.44140625" style="1"/>
    <col min="3842" max="3842" width="2.6640625" style="1" customWidth="1"/>
    <col min="3843" max="3843" width="176.6640625" style="1" customWidth="1"/>
    <col min="3844" max="3844" width="11.44140625" style="1"/>
    <col min="3845" max="3845" width="176.6640625" style="1" customWidth="1"/>
    <col min="3846" max="3846" width="11.44140625" style="1"/>
    <col min="3847" max="3847" width="88.6640625" style="1" customWidth="1"/>
    <col min="3848" max="4097" width="11.44140625" style="1"/>
    <col min="4098" max="4098" width="2.6640625" style="1" customWidth="1"/>
    <col min="4099" max="4099" width="176.6640625" style="1" customWidth="1"/>
    <col min="4100" max="4100" width="11.44140625" style="1"/>
    <col min="4101" max="4101" width="176.6640625" style="1" customWidth="1"/>
    <col min="4102" max="4102" width="11.44140625" style="1"/>
    <col min="4103" max="4103" width="88.6640625" style="1" customWidth="1"/>
    <col min="4104" max="4353" width="11.44140625" style="1"/>
    <col min="4354" max="4354" width="2.6640625" style="1" customWidth="1"/>
    <col min="4355" max="4355" width="176.6640625" style="1" customWidth="1"/>
    <col min="4356" max="4356" width="11.44140625" style="1"/>
    <col min="4357" max="4357" width="176.6640625" style="1" customWidth="1"/>
    <col min="4358" max="4358" width="11.44140625" style="1"/>
    <col min="4359" max="4359" width="88.6640625" style="1" customWidth="1"/>
    <col min="4360" max="4609" width="11.44140625" style="1"/>
    <col min="4610" max="4610" width="2.6640625" style="1" customWidth="1"/>
    <col min="4611" max="4611" width="176.6640625" style="1" customWidth="1"/>
    <col min="4612" max="4612" width="11.44140625" style="1"/>
    <col min="4613" max="4613" width="176.6640625" style="1" customWidth="1"/>
    <col min="4614" max="4614" width="11.44140625" style="1"/>
    <col min="4615" max="4615" width="88.6640625" style="1" customWidth="1"/>
    <col min="4616" max="4865" width="11.44140625" style="1"/>
    <col min="4866" max="4866" width="2.6640625" style="1" customWidth="1"/>
    <col min="4867" max="4867" width="176.6640625" style="1" customWidth="1"/>
    <col min="4868" max="4868" width="11.44140625" style="1"/>
    <col min="4869" max="4869" width="176.6640625" style="1" customWidth="1"/>
    <col min="4870" max="4870" width="11.44140625" style="1"/>
    <col min="4871" max="4871" width="88.6640625" style="1" customWidth="1"/>
    <col min="4872" max="5121" width="11.44140625" style="1"/>
    <col min="5122" max="5122" width="2.6640625" style="1" customWidth="1"/>
    <col min="5123" max="5123" width="176.6640625" style="1" customWidth="1"/>
    <col min="5124" max="5124" width="11.44140625" style="1"/>
    <col min="5125" max="5125" width="176.6640625" style="1" customWidth="1"/>
    <col min="5126" max="5126" width="11.44140625" style="1"/>
    <col min="5127" max="5127" width="88.6640625" style="1" customWidth="1"/>
    <col min="5128" max="5377" width="11.44140625" style="1"/>
    <col min="5378" max="5378" width="2.6640625" style="1" customWidth="1"/>
    <col min="5379" max="5379" width="176.6640625" style="1" customWidth="1"/>
    <col min="5380" max="5380" width="11.44140625" style="1"/>
    <col min="5381" max="5381" width="176.6640625" style="1" customWidth="1"/>
    <col min="5382" max="5382" width="11.44140625" style="1"/>
    <col min="5383" max="5383" width="88.6640625" style="1" customWidth="1"/>
    <col min="5384" max="5633" width="11.44140625" style="1"/>
    <col min="5634" max="5634" width="2.6640625" style="1" customWidth="1"/>
    <col min="5635" max="5635" width="176.6640625" style="1" customWidth="1"/>
    <col min="5636" max="5636" width="11.44140625" style="1"/>
    <col min="5637" max="5637" width="176.6640625" style="1" customWidth="1"/>
    <col min="5638" max="5638" width="11.44140625" style="1"/>
    <col min="5639" max="5639" width="88.6640625" style="1" customWidth="1"/>
    <col min="5640" max="5889" width="11.44140625" style="1"/>
    <col min="5890" max="5890" width="2.6640625" style="1" customWidth="1"/>
    <col min="5891" max="5891" width="176.6640625" style="1" customWidth="1"/>
    <col min="5892" max="5892" width="11.44140625" style="1"/>
    <col min="5893" max="5893" width="176.6640625" style="1" customWidth="1"/>
    <col min="5894" max="5894" width="11.44140625" style="1"/>
    <col min="5895" max="5895" width="88.6640625" style="1" customWidth="1"/>
    <col min="5896" max="6145" width="11.44140625" style="1"/>
    <col min="6146" max="6146" width="2.6640625" style="1" customWidth="1"/>
    <col min="6147" max="6147" width="176.6640625" style="1" customWidth="1"/>
    <col min="6148" max="6148" width="11.44140625" style="1"/>
    <col min="6149" max="6149" width="176.6640625" style="1" customWidth="1"/>
    <col min="6150" max="6150" width="11.44140625" style="1"/>
    <col min="6151" max="6151" width="88.6640625" style="1" customWidth="1"/>
    <col min="6152" max="6401" width="11.44140625" style="1"/>
    <col min="6402" max="6402" width="2.6640625" style="1" customWidth="1"/>
    <col min="6403" max="6403" width="176.6640625" style="1" customWidth="1"/>
    <col min="6404" max="6404" width="11.44140625" style="1"/>
    <col min="6405" max="6405" width="176.6640625" style="1" customWidth="1"/>
    <col min="6406" max="6406" width="11.44140625" style="1"/>
    <col min="6407" max="6407" width="88.6640625" style="1" customWidth="1"/>
    <col min="6408" max="6657" width="11.44140625" style="1"/>
    <col min="6658" max="6658" width="2.6640625" style="1" customWidth="1"/>
    <col min="6659" max="6659" width="176.6640625" style="1" customWidth="1"/>
    <col min="6660" max="6660" width="11.44140625" style="1"/>
    <col min="6661" max="6661" width="176.6640625" style="1" customWidth="1"/>
    <col min="6662" max="6662" width="11.44140625" style="1"/>
    <col min="6663" max="6663" width="88.6640625" style="1" customWidth="1"/>
    <col min="6664" max="6913" width="11.44140625" style="1"/>
    <col min="6914" max="6914" width="2.6640625" style="1" customWidth="1"/>
    <col min="6915" max="6915" width="176.6640625" style="1" customWidth="1"/>
    <col min="6916" max="6916" width="11.44140625" style="1"/>
    <col min="6917" max="6917" width="176.6640625" style="1" customWidth="1"/>
    <col min="6918" max="6918" width="11.44140625" style="1"/>
    <col min="6919" max="6919" width="88.6640625" style="1" customWidth="1"/>
    <col min="6920" max="7169" width="11.44140625" style="1"/>
    <col min="7170" max="7170" width="2.6640625" style="1" customWidth="1"/>
    <col min="7171" max="7171" width="176.6640625" style="1" customWidth="1"/>
    <col min="7172" max="7172" width="11.44140625" style="1"/>
    <col min="7173" max="7173" width="176.6640625" style="1" customWidth="1"/>
    <col min="7174" max="7174" width="11.44140625" style="1"/>
    <col min="7175" max="7175" width="88.6640625" style="1" customWidth="1"/>
    <col min="7176" max="7425" width="11.44140625" style="1"/>
    <col min="7426" max="7426" width="2.6640625" style="1" customWidth="1"/>
    <col min="7427" max="7427" width="176.6640625" style="1" customWidth="1"/>
    <col min="7428" max="7428" width="11.44140625" style="1"/>
    <col min="7429" max="7429" width="176.6640625" style="1" customWidth="1"/>
    <col min="7430" max="7430" width="11.44140625" style="1"/>
    <col min="7431" max="7431" width="88.6640625" style="1" customWidth="1"/>
    <col min="7432" max="7681" width="11.44140625" style="1"/>
    <col min="7682" max="7682" width="2.6640625" style="1" customWidth="1"/>
    <col min="7683" max="7683" width="176.6640625" style="1" customWidth="1"/>
    <col min="7684" max="7684" width="11.44140625" style="1"/>
    <col min="7685" max="7685" width="176.6640625" style="1" customWidth="1"/>
    <col min="7686" max="7686" width="11.44140625" style="1"/>
    <col min="7687" max="7687" width="88.6640625" style="1" customWidth="1"/>
    <col min="7688" max="7937" width="11.44140625" style="1"/>
    <col min="7938" max="7938" width="2.6640625" style="1" customWidth="1"/>
    <col min="7939" max="7939" width="176.6640625" style="1" customWidth="1"/>
    <col min="7940" max="7940" width="11.44140625" style="1"/>
    <col min="7941" max="7941" width="176.6640625" style="1" customWidth="1"/>
    <col min="7942" max="7942" width="11.44140625" style="1"/>
    <col min="7943" max="7943" width="88.6640625" style="1" customWidth="1"/>
    <col min="7944" max="8193" width="11.44140625" style="1"/>
    <col min="8194" max="8194" width="2.6640625" style="1" customWidth="1"/>
    <col min="8195" max="8195" width="176.6640625" style="1" customWidth="1"/>
    <col min="8196" max="8196" width="11.44140625" style="1"/>
    <col min="8197" max="8197" width="176.6640625" style="1" customWidth="1"/>
    <col min="8198" max="8198" width="11.44140625" style="1"/>
    <col min="8199" max="8199" width="88.6640625" style="1" customWidth="1"/>
    <col min="8200" max="8449" width="11.44140625" style="1"/>
    <col min="8450" max="8450" width="2.6640625" style="1" customWidth="1"/>
    <col min="8451" max="8451" width="176.6640625" style="1" customWidth="1"/>
    <col min="8452" max="8452" width="11.44140625" style="1"/>
    <col min="8453" max="8453" width="176.6640625" style="1" customWidth="1"/>
    <col min="8454" max="8454" width="11.44140625" style="1"/>
    <col min="8455" max="8455" width="88.6640625" style="1" customWidth="1"/>
    <col min="8456" max="8705" width="11.44140625" style="1"/>
    <col min="8706" max="8706" width="2.6640625" style="1" customWidth="1"/>
    <col min="8707" max="8707" width="176.6640625" style="1" customWidth="1"/>
    <col min="8708" max="8708" width="11.44140625" style="1"/>
    <col min="8709" max="8709" width="176.6640625" style="1" customWidth="1"/>
    <col min="8710" max="8710" width="11.44140625" style="1"/>
    <col min="8711" max="8711" width="88.6640625" style="1" customWidth="1"/>
    <col min="8712" max="8961" width="11.44140625" style="1"/>
    <col min="8962" max="8962" width="2.6640625" style="1" customWidth="1"/>
    <col min="8963" max="8963" width="176.6640625" style="1" customWidth="1"/>
    <col min="8964" max="8964" width="11.44140625" style="1"/>
    <col min="8965" max="8965" width="176.6640625" style="1" customWidth="1"/>
    <col min="8966" max="8966" width="11.44140625" style="1"/>
    <col min="8967" max="8967" width="88.6640625" style="1" customWidth="1"/>
    <col min="8968" max="9217" width="11.44140625" style="1"/>
    <col min="9218" max="9218" width="2.6640625" style="1" customWidth="1"/>
    <col min="9219" max="9219" width="176.6640625" style="1" customWidth="1"/>
    <col min="9220" max="9220" width="11.44140625" style="1"/>
    <col min="9221" max="9221" width="176.6640625" style="1" customWidth="1"/>
    <col min="9222" max="9222" width="11.44140625" style="1"/>
    <col min="9223" max="9223" width="88.6640625" style="1" customWidth="1"/>
    <col min="9224" max="9473" width="11.44140625" style="1"/>
    <col min="9474" max="9474" width="2.6640625" style="1" customWidth="1"/>
    <col min="9475" max="9475" width="176.6640625" style="1" customWidth="1"/>
    <col min="9476" max="9476" width="11.44140625" style="1"/>
    <col min="9477" max="9477" width="176.6640625" style="1" customWidth="1"/>
    <col min="9478" max="9478" width="11.44140625" style="1"/>
    <col min="9479" max="9479" width="88.6640625" style="1" customWidth="1"/>
    <col min="9480" max="9729" width="11.44140625" style="1"/>
    <col min="9730" max="9730" width="2.6640625" style="1" customWidth="1"/>
    <col min="9731" max="9731" width="176.6640625" style="1" customWidth="1"/>
    <col min="9732" max="9732" width="11.44140625" style="1"/>
    <col min="9733" max="9733" width="176.6640625" style="1" customWidth="1"/>
    <col min="9734" max="9734" width="11.44140625" style="1"/>
    <col min="9735" max="9735" width="88.6640625" style="1" customWidth="1"/>
    <col min="9736" max="9985" width="11.44140625" style="1"/>
    <col min="9986" max="9986" width="2.6640625" style="1" customWidth="1"/>
    <col min="9987" max="9987" width="176.6640625" style="1" customWidth="1"/>
    <col min="9988" max="9988" width="11.44140625" style="1"/>
    <col min="9989" max="9989" width="176.6640625" style="1" customWidth="1"/>
    <col min="9990" max="9990" width="11.44140625" style="1"/>
    <col min="9991" max="9991" width="88.6640625" style="1" customWidth="1"/>
    <col min="9992" max="10241" width="11.44140625" style="1"/>
    <col min="10242" max="10242" width="2.6640625" style="1" customWidth="1"/>
    <col min="10243" max="10243" width="176.6640625" style="1" customWidth="1"/>
    <col min="10244" max="10244" width="11.44140625" style="1"/>
    <col min="10245" max="10245" width="176.6640625" style="1" customWidth="1"/>
    <col min="10246" max="10246" width="11.44140625" style="1"/>
    <col min="10247" max="10247" width="88.6640625" style="1" customWidth="1"/>
    <col min="10248" max="10497" width="11.44140625" style="1"/>
    <col min="10498" max="10498" width="2.6640625" style="1" customWidth="1"/>
    <col min="10499" max="10499" width="176.6640625" style="1" customWidth="1"/>
    <col min="10500" max="10500" width="11.44140625" style="1"/>
    <col min="10501" max="10501" width="176.6640625" style="1" customWidth="1"/>
    <col min="10502" max="10502" width="11.44140625" style="1"/>
    <col min="10503" max="10503" width="88.6640625" style="1" customWidth="1"/>
    <col min="10504" max="10753" width="11.44140625" style="1"/>
    <col min="10754" max="10754" width="2.6640625" style="1" customWidth="1"/>
    <col min="10755" max="10755" width="176.6640625" style="1" customWidth="1"/>
    <col min="10756" max="10756" width="11.44140625" style="1"/>
    <col min="10757" max="10757" width="176.6640625" style="1" customWidth="1"/>
    <col min="10758" max="10758" width="11.44140625" style="1"/>
    <col min="10759" max="10759" width="88.6640625" style="1" customWidth="1"/>
    <col min="10760" max="11009" width="11.44140625" style="1"/>
    <col min="11010" max="11010" width="2.6640625" style="1" customWidth="1"/>
    <col min="11011" max="11011" width="176.6640625" style="1" customWidth="1"/>
    <col min="11012" max="11012" width="11.44140625" style="1"/>
    <col min="11013" max="11013" width="176.6640625" style="1" customWidth="1"/>
    <col min="11014" max="11014" width="11.44140625" style="1"/>
    <col min="11015" max="11015" width="88.6640625" style="1" customWidth="1"/>
    <col min="11016" max="11265" width="11.44140625" style="1"/>
    <col min="11266" max="11266" width="2.6640625" style="1" customWidth="1"/>
    <col min="11267" max="11267" width="176.6640625" style="1" customWidth="1"/>
    <col min="11268" max="11268" width="11.44140625" style="1"/>
    <col min="11269" max="11269" width="176.6640625" style="1" customWidth="1"/>
    <col min="11270" max="11270" width="11.44140625" style="1"/>
    <col min="11271" max="11271" width="88.6640625" style="1" customWidth="1"/>
    <col min="11272" max="11521" width="11.44140625" style="1"/>
    <col min="11522" max="11522" width="2.6640625" style="1" customWidth="1"/>
    <col min="11523" max="11523" width="176.6640625" style="1" customWidth="1"/>
    <col min="11524" max="11524" width="11.44140625" style="1"/>
    <col min="11525" max="11525" width="176.6640625" style="1" customWidth="1"/>
    <col min="11526" max="11526" width="11.44140625" style="1"/>
    <col min="11527" max="11527" width="88.6640625" style="1" customWidth="1"/>
    <col min="11528" max="11777" width="11.44140625" style="1"/>
    <col min="11778" max="11778" width="2.6640625" style="1" customWidth="1"/>
    <col min="11779" max="11779" width="176.6640625" style="1" customWidth="1"/>
    <col min="11780" max="11780" width="11.44140625" style="1"/>
    <col min="11781" max="11781" width="176.6640625" style="1" customWidth="1"/>
    <col min="11782" max="11782" width="11.44140625" style="1"/>
    <col min="11783" max="11783" width="88.6640625" style="1" customWidth="1"/>
    <col min="11784" max="12033" width="11.44140625" style="1"/>
    <col min="12034" max="12034" width="2.6640625" style="1" customWidth="1"/>
    <col min="12035" max="12035" width="176.6640625" style="1" customWidth="1"/>
    <col min="12036" max="12036" width="11.44140625" style="1"/>
    <col min="12037" max="12037" width="176.6640625" style="1" customWidth="1"/>
    <col min="12038" max="12038" width="11.44140625" style="1"/>
    <col min="12039" max="12039" width="88.6640625" style="1" customWidth="1"/>
    <col min="12040" max="12289" width="11.44140625" style="1"/>
    <col min="12290" max="12290" width="2.6640625" style="1" customWidth="1"/>
    <col min="12291" max="12291" width="176.6640625" style="1" customWidth="1"/>
    <col min="12292" max="12292" width="11.44140625" style="1"/>
    <col min="12293" max="12293" width="176.6640625" style="1" customWidth="1"/>
    <col min="12294" max="12294" width="11.44140625" style="1"/>
    <col min="12295" max="12295" width="88.6640625" style="1" customWidth="1"/>
    <col min="12296" max="12545" width="11.44140625" style="1"/>
    <col min="12546" max="12546" width="2.6640625" style="1" customWidth="1"/>
    <col min="12547" max="12547" width="176.6640625" style="1" customWidth="1"/>
    <col min="12548" max="12548" width="11.44140625" style="1"/>
    <col min="12549" max="12549" width="176.6640625" style="1" customWidth="1"/>
    <col min="12550" max="12550" width="11.44140625" style="1"/>
    <col min="12551" max="12551" width="88.6640625" style="1" customWidth="1"/>
    <col min="12552" max="12801" width="11.44140625" style="1"/>
    <col min="12802" max="12802" width="2.6640625" style="1" customWidth="1"/>
    <col min="12803" max="12803" width="176.6640625" style="1" customWidth="1"/>
    <col min="12804" max="12804" width="11.44140625" style="1"/>
    <col min="12805" max="12805" width="176.6640625" style="1" customWidth="1"/>
    <col min="12806" max="12806" width="11.44140625" style="1"/>
    <col min="12807" max="12807" width="88.6640625" style="1" customWidth="1"/>
    <col min="12808" max="13057" width="11.44140625" style="1"/>
    <col min="13058" max="13058" width="2.6640625" style="1" customWidth="1"/>
    <col min="13059" max="13059" width="176.6640625" style="1" customWidth="1"/>
    <col min="13060" max="13060" width="11.44140625" style="1"/>
    <col min="13061" max="13061" width="176.6640625" style="1" customWidth="1"/>
    <col min="13062" max="13062" width="11.44140625" style="1"/>
    <col min="13063" max="13063" width="88.6640625" style="1" customWidth="1"/>
    <col min="13064" max="13313" width="11.44140625" style="1"/>
    <col min="13314" max="13314" width="2.6640625" style="1" customWidth="1"/>
    <col min="13315" max="13315" width="176.6640625" style="1" customWidth="1"/>
    <col min="13316" max="13316" width="11.44140625" style="1"/>
    <col min="13317" max="13317" width="176.6640625" style="1" customWidth="1"/>
    <col min="13318" max="13318" width="11.44140625" style="1"/>
    <col min="13319" max="13319" width="88.6640625" style="1" customWidth="1"/>
    <col min="13320" max="13569" width="11.44140625" style="1"/>
    <col min="13570" max="13570" width="2.6640625" style="1" customWidth="1"/>
    <col min="13571" max="13571" width="176.6640625" style="1" customWidth="1"/>
    <col min="13572" max="13572" width="11.44140625" style="1"/>
    <col min="13573" max="13573" width="176.6640625" style="1" customWidth="1"/>
    <col min="13574" max="13574" width="11.44140625" style="1"/>
    <col min="13575" max="13575" width="88.6640625" style="1" customWidth="1"/>
    <col min="13576" max="13825" width="11.44140625" style="1"/>
    <col min="13826" max="13826" width="2.6640625" style="1" customWidth="1"/>
    <col min="13827" max="13827" width="176.6640625" style="1" customWidth="1"/>
    <col min="13828" max="13828" width="11.44140625" style="1"/>
    <col min="13829" max="13829" width="176.6640625" style="1" customWidth="1"/>
    <col min="13830" max="13830" width="11.44140625" style="1"/>
    <col min="13831" max="13831" width="88.6640625" style="1" customWidth="1"/>
    <col min="13832" max="14081" width="11.44140625" style="1"/>
    <col min="14082" max="14082" width="2.6640625" style="1" customWidth="1"/>
    <col min="14083" max="14083" width="176.6640625" style="1" customWidth="1"/>
    <col min="14084" max="14084" width="11.44140625" style="1"/>
    <col min="14085" max="14085" width="176.6640625" style="1" customWidth="1"/>
    <col min="14086" max="14086" width="11.44140625" style="1"/>
    <col min="14087" max="14087" width="88.6640625" style="1" customWidth="1"/>
    <col min="14088" max="14337" width="11.44140625" style="1"/>
    <col min="14338" max="14338" width="2.6640625" style="1" customWidth="1"/>
    <col min="14339" max="14339" width="176.6640625" style="1" customWidth="1"/>
    <col min="14340" max="14340" width="11.44140625" style="1"/>
    <col min="14341" max="14341" width="176.6640625" style="1" customWidth="1"/>
    <col min="14342" max="14342" width="11.44140625" style="1"/>
    <col min="14343" max="14343" width="88.6640625" style="1" customWidth="1"/>
    <col min="14344" max="14593" width="11.44140625" style="1"/>
    <col min="14594" max="14594" width="2.6640625" style="1" customWidth="1"/>
    <col min="14595" max="14595" width="176.6640625" style="1" customWidth="1"/>
    <col min="14596" max="14596" width="11.44140625" style="1"/>
    <col min="14597" max="14597" width="176.6640625" style="1" customWidth="1"/>
    <col min="14598" max="14598" width="11.44140625" style="1"/>
    <col min="14599" max="14599" width="88.6640625" style="1" customWidth="1"/>
    <col min="14600" max="14849" width="11.44140625" style="1"/>
    <col min="14850" max="14850" width="2.6640625" style="1" customWidth="1"/>
    <col min="14851" max="14851" width="176.6640625" style="1" customWidth="1"/>
    <col min="14852" max="14852" width="11.44140625" style="1"/>
    <col min="14853" max="14853" width="176.6640625" style="1" customWidth="1"/>
    <col min="14854" max="14854" width="11.44140625" style="1"/>
    <col min="14855" max="14855" width="88.6640625" style="1" customWidth="1"/>
    <col min="14856" max="15105" width="11.44140625" style="1"/>
    <col min="15106" max="15106" width="2.6640625" style="1" customWidth="1"/>
    <col min="15107" max="15107" width="176.6640625" style="1" customWidth="1"/>
    <col min="15108" max="15108" width="11.44140625" style="1"/>
    <col min="15109" max="15109" width="176.6640625" style="1" customWidth="1"/>
    <col min="15110" max="15110" width="11.44140625" style="1"/>
    <col min="15111" max="15111" width="88.6640625" style="1" customWidth="1"/>
    <col min="15112" max="15361" width="11.44140625" style="1"/>
    <col min="15362" max="15362" width="2.6640625" style="1" customWidth="1"/>
    <col min="15363" max="15363" width="176.6640625" style="1" customWidth="1"/>
    <col min="15364" max="15364" width="11.44140625" style="1"/>
    <col min="15365" max="15365" width="176.6640625" style="1" customWidth="1"/>
    <col min="15366" max="15366" width="11.44140625" style="1"/>
    <col min="15367" max="15367" width="88.6640625" style="1" customWidth="1"/>
    <col min="15368" max="15617" width="11.44140625" style="1"/>
    <col min="15618" max="15618" width="2.6640625" style="1" customWidth="1"/>
    <col min="15619" max="15619" width="176.6640625" style="1" customWidth="1"/>
    <col min="15620" max="15620" width="11.44140625" style="1"/>
    <col min="15621" max="15621" width="176.6640625" style="1" customWidth="1"/>
    <col min="15622" max="15622" width="11.44140625" style="1"/>
    <col min="15623" max="15623" width="88.6640625" style="1" customWidth="1"/>
    <col min="15624" max="15873" width="11.44140625" style="1"/>
    <col min="15874" max="15874" width="2.6640625" style="1" customWidth="1"/>
    <col min="15875" max="15875" width="176.6640625" style="1" customWidth="1"/>
    <col min="15876" max="15876" width="11.44140625" style="1"/>
    <col min="15877" max="15877" width="176.6640625" style="1" customWidth="1"/>
    <col min="15878" max="15878" width="11.44140625" style="1"/>
    <col min="15879" max="15879" width="88.6640625" style="1" customWidth="1"/>
    <col min="15880" max="16129" width="11.44140625" style="1"/>
    <col min="16130" max="16130" width="2.6640625" style="1" customWidth="1"/>
    <col min="16131" max="16131" width="176.6640625" style="1" customWidth="1"/>
    <col min="16132" max="16132" width="11.44140625" style="1"/>
    <col min="16133" max="16133" width="176.6640625" style="1" customWidth="1"/>
    <col min="16134" max="16134" width="11.44140625" style="1"/>
    <col min="16135" max="16135" width="88.6640625" style="1" customWidth="1"/>
    <col min="16136" max="16384" width="11.44140625" style="1"/>
  </cols>
  <sheetData>
    <row r="2" spans="1:11" x14ac:dyDescent="0.25">
      <c r="C2" s="274"/>
      <c r="D2" s="274"/>
      <c r="E2" s="274"/>
    </row>
    <row r="3" spans="1:11" x14ac:dyDescent="0.25">
      <c r="A3" s="35" t="s">
        <v>43</v>
      </c>
    </row>
    <row r="4" spans="1:11" x14ac:dyDescent="0.25">
      <c r="C4" s="274"/>
      <c r="D4" s="274"/>
      <c r="E4" s="274"/>
      <c r="F4" s="274"/>
      <c r="G4" s="274"/>
      <c r="H4" s="274"/>
      <c r="I4" s="274"/>
      <c r="J4" s="274"/>
      <c r="K4" s="274"/>
    </row>
    <row r="6" spans="1:11" ht="15.6" x14ac:dyDescent="0.3">
      <c r="C6" s="279" t="s">
        <v>461</v>
      </c>
      <c r="E6" s="279"/>
    </row>
    <row r="7" spans="1:11" ht="18.75" customHeight="1" x14ac:dyDescent="0.25">
      <c r="E7" s="40"/>
    </row>
    <row r="8" spans="1:11" ht="15.6" x14ac:dyDescent="0.3">
      <c r="B8" s="275">
        <v>1</v>
      </c>
      <c r="C8" s="276" t="s">
        <v>462</v>
      </c>
      <c r="E8" s="282"/>
    </row>
    <row r="9" spans="1:11" ht="31.2" x14ac:dyDescent="0.25">
      <c r="B9" s="275">
        <v>2</v>
      </c>
      <c r="C9" s="276" t="s">
        <v>463</v>
      </c>
      <c r="E9" s="5"/>
    </row>
    <row r="10" spans="1:11" ht="46.8" x14ac:dyDescent="0.25">
      <c r="B10" s="275">
        <v>3</v>
      </c>
      <c r="C10" s="276" t="s">
        <v>464</v>
      </c>
      <c r="E10" s="5"/>
    </row>
    <row r="11" spans="1:11" ht="31.2" x14ac:dyDescent="0.25">
      <c r="B11" s="275">
        <v>4</v>
      </c>
      <c r="C11" s="657" t="s">
        <v>465</v>
      </c>
      <c r="E11" s="5"/>
    </row>
    <row r="12" spans="1:11" ht="31.2" x14ac:dyDescent="0.25">
      <c r="B12" s="275">
        <v>5</v>
      </c>
      <c r="C12" s="276" t="s">
        <v>466</v>
      </c>
    </row>
    <row r="13" spans="1:11" ht="15.6" x14ac:dyDescent="0.25">
      <c r="B13" s="275">
        <v>6</v>
      </c>
      <c r="C13" s="276" t="s">
        <v>467</v>
      </c>
    </row>
    <row r="14" spans="1:11" ht="15.6" x14ac:dyDescent="0.25">
      <c r="B14" s="275">
        <v>7</v>
      </c>
      <c r="C14" s="276" t="s">
        <v>468</v>
      </c>
    </row>
    <row r="15" spans="1:11" ht="18.75" customHeight="1" x14ac:dyDescent="0.25">
      <c r="B15" s="275">
        <v>8</v>
      </c>
      <c r="C15" s="276" t="s">
        <v>469</v>
      </c>
    </row>
    <row r="16" spans="1:11" ht="18.75" customHeight="1" x14ac:dyDescent="0.25">
      <c r="B16" s="275">
        <v>9</v>
      </c>
      <c r="C16" s="276" t="s">
        <v>470</v>
      </c>
    </row>
    <row r="17" spans="2:9" ht="62.4" x14ac:dyDescent="0.3">
      <c r="B17" s="275">
        <v>10</v>
      </c>
      <c r="C17" s="276" t="s">
        <v>471</v>
      </c>
      <c r="E17" s="279"/>
    </row>
    <row r="18" spans="2:9" ht="15.6" x14ac:dyDescent="0.25">
      <c r="B18" s="275">
        <v>11</v>
      </c>
      <c r="C18" s="276" t="s">
        <v>472</v>
      </c>
      <c r="E18" s="5"/>
    </row>
    <row r="19" spans="2:9" ht="15.6" x14ac:dyDescent="0.25">
      <c r="B19" s="275">
        <v>12</v>
      </c>
      <c r="C19" s="276" t="s">
        <v>473</v>
      </c>
      <c r="E19" s="5"/>
    </row>
    <row r="20" spans="2:9" ht="15.6" x14ac:dyDescent="0.25">
      <c r="B20" s="275">
        <v>13</v>
      </c>
      <c r="C20" s="276" t="s">
        <v>474</v>
      </c>
    </row>
    <row r="21" spans="2:9" ht="46.8" x14ac:dyDescent="0.25">
      <c r="B21" s="275">
        <v>14</v>
      </c>
      <c r="C21" s="276" t="s">
        <v>475</v>
      </c>
      <c r="E21" s="283"/>
    </row>
    <row r="22" spans="2:9" ht="31.2" x14ac:dyDescent="0.25">
      <c r="B22" s="275">
        <v>15</v>
      </c>
      <c r="C22" s="276" t="s">
        <v>476</v>
      </c>
    </row>
    <row r="23" spans="2:9" ht="15.6" x14ac:dyDescent="0.3">
      <c r="B23" s="275">
        <v>16</v>
      </c>
      <c r="C23" s="278" t="s">
        <v>477</v>
      </c>
      <c r="D23" s="2"/>
      <c r="E23" s="274"/>
      <c r="F23" s="2"/>
      <c r="G23" s="2"/>
      <c r="H23" s="2"/>
      <c r="I23" s="2"/>
    </row>
    <row r="24" spans="2:9" ht="18.75" customHeight="1" x14ac:dyDescent="0.3">
      <c r="B24" s="277">
        <v>17</v>
      </c>
      <c r="C24" s="278" t="s">
        <v>478</v>
      </c>
    </row>
    <row r="25" spans="2:9" ht="18.75" customHeight="1" x14ac:dyDescent="0.25">
      <c r="B25" s="458">
        <v>18</v>
      </c>
      <c r="C25" s="802" t="s">
        <v>479</v>
      </c>
    </row>
    <row r="26" spans="2:9" ht="18.75" customHeight="1" x14ac:dyDescent="0.3">
      <c r="B26" s="459"/>
      <c r="C26" s="802"/>
    </row>
    <row r="27" spans="2:9" ht="18.75" customHeight="1" x14ac:dyDescent="0.25">
      <c r="B27" s="458">
        <v>19</v>
      </c>
      <c r="C27" s="657" t="s">
        <v>480</v>
      </c>
    </row>
    <row r="28" spans="2:9" ht="28.95" customHeight="1" x14ac:dyDescent="0.25">
      <c r="B28" s="458">
        <v>20</v>
      </c>
      <c r="C28" s="732" t="s">
        <v>490</v>
      </c>
    </row>
    <row r="29" spans="2:9" ht="18.75" customHeight="1" x14ac:dyDescent="0.25">
      <c r="C29" s="281"/>
    </row>
    <row r="31" spans="2:9" ht="18.75" customHeight="1" x14ac:dyDescent="0.25"/>
    <row r="32" spans="2:9" ht="18.75" customHeight="1" x14ac:dyDescent="0.25"/>
    <row r="33" spans="2:2" ht="18.75" customHeight="1" x14ac:dyDescent="0.25"/>
    <row r="34" spans="2:2" ht="18.75" customHeight="1" x14ac:dyDescent="0.25"/>
    <row r="35" spans="2:2" ht="18.75" customHeight="1" x14ac:dyDescent="0.25"/>
    <row r="36" spans="2:2" ht="18.75" customHeight="1" x14ac:dyDescent="0.25"/>
    <row r="37" spans="2:2" ht="18.75" customHeight="1" x14ac:dyDescent="0.25"/>
    <row r="38" spans="2:2" ht="18.75" customHeight="1" x14ac:dyDescent="0.25"/>
    <row r="39" spans="2:2" ht="18.75" customHeight="1" x14ac:dyDescent="0.25"/>
    <row r="40" spans="2:2" ht="18.75" customHeight="1" x14ac:dyDescent="0.25">
      <c r="B40" s="5"/>
    </row>
    <row r="41" spans="2:2" ht="18.75" customHeight="1" x14ac:dyDescent="0.25">
      <c r="B41" s="5"/>
    </row>
    <row r="42" spans="2:2" ht="18.75" customHeight="1" x14ac:dyDescent="0.25">
      <c r="B42" s="5"/>
    </row>
    <row r="43" spans="2:2" ht="18.75" customHeight="1" x14ac:dyDescent="0.25">
      <c r="B43" s="5"/>
    </row>
    <row r="44" spans="2:2" ht="18.75" customHeight="1" x14ac:dyDescent="0.25">
      <c r="B44" s="5"/>
    </row>
    <row r="45" spans="2:2" ht="18.75" customHeight="1" x14ac:dyDescent="0.25">
      <c r="B45" s="5"/>
    </row>
    <row r="46" spans="2:2" ht="18.75" customHeight="1" x14ac:dyDescent="0.25"/>
    <row r="47" spans="2:2" ht="18.75" customHeight="1" x14ac:dyDescent="0.25"/>
    <row r="48" spans="2:2" ht="18.75" customHeight="1" x14ac:dyDescent="0.25"/>
    <row r="49" spans="4:14" ht="18.75" customHeight="1" x14ac:dyDescent="0.25"/>
    <row r="50" spans="4:14" ht="18.75" customHeight="1" x14ac:dyDescent="0.25">
      <c r="D50" s="274"/>
      <c r="E50" s="274"/>
      <c r="F50" s="274"/>
      <c r="G50" s="274"/>
      <c r="H50" s="274"/>
      <c r="I50" s="274"/>
      <c r="J50" s="274"/>
      <c r="K50" s="274"/>
      <c r="L50" s="274"/>
      <c r="M50" s="274"/>
      <c r="N50" s="274"/>
    </row>
    <row r="51" spans="4:14" ht="18.75" customHeight="1" x14ac:dyDescent="0.25"/>
    <row r="52" spans="4:14" ht="18.75" customHeight="1" x14ac:dyDescent="0.25"/>
    <row r="53" spans="4:14" ht="18.75" customHeight="1" x14ac:dyDescent="0.25"/>
    <row r="54" spans="4:14" ht="18.75" customHeight="1" x14ac:dyDescent="0.25"/>
    <row r="55" spans="4:14" ht="18.75" customHeight="1" x14ac:dyDescent="0.25"/>
    <row r="56" spans="4:14" ht="18.75" customHeight="1" x14ac:dyDescent="0.25"/>
    <row r="57" spans="4:14" ht="18.75" customHeight="1" x14ac:dyDescent="0.25"/>
    <row r="58" spans="4:14" ht="18.75" customHeight="1" x14ac:dyDescent="0.25"/>
    <row r="59" spans="4:14" ht="18.75" customHeight="1" x14ac:dyDescent="0.25"/>
    <row r="60" spans="4:14" ht="18.75" customHeight="1" x14ac:dyDescent="0.25"/>
    <row r="61" spans="4:14" ht="18.75" customHeight="1" x14ac:dyDescent="0.25"/>
    <row r="62" spans="4:14" ht="18.75" customHeight="1" x14ac:dyDescent="0.25"/>
    <row r="63" spans="4:14" ht="18.75" customHeight="1" x14ac:dyDescent="0.25"/>
    <row r="64" spans="4:14" ht="18.75" customHeight="1" x14ac:dyDescent="0.25"/>
    <row r="65" ht="18.75" customHeight="1" x14ac:dyDescent="0.25"/>
  </sheetData>
  <sortState xmlns:xlrd2="http://schemas.microsoft.com/office/spreadsheetml/2017/richdata2" ref="B5:E41">
    <sortCondition ref="B5:B41"/>
  </sortState>
  <mergeCells count="1">
    <mergeCell ref="C25:C26"/>
  </mergeCells>
  <pageMargins left="0.78740157480314965" right="0.78740157480314965" top="0.98425196850393704" bottom="0.98425196850393704" header="0.51181102362204722" footer="0.51181102362204722"/>
  <pageSetup paperSize="9" scale="65" fitToWidth="3" orientation="portrait" r:id="rId1"/>
  <headerFooter alignWithMargins="0"/>
  <colBreaks count="2" manualBreakCount="2">
    <brk id="1" max="42" man="1"/>
    <brk id="3" min="4"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IF107"/>
  <sheetViews>
    <sheetView showGridLines="0" showZeros="0" zoomScale="70" zoomScaleNormal="70" workbookViewId="0">
      <pane xSplit="1" ySplit="7" topLeftCell="B8" activePane="bottomRight" state="frozen"/>
      <selection pane="topRight" activeCell="H73" sqref="H73"/>
      <selection pane="bottomLeft" activeCell="H73" sqref="H73"/>
      <selection pane="bottomRight" activeCell="A4" sqref="A4"/>
    </sheetView>
  </sheetViews>
  <sheetFormatPr baseColWidth="10" defaultColWidth="11.44140625" defaultRowHeight="13.2" x14ac:dyDescent="0.25"/>
  <cols>
    <col min="1" max="1" width="49" style="59" customWidth="1"/>
    <col min="2" max="3" width="15.6640625" style="59" customWidth="1"/>
    <col min="4" max="4" width="8.6640625" style="59" customWidth="1"/>
    <col min="5" max="5" width="12.109375" style="59" bestFit="1" customWidth="1"/>
    <col min="6" max="6" width="4.6640625" style="59" customWidth="1"/>
    <col min="7" max="7" width="18.44140625" style="59" customWidth="1"/>
    <col min="8" max="8" width="17.6640625" style="59" customWidth="1"/>
    <col min="9" max="9" width="8.6640625" style="59" customWidth="1"/>
    <col min="10" max="10" width="12.109375" style="59" bestFit="1" customWidth="1"/>
    <col min="11" max="11" width="13.44140625" style="59" hidden="1" customWidth="1"/>
    <col min="12" max="12" width="14.6640625" style="59" hidden="1" customWidth="1"/>
    <col min="13" max="13" width="13.6640625" style="59" hidden="1" customWidth="1"/>
    <col min="14" max="15" width="15.6640625" style="59" hidden="1" customWidth="1"/>
    <col min="16" max="16" width="11.44140625" style="59" hidden="1" customWidth="1"/>
    <col min="17" max="19" width="11.44140625" style="59" customWidth="1"/>
    <col min="20" max="16384" width="11.44140625" style="59"/>
  </cols>
  <sheetData>
    <row r="1" spans="1:18" ht="20.399999999999999" x14ac:dyDescent="0.35">
      <c r="A1" s="52" t="s">
        <v>78</v>
      </c>
      <c r="B1" s="47" t="s">
        <v>44</v>
      </c>
      <c r="C1" s="48"/>
      <c r="D1" s="48"/>
      <c r="E1" s="48"/>
      <c r="F1" s="48"/>
      <c r="G1" s="48"/>
      <c r="H1" s="48"/>
      <c r="I1" s="48"/>
      <c r="J1" s="48"/>
      <c r="K1" s="48"/>
    </row>
    <row r="2" spans="1:18" ht="20.399999999999999" x14ac:dyDescent="0.35">
      <c r="A2" s="52" t="s">
        <v>79</v>
      </c>
      <c r="B2" s="48"/>
      <c r="C2" s="48"/>
      <c r="D2" s="48"/>
      <c r="E2" s="647"/>
      <c r="F2" s="50"/>
      <c r="G2" s="50"/>
      <c r="H2" s="50"/>
      <c r="I2" s="50"/>
      <c r="J2" s="50"/>
      <c r="K2" s="50"/>
      <c r="L2" s="648"/>
      <c r="M2" s="648"/>
      <c r="N2" s="648"/>
      <c r="O2" s="648"/>
      <c r="P2" s="648"/>
      <c r="Q2" s="648"/>
    </row>
    <row r="3" spans="1:18" ht="18" x14ac:dyDescent="0.35">
      <c r="A3" s="757" t="s">
        <v>80</v>
      </c>
      <c r="B3" s="757"/>
      <c r="C3" s="48"/>
      <c r="D3" s="48"/>
      <c r="E3" s="48"/>
      <c r="F3" s="48"/>
      <c r="G3" s="48"/>
      <c r="H3" s="48"/>
      <c r="I3" s="48"/>
      <c r="J3" s="48"/>
      <c r="K3" s="48"/>
    </row>
    <row r="4" spans="1:18" ht="18" x14ac:dyDescent="0.35">
      <c r="A4" s="54" t="s">
        <v>235</v>
      </c>
      <c r="B4" s="55"/>
      <c r="C4" s="56"/>
      <c r="D4" s="56"/>
      <c r="E4" s="57"/>
      <c r="F4" s="58"/>
      <c r="G4" s="55"/>
      <c r="H4" s="56"/>
      <c r="I4" s="56"/>
      <c r="J4" s="57"/>
      <c r="K4" s="48"/>
      <c r="L4" s="159"/>
      <c r="M4" s="160"/>
      <c r="N4" s="161"/>
      <c r="O4" s="160"/>
    </row>
    <row r="5" spans="1:18" ht="20.399999999999999" x14ac:dyDescent="0.35">
      <c r="A5" s="60"/>
      <c r="B5" s="758" t="s">
        <v>81</v>
      </c>
      <c r="C5" s="759"/>
      <c r="D5" s="759"/>
      <c r="E5" s="760"/>
      <c r="F5" s="62"/>
      <c r="G5" s="758" t="s">
        <v>82</v>
      </c>
      <c r="H5" s="759"/>
      <c r="I5" s="759"/>
      <c r="J5" s="760"/>
      <c r="K5" s="61"/>
      <c r="L5" s="761" t="s">
        <v>83</v>
      </c>
      <c r="M5" s="756"/>
      <c r="N5" s="755" t="s">
        <v>84</v>
      </c>
      <c r="O5" s="756"/>
    </row>
    <row r="6" spans="1:18" ht="17.399999999999999" x14ac:dyDescent="0.3">
      <c r="A6" s="63"/>
      <c r="B6" s="64"/>
      <c r="C6" s="65"/>
      <c r="D6" s="65" t="s">
        <v>85</v>
      </c>
      <c r="E6" s="66" t="s">
        <v>86</v>
      </c>
      <c r="F6" s="67"/>
      <c r="G6" s="64"/>
      <c r="H6" s="65"/>
      <c r="I6" s="65" t="s">
        <v>85</v>
      </c>
      <c r="J6" s="66" t="s">
        <v>86</v>
      </c>
      <c r="K6" s="72"/>
      <c r="L6" s="162"/>
      <c r="M6" s="163"/>
      <c r="N6" s="164"/>
      <c r="O6" s="163"/>
    </row>
    <row r="7" spans="1:18" ht="16.2" x14ac:dyDescent="0.35">
      <c r="A7" s="68" t="s">
        <v>87</v>
      </c>
      <c r="B7" s="69">
        <v>2024</v>
      </c>
      <c r="C7" s="69">
        <v>2025</v>
      </c>
      <c r="D7" s="70" t="s">
        <v>88</v>
      </c>
      <c r="E7" s="71" t="s">
        <v>89</v>
      </c>
      <c r="F7" s="67"/>
      <c r="G7" s="69">
        <v>2024</v>
      </c>
      <c r="H7" s="69">
        <v>2025</v>
      </c>
      <c r="I7" s="70" t="s">
        <v>88</v>
      </c>
      <c r="J7" s="71" t="s">
        <v>89</v>
      </c>
      <c r="K7" s="72"/>
      <c r="L7" s="165">
        <v>2015</v>
      </c>
      <c r="M7" s="166">
        <v>2016</v>
      </c>
      <c r="N7" s="167">
        <v>2015</v>
      </c>
      <c r="O7" s="166">
        <v>2016</v>
      </c>
      <c r="P7" s="59" t="s">
        <v>90</v>
      </c>
    </row>
    <row r="8" spans="1:18" ht="18" x14ac:dyDescent="0.35">
      <c r="A8" s="73" t="s">
        <v>46</v>
      </c>
      <c r="B8" s="97"/>
      <c r="C8" s="75"/>
      <c r="D8" s="76"/>
      <c r="E8" s="334"/>
      <c r="F8" s="133"/>
      <c r="G8" s="97"/>
      <c r="H8" s="97"/>
      <c r="I8" s="75"/>
      <c r="J8" s="334"/>
      <c r="K8" s="51"/>
      <c r="L8" s="168" t="s">
        <v>46</v>
      </c>
      <c r="M8" s="169"/>
      <c r="N8" s="170"/>
      <c r="O8" s="169"/>
      <c r="P8" s="59" t="s">
        <v>91</v>
      </c>
    </row>
    <row r="9" spans="1:18" ht="18" x14ac:dyDescent="0.35">
      <c r="A9" s="77" t="s">
        <v>92</v>
      </c>
      <c r="B9" s="133">
        <f>'DNB Livsforsikring'!B7+'DNB Livsforsikring'!B22+'DNB Livsforsikring'!B36+'DNB Livsforsikring'!B47+'DNB Livsforsikring'!B66+'DNB Livsforsikring'!B134</f>
        <v>3461953</v>
      </c>
      <c r="C9" s="133">
        <f>'DNB Livsforsikring'!C7+'DNB Livsforsikring'!C22+'DNB Livsforsikring'!C36+'DNB Livsforsikring'!C47+'DNB Livsforsikring'!C66+'DNB Livsforsikring'!C134</f>
        <v>3677032.7709999997</v>
      </c>
      <c r="D9" s="76">
        <f t="shared" ref="D9:D30" si="0">IF(B9=0, "    ---- ", IF(ABS(ROUND(100/B9*C9-100,1))&lt;999,ROUND(100/B9*C9-100,1),IF(ROUND(100/B9*C9-100,1)&gt;999,999,-999)))</f>
        <v>6.2</v>
      </c>
      <c r="E9" s="334">
        <f t="shared" ref="E9:E31" si="1">100/C$32*C9</f>
        <v>3.6665360686012516</v>
      </c>
      <c r="F9" s="75"/>
      <c r="G9" s="133">
        <f>'DNB Livsforsikring'!B10+'DNB Livsforsikring'!B29+'DNB Livsforsikring'!B37+'DNB Livsforsikring'!B87+'DNB Livsforsikring'!B135</f>
        <v>180833727.40624002</v>
      </c>
      <c r="H9" s="133">
        <f>'DNB Livsforsikring'!C10+'DNB Livsforsikring'!C29+'DNB Livsforsikring'!C37+'DNB Livsforsikring'!C87+'DNB Livsforsikring'!C135</f>
        <v>179445597.19069999</v>
      </c>
      <c r="I9" s="76">
        <f t="shared" ref="I9:I27" si="2">IF(G9=0, "    ---- ", IF(ABS(ROUND(100/G9*H9-100,1))&lt;999,ROUND(100/G9*H9-100,1),IF(ROUND(100/G9*H9-100,1)&gt;999,999,-999)))</f>
        <v>-0.8</v>
      </c>
      <c r="J9" s="334">
        <f t="shared" ref="J9:J31" si="3">100/H$32*H9</f>
        <v>11.836551183444859</v>
      </c>
      <c r="K9" s="158" t="s">
        <v>93</v>
      </c>
      <c r="L9" s="171" t="e">
        <f ca="1">INDIRECT("'" &amp;#REF! &amp; "'!" &amp; $P$7)</f>
        <v>#REF!</v>
      </c>
      <c r="M9" s="169" t="e">
        <f ca="1">INDIRECT("'" &amp;#REF! &amp; "'!" &amp; $P$8)</f>
        <v>#REF!</v>
      </c>
      <c r="N9" s="171" t="e">
        <f ca="1">INDIRECT("'" &amp;#REF! &amp; "'!" &amp;#REF!)</f>
        <v>#REF!</v>
      </c>
      <c r="O9" s="169" t="e">
        <f ca="1">INDIRECT("'" &amp;#REF! &amp; "'!" &amp; $P$9)</f>
        <v>#REF!</v>
      </c>
      <c r="P9" s="59" t="s">
        <v>94</v>
      </c>
    </row>
    <row r="10" spans="1:18" ht="18" x14ac:dyDescent="0.35">
      <c r="A10" s="77" t="s">
        <v>48</v>
      </c>
      <c r="B10" s="133">
        <f>'Euro Accident'!B7+'Euro Accident'!B22+'Euro Accident'!B36+'Euro Accident'!B47+'Euro Accident'!B66+'Euro Accident'!B134</f>
        <v>57607</v>
      </c>
      <c r="C10" s="133">
        <f>'Euro Accident'!C7+'Euro Accident'!C22+'Euro Accident'!C36+'Euro Accident'!C47+'Euro Accident'!C66+'Euro Accident'!C134</f>
        <v>85983</v>
      </c>
      <c r="D10" s="76">
        <f t="shared" ref="D10" si="4">IF(B10=0, "    ---- ", IF(ABS(ROUND(100/B10*C10-100,1))&lt;999,ROUND(100/B10*C10-100,1),IF(ROUND(100/B10*C10-100,1)&gt;999,999,-999)))</f>
        <v>49.3</v>
      </c>
      <c r="E10" s="334">
        <f t="shared" si="1"/>
        <v>8.5737547207338019E-2</v>
      </c>
      <c r="F10" s="75"/>
      <c r="G10" s="133">
        <f>'Euro Accident'!B10+'Euro Accident'!B29+'Euro Accident'!B37+'Euro Accident'!B87+'Euro Accident'!B135</f>
        <v>0</v>
      </c>
      <c r="H10" s="133">
        <f>'Euro Accident'!C10+'Euro Accident'!C29+'Euro Accident'!C37+'Euro Accident'!C87+'Euro Accident'!C135</f>
        <v>0</v>
      </c>
      <c r="I10" s="76"/>
      <c r="J10" s="334">
        <f t="shared" si="3"/>
        <v>0</v>
      </c>
      <c r="L10" s="171"/>
      <c r="M10" s="169"/>
      <c r="N10" s="171"/>
      <c r="O10" s="169"/>
    </row>
    <row r="11" spans="1:18" ht="18" x14ac:dyDescent="0.35">
      <c r="A11" s="77" t="s">
        <v>95</v>
      </c>
      <c r="B11" s="133">
        <f>'Fremtind Livsforsikring'!B7+'Fremtind Livsforsikring'!B22+'Fremtind Livsforsikring'!B36+'Fremtind Livsforsikring'!B47+'Fremtind Livsforsikring'!B66+'Fremtind Livsforsikring'!B134</f>
        <v>4225621.7292200001</v>
      </c>
      <c r="C11" s="133">
        <f>'Fremtind Livsforsikring'!C7+'Fremtind Livsforsikring'!C22+'Fremtind Livsforsikring'!C36+'Fremtind Livsforsikring'!C47+'Fremtind Livsforsikring'!C66+'Fremtind Livsforsikring'!C134</f>
        <v>4533249.1602600003</v>
      </c>
      <c r="D11" s="76">
        <f t="shared" si="0"/>
        <v>7.3</v>
      </c>
      <c r="E11" s="334">
        <f t="shared" si="1"/>
        <v>4.5203082455882813</v>
      </c>
      <c r="F11" s="75"/>
      <c r="G11" s="133">
        <f>'Fremtind Livsforsikring'!B10+'Fremtind Livsforsikring'!B29+'Fremtind Livsforsikring'!B37+'Fremtind Livsforsikring'!B87+'Fremtind Livsforsikring'!B135</f>
        <v>6584967.8127199998</v>
      </c>
      <c r="H11" s="133">
        <f>'Fremtind Livsforsikring'!C10+'Fremtind Livsforsikring'!C29+'Fremtind Livsforsikring'!C37+'Fremtind Livsforsikring'!C87+'Fremtind Livsforsikring'!C135</f>
        <v>7209116.00973</v>
      </c>
      <c r="I11" s="76">
        <f t="shared" si="2"/>
        <v>9.5</v>
      </c>
      <c r="J11" s="334">
        <f t="shared" si="3"/>
        <v>0.47552613144293576</v>
      </c>
      <c r="K11" s="59" t="s">
        <v>96</v>
      </c>
      <c r="L11" s="171" t="e">
        <f ca="1">INDIRECT("'" &amp;#REF! &amp; "'!" &amp; $P$7)</f>
        <v>#REF!</v>
      </c>
      <c r="M11" s="169" t="e">
        <f ca="1">INDIRECT("'" &amp;#REF! &amp; "'!" &amp; $P$8)</f>
        <v>#REF!</v>
      </c>
      <c r="N11" s="171" t="e">
        <f ca="1">INDIRECT("'" &amp;#REF! &amp; "'!" &amp;#REF!)</f>
        <v>#REF!</v>
      </c>
      <c r="O11" s="169" t="e">
        <f ca="1">INDIRECT("'" &amp;#REF! &amp; "'!" &amp; $P$9)</f>
        <v>#REF!</v>
      </c>
      <c r="R11" s="430"/>
    </row>
    <row r="12" spans="1:18" ht="18" x14ac:dyDescent="0.35">
      <c r="A12" s="77" t="s">
        <v>97</v>
      </c>
      <c r="B12" s="133">
        <f>'Frende Livsforsikring'!B7+'Frende Livsforsikring'!B22+'Frende Livsforsikring'!B36+'Frende Livsforsikring'!B47+'Frende Livsforsikring'!B66+'Frende Livsforsikring'!B134</f>
        <v>630989</v>
      </c>
      <c r="C12" s="133">
        <f>'Frende Livsforsikring'!C7+'Frende Livsforsikring'!C22+'Frende Livsforsikring'!C36+'Frende Livsforsikring'!C47+'Frende Livsforsikring'!C66+'Frende Livsforsikring'!C134</f>
        <v>713447</v>
      </c>
      <c r="D12" s="76">
        <f t="shared" si="0"/>
        <v>13.1</v>
      </c>
      <c r="E12" s="334">
        <f t="shared" si="1"/>
        <v>0.71141034672474424</v>
      </c>
      <c r="F12" s="75"/>
      <c r="G12" s="133">
        <f>'Frende Livsforsikring'!B10+'Frende Livsforsikring'!B29+'Frende Livsforsikring'!B37+'Frende Livsforsikring'!B87+'Frende Livsforsikring'!B135</f>
        <v>1788691</v>
      </c>
      <c r="H12" s="133">
        <f>'Frende Livsforsikring'!C10+'Frende Livsforsikring'!C29+'Frende Livsforsikring'!C37+'Frende Livsforsikring'!C87+'Frende Livsforsikring'!C135</f>
        <v>2151638</v>
      </c>
      <c r="I12" s="76">
        <f t="shared" si="2"/>
        <v>20.3</v>
      </c>
      <c r="J12" s="334">
        <f t="shared" si="3"/>
        <v>0.14192587454892897</v>
      </c>
      <c r="L12" s="171"/>
      <c r="M12" s="169"/>
      <c r="N12" s="171"/>
      <c r="O12" s="169"/>
    </row>
    <row r="13" spans="1:18" ht="18" x14ac:dyDescent="0.35">
      <c r="A13" s="77" t="s">
        <v>98</v>
      </c>
      <c r="B13" s="133">
        <f>'Frende Skadeforsikring'!B7+'Frende Skadeforsikring'!B22+'Frende Skadeforsikring'!B36+'Frende Skadeforsikring'!B47+'Frende Skadeforsikring'!B66+'Frende Skadeforsikring'!B134</f>
        <v>2550.2539999999999</v>
      </c>
      <c r="C13" s="133">
        <f>'Frende Skadeforsikring'!C7+'Frende Skadeforsikring'!C22+'Frende Skadeforsikring'!C36+'Frende Skadeforsikring'!C47+'Frende Skadeforsikring'!C66+'Frende Skadeforsikring'!C134</f>
        <v>294.02600000000001</v>
      </c>
      <c r="D13" s="76">
        <f t="shared" si="0"/>
        <v>-88.5</v>
      </c>
      <c r="E13" s="334">
        <f t="shared" si="1"/>
        <v>2.9318665381743798E-4</v>
      </c>
      <c r="F13" s="75"/>
      <c r="G13" s="133">
        <f>'Frende Skadeforsikring'!B10+'Frende Skadeforsikring'!B29+'Frende Skadeforsikring'!B37+'Frende Skadeforsikring'!B87+'Frende Skadeforsikring'!B135</f>
        <v>0</v>
      </c>
      <c r="H13" s="133">
        <f>'Frende Skadeforsikring'!C10+'Frende Skadeforsikring'!C29+'Frende Skadeforsikring'!C37+'Frende Skadeforsikring'!C87+'Frende Skadeforsikring'!C135</f>
        <v>0</v>
      </c>
      <c r="I13" s="76"/>
      <c r="J13" s="334">
        <f t="shared" si="3"/>
        <v>0</v>
      </c>
      <c r="K13" s="59" t="s">
        <v>99</v>
      </c>
      <c r="L13" s="171">
        <f t="shared" ref="L13:L30" ca="1" si="5">INDIRECT("'" &amp; $A12 &amp; "'!" &amp; $P$7)</f>
        <v>0</v>
      </c>
      <c r="M13" s="169">
        <f t="shared" ref="M13:M30" ca="1" si="6">INDIRECT("'" &amp; $A12 &amp; "'!" &amp; $P$8)</f>
        <v>0</v>
      </c>
      <c r="N13" s="171" t="e">
        <f ca="1">INDIRECT("'" &amp; $A12 &amp; "'!" &amp;#REF!)</f>
        <v>#REF!</v>
      </c>
      <c r="O13" s="169">
        <f t="shared" ref="O13:O30" ca="1" si="7">INDIRECT("'" &amp; $A12 &amp; "'!" &amp; $P$9)</f>
        <v>0</v>
      </c>
    </row>
    <row r="14" spans="1:18" ht="18" x14ac:dyDescent="0.35">
      <c r="A14" s="77" t="s">
        <v>100</v>
      </c>
      <c r="B14" s="133">
        <f>'Gjensidige Forsikring'!B7+'Gjensidige Forsikring'!B22+'Gjensidige Forsikring'!B36+'Gjensidige Forsikring'!B47+'Gjensidige Forsikring'!B66+'Gjensidige Forsikring'!B134</f>
        <v>2307390.4688399998</v>
      </c>
      <c r="C14" s="133">
        <f>'Gjensidige Forsikring'!C7+'Gjensidige Forsikring'!C22+'Gjensidige Forsikring'!C36+'Gjensidige Forsikring'!C47+'Gjensidige Forsikring'!C66+'Gjensidige Forsikring'!C134</f>
        <v>2360593.8763300003</v>
      </c>
      <c r="D14" s="76">
        <f t="shared" si="0"/>
        <v>2.2999999999999998</v>
      </c>
      <c r="E14" s="334">
        <f t="shared" si="1"/>
        <v>2.3538551679889799</v>
      </c>
      <c r="F14" s="75"/>
      <c r="G14" s="133">
        <f>'Gjensidige Forsikring'!B10+'Gjensidige Forsikring'!B29+'Gjensidige Forsikring'!B37+'Gjensidige Forsikring'!B87+'Gjensidige Forsikring'!B135</f>
        <v>1203252.1255999999</v>
      </c>
      <c r="H14" s="133">
        <f>'Gjensidige Forsikring'!C10+'Gjensidige Forsikring'!C29+'Gjensidige Forsikring'!C37+'Gjensidige Forsikring'!C87+'Gjensidige Forsikring'!C135</f>
        <v>1189119.4577899899</v>
      </c>
      <c r="I14" s="76">
        <f t="shared" si="2"/>
        <v>-1.2</v>
      </c>
      <c r="J14" s="334">
        <f t="shared" si="3"/>
        <v>7.8436437258494487E-2</v>
      </c>
      <c r="K14" s="59" t="s">
        <v>101</v>
      </c>
      <c r="L14" s="171">
        <f t="shared" ca="1" si="5"/>
        <v>0</v>
      </c>
      <c r="M14" s="169">
        <f t="shared" ca="1" si="6"/>
        <v>0</v>
      </c>
      <c r="N14" s="171" t="e">
        <f ca="1">INDIRECT("'" &amp; $A13 &amp; "'!" &amp;#REF!)</f>
        <v>#REF!</v>
      </c>
      <c r="O14" s="169">
        <f t="shared" ca="1" si="7"/>
        <v>0</v>
      </c>
    </row>
    <row r="15" spans="1:18" ht="18" x14ac:dyDescent="0.35">
      <c r="A15" s="77" t="s">
        <v>102</v>
      </c>
      <c r="B15" s="133">
        <f>'Gjensidige Pensjon'!B7+'Gjensidige Pensjon'!B22+'Gjensidige Pensjon'!B36+'Gjensidige Pensjon'!B47+'Gjensidige Pensjon'!B66+'Gjensidige Pensjon'!B134</f>
        <v>1077042</v>
      </c>
      <c r="C15" s="133">
        <f>'Gjensidige Pensjon'!C7+'Gjensidige Pensjon'!C22+'Gjensidige Pensjon'!C36+'Gjensidige Pensjon'!C47+'Gjensidige Pensjon'!C66+'Gjensidige Pensjon'!C134</f>
        <v>1219230</v>
      </c>
      <c r="D15" s="76">
        <f t="shared" si="0"/>
        <v>13.2</v>
      </c>
      <c r="E15" s="334">
        <f t="shared" si="1"/>
        <v>1.2157495049207718</v>
      </c>
      <c r="F15" s="75"/>
      <c r="G15" s="133">
        <f>'Gjensidige Pensjon'!B10+'Gjensidige Pensjon'!B29+'Gjensidige Pensjon'!B37+'Gjensidige Pensjon'!B87+'Gjensidige Pensjon'!B135</f>
        <v>10849100</v>
      </c>
      <c r="H15" s="133">
        <f>'Gjensidige Pensjon'!C10+'Gjensidige Pensjon'!C29+'Gjensidige Pensjon'!C37+'Gjensidige Pensjon'!C87+'Gjensidige Pensjon'!C135</f>
        <v>11860831</v>
      </c>
      <c r="I15" s="76">
        <f t="shared" si="2"/>
        <v>9.3000000000000007</v>
      </c>
      <c r="J15" s="334">
        <f t="shared" si="3"/>
        <v>0.78236153690911192</v>
      </c>
      <c r="K15" s="59" t="s">
        <v>90</v>
      </c>
      <c r="L15" s="171">
        <f t="shared" ca="1" si="5"/>
        <v>0</v>
      </c>
      <c r="M15" s="169">
        <f t="shared" ca="1" si="6"/>
        <v>0</v>
      </c>
      <c r="N15" s="171" t="e">
        <f ca="1">INDIRECT("'" &amp; $A14 &amp; "'!" &amp;#REF!)</f>
        <v>#REF!</v>
      </c>
      <c r="O15" s="169">
        <f t="shared" ca="1" si="7"/>
        <v>0</v>
      </c>
    </row>
    <row r="16" spans="1:18" ht="18" x14ac:dyDescent="0.35">
      <c r="A16" s="77" t="s">
        <v>103</v>
      </c>
      <c r="B16" s="133">
        <f>'If Skadeforsikring NUF'!B7+'If Skadeforsikring NUF'!B22+'If Skadeforsikring NUF'!B36+'If Skadeforsikring NUF'!B47+'If Skadeforsikring NUF'!B66+'If Skadeforsikring NUF'!B134</f>
        <v>733957.59109304007</v>
      </c>
      <c r="C16" s="133">
        <f>'If Skadeforsikring NUF'!C7+'If Skadeforsikring NUF'!C22+'If Skadeforsikring NUF'!C36+'If Skadeforsikring NUF'!C47+'If Skadeforsikring NUF'!C66+'If Skadeforsikring NUF'!C134</f>
        <v>818211.84543254902</v>
      </c>
      <c r="D16" s="76">
        <f t="shared" si="0"/>
        <v>11.5</v>
      </c>
      <c r="E16" s="334">
        <f t="shared" si="1"/>
        <v>0.81587612345901317</v>
      </c>
      <c r="F16" s="75"/>
      <c r="G16" s="133">
        <f>'If Skadeforsikring NUF'!B10+'If Skadeforsikring NUF'!B29+'If Skadeforsikring NUF'!B37+'If Skadeforsikring NUF'!B87+'If Skadeforsikring NUF'!B135</f>
        <v>629850.56915</v>
      </c>
      <c r="H16" s="133">
        <f>'If Skadeforsikring NUF'!C10+'If Skadeforsikring NUF'!C29+'If Skadeforsikring NUF'!C37+'If Skadeforsikring NUF'!C87+'If Skadeforsikring NUF'!C135</f>
        <v>1056749.0176899999</v>
      </c>
      <c r="I16" s="76">
        <f t="shared" si="2"/>
        <v>67.8</v>
      </c>
      <c r="J16" s="334">
        <f t="shared" si="3"/>
        <v>6.9705047277643747E-2</v>
      </c>
      <c r="K16" s="51"/>
      <c r="L16" s="171" t="e">
        <f ca="1">INDIRECT("'" &amp;#REF! &amp; "'!" &amp; $P$7)</f>
        <v>#REF!</v>
      </c>
      <c r="M16" s="169" t="e">
        <f ca="1">INDIRECT("'" &amp;#REF! &amp; "'!" &amp; $P$8)</f>
        <v>#REF!</v>
      </c>
      <c r="N16" s="171" t="e">
        <f ca="1">INDIRECT("'" &amp;#REF! &amp; "'!" &amp;#REF!)</f>
        <v>#REF!</v>
      </c>
      <c r="O16" s="169" t="e">
        <f ca="1">INDIRECT("'" &amp;#REF! &amp; "'!" &amp; $P$9)</f>
        <v>#REF!</v>
      </c>
    </row>
    <row r="17" spans="1:21" ht="18" x14ac:dyDescent="0.35">
      <c r="A17" s="77" t="s">
        <v>55</v>
      </c>
      <c r="B17" s="133">
        <f>KLP!B7+KLP!B22+KLP!B36+KLP!B47+KLP!B66+KLP!B134</f>
        <v>60669623.227650002</v>
      </c>
      <c r="C17" s="133">
        <f>KLP!C7+KLP!C22+KLP!C36+KLP!C47+KLP!C66+KLP!C134</f>
        <v>64854285.533829994</v>
      </c>
      <c r="D17" s="76">
        <f t="shared" si="0"/>
        <v>6.9</v>
      </c>
      <c r="E17" s="334">
        <f t="shared" si="1"/>
        <v>64.669148175277996</v>
      </c>
      <c r="F17" s="75"/>
      <c r="G17" s="133">
        <f>KLP!B10+KLP!B29+KLP!B37+KLP!B87+KLP!B135</f>
        <v>799889817.73760998</v>
      </c>
      <c r="H17" s="133">
        <f>KLP!C10+KLP!C29+KLP!C37+KLP!C87+KLP!C135</f>
        <v>867538617.59638</v>
      </c>
      <c r="I17" s="76">
        <f t="shared" si="2"/>
        <v>8.5</v>
      </c>
      <c r="J17" s="334">
        <f t="shared" si="3"/>
        <v>57.224392303600837</v>
      </c>
      <c r="K17" s="51"/>
      <c r="L17" s="171" t="e">
        <f ca="1">INDIRECT("'" &amp;#REF! &amp; "'!" &amp; $P$7)</f>
        <v>#REF!</v>
      </c>
      <c r="M17" s="169" t="e">
        <f ca="1">INDIRECT("'" &amp;#REF! &amp; "'!" &amp; $P$8)</f>
        <v>#REF!</v>
      </c>
      <c r="N17" s="171" t="e">
        <f ca="1">INDIRECT("'" &amp;#REF! &amp; "'!" &amp;#REF!)</f>
        <v>#REF!</v>
      </c>
      <c r="O17" s="169" t="e">
        <f ca="1">INDIRECT("'" &amp;#REF! &amp; "'!" &amp; $P$9)</f>
        <v>#REF!</v>
      </c>
    </row>
    <row r="18" spans="1:21" ht="18" x14ac:dyDescent="0.35">
      <c r="A18" s="77" t="s">
        <v>104</v>
      </c>
      <c r="B18" s="133">
        <f>'KLP Skadeforsikring AS'!B7+'KLP Skadeforsikring AS'!B22+'KLP Skadeforsikring AS'!B36+'KLP Skadeforsikring AS'!B47+'KLP Skadeforsikring AS'!B66+'KLP Skadeforsikring AS'!B134</f>
        <v>390022.27399999998</v>
      </c>
      <c r="C18" s="133">
        <f>'KLP Skadeforsikring AS'!C7+'KLP Skadeforsikring AS'!C22+'KLP Skadeforsikring AS'!C36+'KLP Skadeforsikring AS'!C47+'KLP Skadeforsikring AS'!C66+'KLP Skadeforsikring AS'!C134</f>
        <v>424342</v>
      </c>
      <c r="D18" s="76">
        <f t="shared" si="0"/>
        <v>8.8000000000000007</v>
      </c>
      <c r="E18" s="334">
        <f t="shared" si="1"/>
        <v>0.42313064509328857</v>
      </c>
      <c r="F18" s="75"/>
      <c r="G18" s="133">
        <f>'KLP Skadeforsikring AS'!B10+'KLP Skadeforsikring AS'!B29+'KLP Skadeforsikring AS'!B37+'KLP Skadeforsikring AS'!B87+'KLP Skadeforsikring AS'!B135</f>
        <v>170090.69199999998</v>
      </c>
      <c r="H18" s="133">
        <f>'KLP Skadeforsikring AS'!C10+'KLP Skadeforsikring AS'!C29+'KLP Skadeforsikring AS'!C37+'KLP Skadeforsikring AS'!C87+'KLP Skadeforsikring AS'!C135</f>
        <v>261965</v>
      </c>
      <c r="I18" s="76">
        <f t="shared" si="2"/>
        <v>54</v>
      </c>
      <c r="J18" s="334">
        <f t="shared" si="3"/>
        <v>1.727967795986601E-2</v>
      </c>
      <c r="K18" s="51"/>
      <c r="L18" s="171">
        <f ca="1">INDIRECT("'" &amp; $A31 &amp; "'!" &amp; $P$7)</f>
        <v>0</v>
      </c>
      <c r="M18" s="169">
        <f ca="1">INDIRECT("'" &amp; $A31 &amp; "'!" &amp; $P$8)</f>
        <v>0</v>
      </c>
      <c r="N18" s="171" t="e">
        <f ca="1">INDIRECT("'" &amp; $A31 &amp; "'!" &amp;#REF!)</f>
        <v>#REF!</v>
      </c>
      <c r="O18" s="169">
        <f ca="1">INDIRECT("'" &amp; $A31 &amp; "'!" &amp; $P$9)</f>
        <v>0</v>
      </c>
    </row>
    <row r="19" spans="1:21" ht="18" x14ac:dyDescent="0.35">
      <c r="A19" s="77" t="s">
        <v>105</v>
      </c>
      <c r="B19" s="133">
        <f>'Knif Trygghet Forsikring'!B7+'Knif Trygghet Forsikring'!B22+'Knif Trygghet Forsikring'!B36+'Knif Trygghet Forsikring'!B47+'Knif Trygghet Forsikring'!B66+'Knif Trygghet Forsikring'!B134</f>
        <v>47903</v>
      </c>
      <c r="C19" s="133">
        <f>'Knif Trygghet Forsikring'!C7+'Knif Trygghet Forsikring'!C22+'Knif Trygghet Forsikring'!C36+'Knif Trygghet Forsikring'!C47+'Knif Trygghet Forsikring'!C66+'Knif Trygghet Forsikring'!C134</f>
        <v>52660</v>
      </c>
      <c r="D19" s="76">
        <f t="shared" ref="D19" si="8">IF(B19=0, "    ---- ", IF(ABS(ROUND(100/B19*C19-100,1))&lt;999,ROUND(100/B19*C19-100,1),IF(ROUND(100/B19*C19-100,1)&gt;999,999,-999)))</f>
        <v>9.9</v>
      </c>
      <c r="E19" s="334">
        <f t="shared" si="1"/>
        <v>5.2509673260277265E-2</v>
      </c>
      <c r="F19" s="75"/>
      <c r="G19" s="133">
        <f>'Knif Trygghet Forsikring'!B10+'Knif Trygghet Forsikring'!B29+'Knif Trygghet Forsikring'!B37+'Knif Trygghet Forsikring'!B87+'Knif Trygghet Forsikring'!B66+'Knif Trygghet Forsikring'!B135</f>
        <v>12104</v>
      </c>
      <c r="H19" s="133">
        <f>'Knif Trygghet Forsikring'!C10+'Knif Trygghet Forsikring'!C29+'Knif Trygghet Forsikring'!C37+'Knif Trygghet Forsikring'!C87+'Knif Trygghet Forsikring'!C66+'Knif Trygghet Forsikring'!C135</f>
        <v>10968</v>
      </c>
      <c r="I19" s="76">
        <f t="shared" ref="I19" si="9">IF(G19=0, "    ---- ", IF(ABS(ROUND(100/G19*H19-100,1))&lt;999,ROUND(100/G19*H19-100,1),IF(ROUND(100/G19*H19-100,1)&gt;999,999,-999)))</f>
        <v>-9.4</v>
      </c>
      <c r="J19" s="334">
        <f t="shared" si="3"/>
        <v>7.2346881401641591E-4</v>
      </c>
      <c r="K19" s="51"/>
      <c r="L19" s="171"/>
      <c r="M19" s="169"/>
      <c r="N19" s="171"/>
      <c r="O19" s="169"/>
    </row>
    <row r="20" spans="1:21" ht="18" x14ac:dyDescent="0.35">
      <c r="A20" s="77" t="s">
        <v>106</v>
      </c>
      <c r="B20" s="133">
        <f>'Landkreditt Forsikring'!B7+'Landkreditt Forsikring'!B22+'Landkreditt Forsikring'!B36+'Landkreditt Forsikring'!B47+'Landkreditt Forsikring'!B66+'Landkreditt Forsikring'!B134</f>
        <v>112297</v>
      </c>
      <c r="C20" s="133">
        <f>'Landkreditt Forsikring'!C7+'Landkreditt Forsikring'!C22+'Landkreditt Forsikring'!C36+'Landkreditt Forsikring'!C47+'Landkreditt Forsikring'!C66+'Landkreditt Forsikring'!C134</f>
        <v>177161</v>
      </c>
      <c r="D20" s="76">
        <f t="shared" si="0"/>
        <v>57.8</v>
      </c>
      <c r="E20" s="334">
        <f t="shared" si="1"/>
        <v>0.17665526442202772</v>
      </c>
      <c r="F20" s="75"/>
      <c r="G20" s="133">
        <f>'Landkreditt Forsikring'!B10+'Landkreditt Forsikring'!B29+'Landkreditt Forsikring'!B37+'Landkreditt Forsikring'!B87+'Landkreditt Forsikring'!B135</f>
        <v>0</v>
      </c>
      <c r="H20" s="133">
        <f>'Landkreditt Forsikring'!C10+'Landkreditt Forsikring'!C29+'Landkreditt Forsikring'!C37+'Landkreditt Forsikring'!C87+'Landkreditt Forsikring'!C135</f>
        <v>0</v>
      </c>
      <c r="I20" s="76"/>
      <c r="J20" s="334">
        <f t="shared" si="3"/>
        <v>0</v>
      </c>
      <c r="K20" s="51"/>
      <c r="L20" s="171">
        <f ca="1">INDIRECT("'" &amp; $A18 &amp; "'!" &amp; $P$7)</f>
        <v>0</v>
      </c>
      <c r="M20" s="169">
        <f ca="1">INDIRECT("'" &amp; $A18 &amp; "'!" &amp; $P$8)</f>
        <v>0</v>
      </c>
      <c r="N20" s="171" t="e">
        <f ca="1">INDIRECT("'" &amp; $A18 &amp; "'!" &amp;#REF!)</f>
        <v>#REF!</v>
      </c>
      <c r="O20" s="169">
        <f ca="1">INDIRECT("'" &amp; $A18 &amp; "'!" &amp; $P$9)</f>
        <v>0</v>
      </c>
    </row>
    <row r="21" spans="1:21" ht="18" x14ac:dyDescent="0.35">
      <c r="A21" s="77" t="s">
        <v>59</v>
      </c>
      <c r="B21" s="133">
        <f>'Ly Forsikring'!B7+'Ly Forsikring'!B22+'Ly Forsikring'!B36+'Ly Forsikring'!B47+'Ly Forsikring'!B66+'Ly Forsikring'!B134</f>
        <v>32229.312999999998</v>
      </c>
      <c r="C21" s="133">
        <f>'Ly Forsikring'!C7+'Ly Forsikring'!C22+'Ly Forsikring'!C36+'Ly Forsikring'!C47+'Ly Forsikring'!C66+'Ly Forsikring'!C134</f>
        <v>35801</v>
      </c>
      <c r="D21" s="76">
        <f t="shared" ref="D21" si="10">IF(B21=0, "    ---- ", IF(ABS(ROUND(100/B21*C21-100,1))&lt;999,ROUND(100/B21*C21-100,1),IF(ROUND(100/B21*C21-100,1)&gt;999,999,-999)))</f>
        <v>11.1</v>
      </c>
      <c r="E21" s="334">
        <f t="shared" si="1"/>
        <v>3.5698800083387508E-2</v>
      </c>
      <c r="F21" s="75"/>
      <c r="G21" s="133">
        <f>'Ly Forsikring'!B10+'Ly Forsikring'!B29+'Ly Forsikring'!B37+'Ly Forsikring'!B87+'Ly Forsikring'!B135</f>
        <v>0</v>
      </c>
      <c r="H21" s="133">
        <f>'Ly Forsikring'!C10+'Ly Forsikring'!C29+'Ly Forsikring'!C37+'Ly Forsikring'!C87+'Ly Forsikring'!C135</f>
        <v>0</v>
      </c>
      <c r="I21" s="76"/>
      <c r="J21" s="334">
        <f t="shared" si="3"/>
        <v>0</v>
      </c>
      <c r="K21" s="51"/>
      <c r="L21" s="171"/>
      <c r="M21" s="169"/>
      <c r="N21" s="171"/>
      <c r="O21" s="169"/>
    </row>
    <row r="22" spans="1:21" ht="18" x14ac:dyDescent="0.35">
      <c r="A22" s="77" t="s">
        <v>107</v>
      </c>
      <c r="B22" s="133">
        <f>'Nordea Liv '!B7+'Nordea Liv '!B22+'Nordea Liv '!B36+'Nordea Liv '!B47+'Nordea Liv '!B66+'Nordea Liv '!B134</f>
        <v>1799637.4678502949</v>
      </c>
      <c r="C22" s="133">
        <f>'Nordea Liv '!C7+'Nordea Liv '!C22+'Nordea Liv '!C36+'Nordea Liv '!C47+'Nordea Liv '!C66+'Nordea Liv '!C134</f>
        <v>1992049.536412423</v>
      </c>
      <c r="D22" s="76">
        <f t="shared" si="0"/>
        <v>10.7</v>
      </c>
      <c r="E22" s="334">
        <f t="shared" si="1"/>
        <v>1.9863628992651563</v>
      </c>
      <c r="F22" s="75"/>
      <c r="G22" s="133">
        <f>'Nordea Liv '!B10+'Nordea Liv '!B29+'Nordea Liv '!B37+'Nordea Liv '!B87+'Nordea Liv '!B135</f>
        <v>54748349.999999203</v>
      </c>
      <c r="H22" s="133">
        <f>'Nordea Liv '!C10+'Nordea Liv '!C29+'Nordea Liv '!C37+'Nordea Liv '!C87+'Nordea Liv '!C135</f>
        <v>56197529.99999965</v>
      </c>
      <c r="I22" s="76">
        <f t="shared" si="2"/>
        <v>2.6</v>
      </c>
      <c r="J22" s="334">
        <f t="shared" si="3"/>
        <v>3.7068891666440278</v>
      </c>
      <c r="K22" s="51"/>
      <c r="L22" s="171">
        <f ca="1">INDIRECT("'" &amp; $A20 &amp; "'!" &amp; $P$7)</f>
        <v>0</v>
      </c>
      <c r="M22" s="169">
        <f ca="1">INDIRECT("'" &amp; $A20 &amp; "'!" &amp; $P$8)</f>
        <v>0</v>
      </c>
      <c r="N22" s="171" t="e">
        <f ca="1">INDIRECT("'" &amp; $A20 &amp; "'!" &amp;#REF!)</f>
        <v>#REF!</v>
      </c>
      <c r="O22" s="169">
        <f ca="1">INDIRECT("'" &amp; $A20 &amp; "'!" &amp; $P$9)</f>
        <v>0</v>
      </c>
    </row>
    <row r="23" spans="1:21" ht="18" x14ac:dyDescent="0.35">
      <c r="A23" s="77" t="s">
        <v>61</v>
      </c>
      <c r="B23" s="133">
        <f>'Oslo Forsikring'!B7+'Oslo Forsikring'!B22+'Oslo Forsikring'!B36+'Oslo Forsikring'!B47+'Oslo Forsikring'!B66+'Oslo Forsikring'!B134</f>
        <v>33970</v>
      </c>
      <c r="C23" s="133">
        <f>'Oslo Forsikring'!C7+'Oslo Forsikring'!C22+'Oslo Forsikring'!C36+'Oslo Forsikring'!C47+'Oslo Forsikring'!C66+'Oslo Forsikring'!C134</f>
        <v>36370</v>
      </c>
      <c r="D23" s="76">
        <f t="shared" ref="D23" si="11">IF(B23=0, "    ---- ", IF(ABS(ROUND(100/B23*C23-100,1))&lt;999,ROUND(100/B23*C23-100,1),IF(ROUND(100/B23*C23-100,1)&gt;999,999,-999)))</f>
        <v>7.1</v>
      </c>
      <c r="E23" s="334">
        <f t="shared" si="1"/>
        <v>3.6266175778129205E-2</v>
      </c>
      <c r="F23" s="75"/>
      <c r="G23" s="133">
        <f>'Oslo Forsikring'!B10+'Oslo Forsikring'!B29+'Oslo Forsikring'!B37+'Oslo Forsikring'!B87+'Oslo Forsikring'!B135</f>
        <v>0</v>
      </c>
      <c r="H23" s="133">
        <f>'Oslo Forsikring'!C10+'Oslo Forsikring'!C29+'Oslo Forsikring'!C37+'Oslo Forsikring'!C87+'Oslo Forsikring'!C135</f>
        <v>0</v>
      </c>
      <c r="I23" s="76"/>
      <c r="J23" s="334">
        <f t="shared" si="3"/>
        <v>0</v>
      </c>
      <c r="K23" s="51"/>
      <c r="L23" s="171"/>
      <c r="M23" s="169"/>
      <c r="N23" s="171"/>
      <c r="O23" s="169"/>
    </row>
    <row r="24" spans="1:21" ht="18" x14ac:dyDescent="0.35">
      <c r="A24" s="77" t="s">
        <v>108</v>
      </c>
      <c r="B24" s="133">
        <f>'Oslo Pensjonsforsikring'!B7+'Oslo Pensjonsforsikring'!B22+'Oslo Pensjonsforsikring'!B36+'Oslo Pensjonsforsikring'!B47+'Oslo Pensjonsforsikring'!B66+'Oslo Pensjonsforsikring'!B134</f>
        <v>8288469.449</v>
      </c>
      <c r="C24" s="133">
        <f>'Oslo Pensjonsforsikring'!C7+'Oslo Pensjonsforsikring'!C22+'Oslo Pensjonsforsikring'!C36+'Oslo Pensjonsforsikring'!C47+'Oslo Pensjonsforsikring'!C66+'Oslo Pensjonsforsikring'!C134</f>
        <v>7886826</v>
      </c>
      <c r="D24" s="76">
        <f t="shared" si="0"/>
        <v>-4.8</v>
      </c>
      <c r="E24" s="334">
        <f t="shared" si="1"/>
        <v>7.8643117417519841</v>
      </c>
      <c r="F24" s="75"/>
      <c r="G24" s="133">
        <f>'Oslo Pensjonsforsikring'!B10+'Oslo Pensjonsforsikring'!B29+'Oslo Pensjonsforsikring'!B37+'Oslo Pensjonsforsikring'!B87+'Oslo Pensjonsforsikring'!B135</f>
        <v>130120437</v>
      </c>
      <c r="H24" s="133">
        <f>'Oslo Pensjonsforsikring'!C10+'Oslo Pensjonsforsikring'!C29+'Oslo Pensjonsforsikring'!C37+'Oslo Pensjonsforsikring'!C87+'Oslo Pensjonsforsikring'!C135</f>
        <v>140520533</v>
      </c>
      <c r="I24" s="76">
        <f t="shared" si="2"/>
        <v>8</v>
      </c>
      <c r="J24" s="334">
        <f t="shared" si="3"/>
        <v>9.2689846238570954</v>
      </c>
      <c r="K24" s="51"/>
      <c r="L24" s="171">
        <f ca="1">INDIRECT("'" &amp; $A22 &amp; "'!" &amp; $P$7)</f>
        <v>0</v>
      </c>
      <c r="M24" s="169">
        <f ca="1">INDIRECT("'" &amp; $A22 &amp; "'!" &amp; $P$8)</f>
        <v>0</v>
      </c>
      <c r="N24" s="171" t="e">
        <f ca="1">INDIRECT("'" &amp; $A22 &amp; "'!" &amp;#REF!)</f>
        <v>#REF!</v>
      </c>
      <c r="O24" s="169">
        <f ca="1">INDIRECT("'" &amp; $A22 &amp; "'!" &amp; $P$9)</f>
        <v>0</v>
      </c>
    </row>
    <row r="25" spans="1:21" ht="18" x14ac:dyDescent="0.35">
      <c r="A25" s="77" t="s">
        <v>109</v>
      </c>
      <c r="B25" s="133">
        <f>'Protector Forsikring'!B7+'Protector Forsikring'!B22+'Protector Forsikring'!B36+'Protector Forsikring'!B47+'Protector Forsikring'!B66+'Protector Forsikring'!B134</f>
        <v>398078</v>
      </c>
      <c r="C25" s="133">
        <f>'Protector Forsikring'!C7+'Protector Forsikring'!C22+'Protector Forsikring'!C36+'Protector Forsikring'!C47+'Protector Forsikring'!C66+'Protector Forsikring'!C134</f>
        <v>421754.99</v>
      </c>
      <c r="D25" s="76">
        <f t="shared" si="0"/>
        <v>5.9</v>
      </c>
      <c r="E25" s="334">
        <f t="shared" si="1"/>
        <v>0.42055102014416074</v>
      </c>
      <c r="F25" s="75"/>
      <c r="G25" s="133">
        <f>'Protector Forsikring'!B10+'Protector Forsikring'!B29+'Protector Forsikring'!B37+'Protector Forsikring'!B87+'Protector Forsikring'!B135</f>
        <v>0</v>
      </c>
      <c r="H25" s="133">
        <f>'Protector Forsikring'!C10+'Protector Forsikring'!C29+'Protector Forsikring'!C37+'Protector Forsikring'!C87+'Protector Forsikring'!C135</f>
        <v>0</v>
      </c>
      <c r="I25" s="76"/>
      <c r="J25" s="334">
        <f t="shared" si="3"/>
        <v>0</v>
      </c>
      <c r="K25" s="51"/>
      <c r="L25" s="171">
        <f t="shared" ca="1" si="5"/>
        <v>0</v>
      </c>
      <c r="M25" s="169">
        <f t="shared" ca="1" si="6"/>
        <v>0</v>
      </c>
      <c r="N25" s="171" t="e">
        <f ca="1">INDIRECT("'" &amp; $A24 &amp; "'!" &amp;#REF!)</f>
        <v>#REF!</v>
      </c>
      <c r="O25" s="169">
        <f t="shared" ca="1" si="7"/>
        <v>0</v>
      </c>
    </row>
    <row r="26" spans="1:21" ht="18" x14ac:dyDescent="0.35">
      <c r="A26" s="77" t="s">
        <v>64</v>
      </c>
      <c r="B26" s="133">
        <f>'Sparebank 1 Fors.'!B7+'Sparebank 1 Fors.'!B22+'Sparebank 1 Fors.'!B36+'Sparebank 1 Fors.'!B47+'Sparebank 1 Fors.'!B66+'Sparebank 1 Fors.'!B134</f>
        <v>917537.71678000002</v>
      </c>
      <c r="C26" s="133">
        <f>'Sparebank 1 Fors.'!C7+'Sparebank 1 Fors.'!C22+'Sparebank 1 Fors.'!C36+'Sparebank 1 Fors.'!C47+'Sparebank 1 Fors.'!C66+'Sparebank 1 Fors.'!C134</f>
        <v>984220.4021699999</v>
      </c>
      <c r="D26" s="76">
        <f t="shared" si="0"/>
        <v>7.3</v>
      </c>
      <c r="E26" s="334">
        <f t="shared" si="1"/>
        <v>0.98141078112505464</v>
      </c>
      <c r="F26" s="75"/>
      <c r="G26" s="133">
        <f>'Sparebank 1 Fors.'!B10+'Sparebank 1 Fors.'!B29+'Sparebank 1 Fors.'!B37+'Sparebank 1 Fors.'!B87+'Sparebank 1 Fors.'!B135</f>
        <v>22598085.538499996</v>
      </c>
      <c r="H26" s="133">
        <f>'Sparebank 1 Fors.'!C10+'Sparebank 1 Fors.'!C29+'Sparebank 1 Fors.'!C37+'Sparebank 1 Fors.'!C87+'Sparebank 1 Fors.'!C135</f>
        <v>26604089.189259999</v>
      </c>
      <c r="I26" s="76">
        <f t="shared" si="2"/>
        <v>17.7</v>
      </c>
      <c r="J26" s="334">
        <f t="shared" si="3"/>
        <v>1.7548531048268492</v>
      </c>
      <c r="K26" s="51"/>
      <c r="L26" s="171">
        <f t="shared" ca="1" si="5"/>
        <v>0</v>
      </c>
      <c r="M26" s="169">
        <f t="shared" ca="1" si="6"/>
        <v>0</v>
      </c>
      <c r="N26" s="171" t="e">
        <f ca="1">INDIRECT("'" &amp; $A25 &amp; "'!" &amp;#REF!)</f>
        <v>#REF!</v>
      </c>
      <c r="O26" s="169">
        <f t="shared" ca="1" si="7"/>
        <v>0</v>
      </c>
    </row>
    <row r="27" spans="1:21" ht="18" x14ac:dyDescent="0.35">
      <c r="A27" s="77" t="s">
        <v>110</v>
      </c>
      <c r="B27" s="133">
        <f>'Storebrand Livsforsikring'!B7+'Storebrand Livsforsikring'!B22+'Storebrand Livsforsikring'!B36+'Storebrand Livsforsikring'!B47+'Storebrand Livsforsikring'!B66+'Storebrand Livsforsikring'!B134</f>
        <v>8057784.6228</v>
      </c>
      <c r="C27" s="133">
        <f>'Storebrand Livsforsikring'!C7+'Storebrand Livsforsikring'!C22+'Storebrand Livsforsikring'!C36+'Storebrand Livsforsikring'!C47+'Storebrand Livsforsikring'!C66+'Storebrand Livsforsikring'!C134</f>
        <v>8996950.7571099997</v>
      </c>
      <c r="D27" s="76">
        <f t="shared" si="0"/>
        <v>11.7</v>
      </c>
      <c r="E27" s="334">
        <f t="shared" si="1"/>
        <v>8.9712674628684059</v>
      </c>
      <c r="F27" s="75"/>
      <c r="G27" s="133">
        <f>'Storebrand Livsforsikring'!B10+'Storebrand Livsforsikring'!B29+'Storebrand Livsforsikring'!B37+'Storebrand Livsforsikring'!B87+'Storebrand Livsforsikring'!B135</f>
        <v>211434057.99526995</v>
      </c>
      <c r="H27" s="133">
        <f>'Storebrand Livsforsikring'!C10+'Storebrand Livsforsikring'!C29+'Storebrand Livsforsikring'!C37+'Storebrand Livsforsikring'!C87+'Storebrand Livsforsikring'!C135</f>
        <v>221885288.55203003</v>
      </c>
      <c r="I27" s="76">
        <f t="shared" si="2"/>
        <v>4.9000000000000004</v>
      </c>
      <c r="J27" s="334">
        <f t="shared" si="3"/>
        <v>14.635948810761066</v>
      </c>
      <c r="K27" s="51"/>
      <c r="L27" s="171" t="e">
        <f t="shared" ca="1" si="5"/>
        <v>#REF!</v>
      </c>
      <c r="M27" s="169" t="e">
        <f t="shared" ca="1" si="6"/>
        <v>#REF!</v>
      </c>
      <c r="N27" s="171" t="e">
        <f ca="1">INDIRECT("'" &amp; $A26 &amp; "'!" &amp;#REF!)</f>
        <v>#REF!</v>
      </c>
      <c r="O27" s="169" t="e">
        <f t="shared" ca="1" si="7"/>
        <v>#REF!</v>
      </c>
    </row>
    <row r="28" spans="1:21" ht="18" x14ac:dyDescent="0.35">
      <c r="A28" s="77" t="s">
        <v>73</v>
      </c>
      <c r="B28" s="133">
        <f>'Telenor Forsikring'!B7+'Telenor Forsikring'!B22+'Telenor Forsikring'!B36+'Telenor Forsikring'!B47+'Telenor Forsikring'!B66+'Telenor Forsikring'!B134</f>
        <v>9397</v>
      </c>
      <c r="C28" s="133">
        <f>'Telenor Forsikring'!C7+'Telenor Forsikring'!C22+'Telenor Forsikring'!C36+'Telenor Forsikring'!C47+'Telenor Forsikring'!C66+'Telenor Forsikring'!C134</f>
        <v>7737</v>
      </c>
      <c r="D28" s="76">
        <f t="shared" si="0"/>
        <v>-17.7</v>
      </c>
      <c r="E28" s="334">
        <f t="shared" si="1"/>
        <v>7.7149134450202276E-3</v>
      </c>
      <c r="F28" s="75"/>
      <c r="G28" s="133">
        <f>'Telenor Forsikring'!B10+'Telenor Forsikring'!B29+'Telenor Forsikring'!B37+'Telenor Forsikring'!B87+'Telenor Forsikring'!B135</f>
        <v>0</v>
      </c>
      <c r="H28" s="133">
        <f>'Telenor Forsikring'!C10+'Telenor Forsikring'!C29+'Telenor Forsikring'!C37+'Telenor Forsikring'!C87+'Telenor Forsikring'!C135</f>
        <v>0</v>
      </c>
      <c r="I28" s="76"/>
      <c r="J28" s="334">
        <f t="shared" si="3"/>
        <v>0</v>
      </c>
      <c r="K28" s="51"/>
      <c r="L28" s="171">
        <f t="shared" ca="1" si="5"/>
        <v>0</v>
      </c>
      <c r="M28" s="169">
        <f t="shared" ca="1" si="6"/>
        <v>0</v>
      </c>
      <c r="N28" s="171" t="e">
        <f ca="1">INDIRECT("'" &amp; $A27 &amp; "'!" &amp;#REF!)</f>
        <v>#REF!</v>
      </c>
      <c r="O28" s="169">
        <f t="shared" ca="1" si="7"/>
        <v>0</v>
      </c>
      <c r="R28" s="430"/>
    </row>
    <row r="29" spans="1:21" ht="18" x14ac:dyDescent="0.35">
      <c r="A29" s="77" t="s">
        <v>74</v>
      </c>
      <c r="B29" s="133">
        <f>'Tryg Forsikring'!B7+'Tryg Forsikring'!B22+'Tryg Forsikring'!B36+'Tryg Forsikring'!B47+'Tryg Forsikring'!B66+'Tryg Forsikring'!B134</f>
        <v>876213.18599999999</v>
      </c>
      <c r="C29" s="133">
        <f>'Tryg Forsikring'!C7+'Tryg Forsikring'!C22+'Tryg Forsikring'!C36+'Tryg Forsikring'!C47+'Tryg Forsikring'!C66+'Tryg Forsikring'!C134</f>
        <v>904615</v>
      </c>
      <c r="D29" s="76">
        <f t="shared" si="0"/>
        <v>3.2</v>
      </c>
      <c r="E29" s="334">
        <f t="shared" si="1"/>
        <v>0.90203262583261901</v>
      </c>
      <c r="F29" s="75"/>
      <c r="I29" s="76"/>
      <c r="J29" s="334">
        <f t="shared" si="3"/>
        <v>0</v>
      </c>
      <c r="K29" s="158"/>
      <c r="L29" s="171">
        <f t="shared" ca="1" si="5"/>
        <v>0</v>
      </c>
      <c r="M29" s="169">
        <f t="shared" ca="1" si="6"/>
        <v>0</v>
      </c>
      <c r="N29" s="171" t="e">
        <f ca="1">INDIRECT("'" &amp; $A28 &amp; "'!" &amp;#REF!)</f>
        <v>#REF!</v>
      </c>
      <c r="O29" s="169">
        <f t="shared" ca="1" si="7"/>
        <v>0</v>
      </c>
    </row>
    <row r="30" spans="1:21" ht="18" x14ac:dyDescent="0.35">
      <c r="A30" s="77" t="s">
        <v>111</v>
      </c>
      <c r="B30" s="133">
        <f>'WaterCircles F'!B7+'WaterCircles F'!B22+'WaterCircles F'!B36+'WaterCircles F'!B47+'WaterCircles F'!B66+'WaterCircles F'!B136</f>
        <v>1705</v>
      </c>
      <c r="C30" s="133">
        <f>'WaterCircles F'!C7+'WaterCircles F'!C22+'WaterCircles F'!C36+'WaterCircles F'!C47+'WaterCircles F'!C66+'WaterCircles F'!C136</f>
        <v>1629</v>
      </c>
      <c r="D30" s="76">
        <f t="shared" si="0"/>
        <v>-4.5</v>
      </c>
      <c r="E30" s="334">
        <f t="shared" si="1"/>
        <v>1.6243497482148056E-3</v>
      </c>
      <c r="F30" s="77"/>
      <c r="G30" s="75">
        <f>'WaterCircles F'!B10+'WaterCircles F'!B29+'WaterCircles F'!B37+'WaterCircles F'!B87+'WaterCircles F'!B135</f>
        <v>0</v>
      </c>
      <c r="H30" s="75">
        <f>'WaterCircles F'!C10+'WaterCircles F'!C29+'WaterCircles F'!C37+'WaterCircles F'!C87+'WaterCircles F'!C135</f>
        <v>0</v>
      </c>
      <c r="I30" s="76"/>
      <c r="J30" s="334">
        <f t="shared" si="3"/>
        <v>0</v>
      </c>
      <c r="K30" s="158"/>
      <c r="L30" s="171">
        <f t="shared" ca="1" si="5"/>
        <v>0</v>
      </c>
      <c r="M30" s="169">
        <f t="shared" ca="1" si="6"/>
        <v>0</v>
      </c>
      <c r="N30" s="171" t="e">
        <f ca="1">INDIRECT("'" &amp; $A29 &amp; "'!" &amp;#REF!)</f>
        <v>#REF!</v>
      </c>
      <c r="O30" s="169">
        <f t="shared" ca="1" si="7"/>
        <v>0</v>
      </c>
    </row>
    <row r="31" spans="1:21" ht="18" x14ac:dyDescent="0.35">
      <c r="A31" s="77" t="s">
        <v>112</v>
      </c>
      <c r="B31" s="133">
        <f>'Youplus Livsforsikring'!B7+'Youplus Livsforsikring'!B22+'Youplus Livsforsikring'!B36+'Youplus Livsforsikring'!B47+'Youplus Livsforsikring'!B66+'Youplus Livsforsikring'!B134</f>
        <v>63809</v>
      </c>
      <c r="C31" s="133">
        <f>'Youplus Livsforsikring'!C7+'Youplus Livsforsikring'!C22+'Youplus Livsforsikring'!C36+'Youplus Livsforsikring'!C47+'Youplus Livsforsikring'!C66+'Youplus Livsforsikring'!C134</f>
        <v>101840</v>
      </c>
      <c r="D31" s="76">
        <f>IF(B31=0, "    ---- ", IF(ABS(ROUND(100/B31*C31-100,1))&lt;999,ROUND(100/B31*C31-100,1),IF(ROUND(100/B31*C31-100,1)&gt;999,999,-999)))</f>
        <v>59.6</v>
      </c>
      <c r="E31" s="334">
        <f t="shared" si="1"/>
        <v>0.10154928076009564</v>
      </c>
      <c r="F31" s="75"/>
      <c r="G31" s="133">
        <f>'Youplus Livsforsikring'!B10+'Youplus Livsforsikring'!B29+'Youplus Livsforsikring'!B37+'Youplus Livsforsikring'!B87+'Youplus Livsforsikring'!B135</f>
        <v>53820</v>
      </c>
      <c r="H31" s="133">
        <f>'Youplus Livsforsikring'!C10+'Youplus Livsforsikring'!C29+'Youplus Livsforsikring'!C37+'Youplus Livsforsikring'!C87+'Youplus Livsforsikring'!C135</f>
        <v>97369</v>
      </c>
      <c r="I31" s="76">
        <f>IF(G31=0, "    ---- ", IF(ABS(ROUND(100/G31*H31-100,1))&lt;999,ROUND(100/G31*H31-100,1),IF(ROUND(100/G31*H31-100,1)&gt;999,999,-999)))</f>
        <v>80.900000000000006</v>
      </c>
      <c r="J31" s="334">
        <f t="shared" si="3"/>
        <v>6.422632654263712E-3</v>
      </c>
      <c r="K31" s="51"/>
      <c r="L31" s="171">
        <f ca="1">INDIRECT("'" &amp; $A17 &amp; "'!" &amp; $P$7)</f>
        <v>0</v>
      </c>
      <c r="M31" s="169">
        <f ca="1">INDIRECT("'" &amp; $A17 &amp; "'!" &amp; $P$8)</f>
        <v>0</v>
      </c>
      <c r="N31" s="171" t="e">
        <f ca="1">INDIRECT("'" &amp; $A17 &amp; "'!" &amp;#REF!)</f>
        <v>#REF!</v>
      </c>
      <c r="O31" s="169">
        <f ca="1">INDIRECT("'" &amp; $A17 &amp; "'!" &amp; $P$9)</f>
        <v>0</v>
      </c>
    </row>
    <row r="32" spans="1:21" s="80" customFormat="1" ht="17.399999999999999" x14ac:dyDescent="0.3">
      <c r="A32" s="103" t="s">
        <v>113</v>
      </c>
      <c r="B32" s="63">
        <f>SUM(B9:B31)</f>
        <v>94195787.300233349</v>
      </c>
      <c r="C32" s="189">
        <f>SUM(C9:C31)</f>
        <v>100286283.89854495</v>
      </c>
      <c r="D32" s="79">
        <f t="shared" ref="D32" si="12">IF(B32=0, "    ---- ", IF(ABS(ROUND(100/B32*C32-100,1))&lt;999,ROUND(100/B32*C32-100,1),IF(ROUND(100/B32*C32-100,1)&gt;999,999,-999)))</f>
        <v>6.5</v>
      </c>
      <c r="E32" s="335">
        <f>SUM(E9:E31)</f>
        <v>100</v>
      </c>
      <c r="F32" s="78"/>
      <c r="G32" s="63">
        <f>SUM(G9:G31)</f>
        <v>1420916351.8770893</v>
      </c>
      <c r="H32" s="63">
        <f>SUM(H9:H31)</f>
        <v>1516029411.0135798</v>
      </c>
      <c r="I32" s="79">
        <f t="shared" ref="I32" si="13">IF(G32=0, "    ---- ", IF(ABS(ROUND(100/G32*H32-100,1))&lt;999,ROUND(100/G32*H32-100,1),IF(ROUND(100/G32*H32-100,1)&gt;999,999,-999)))</f>
        <v>6.7</v>
      </c>
      <c r="J32" s="335">
        <f>SUM(J9:J31)</f>
        <v>100</v>
      </c>
      <c r="K32" s="156"/>
      <c r="L32" s="171" t="e">
        <f ca="1">SUM(L9:L30)</f>
        <v>#REF!</v>
      </c>
      <c r="M32" s="169" t="e">
        <f ca="1">SUM(M9:M30)</f>
        <v>#REF!</v>
      </c>
      <c r="N32" s="171" t="e">
        <f ca="1">SUM(N9:N30)</f>
        <v>#REF!</v>
      </c>
      <c r="O32" s="169" t="e">
        <f ca="1">SUM(O9:O30)</f>
        <v>#REF!</v>
      </c>
      <c r="U32" s="156"/>
    </row>
    <row r="33" spans="1:20" ht="18" x14ac:dyDescent="0.35">
      <c r="A33" s="58"/>
      <c r="B33" s="133"/>
      <c r="C33" s="51"/>
      <c r="D33" s="76"/>
      <c r="E33" s="334"/>
      <c r="F33" s="75"/>
      <c r="G33" s="133"/>
      <c r="H33" s="75"/>
      <c r="I33" s="76"/>
      <c r="J33" s="334"/>
      <c r="K33" s="158"/>
      <c r="L33" s="168" t="s">
        <v>70</v>
      </c>
      <c r="M33" s="169"/>
      <c r="N33" s="171"/>
      <c r="O33" s="169"/>
    </row>
    <row r="34" spans="1:20" ht="18" x14ac:dyDescent="0.35">
      <c r="A34" s="73" t="s">
        <v>70</v>
      </c>
      <c r="B34" s="133"/>
      <c r="C34" s="51"/>
      <c r="D34" s="76"/>
      <c r="E34" s="334"/>
      <c r="F34" s="75"/>
      <c r="G34" s="133"/>
      <c r="H34" s="75"/>
      <c r="I34" s="76"/>
      <c r="J34" s="334"/>
      <c r="K34" s="158"/>
      <c r="L34" s="172">
        <v>2015</v>
      </c>
      <c r="M34" s="173">
        <v>2016</v>
      </c>
      <c r="N34" s="172">
        <v>2015</v>
      </c>
      <c r="O34" s="173">
        <v>2016</v>
      </c>
      <c r="P34" s="59" t="s">
        <v>114</v>
      </c>
    </row>
    <row r="35" spans="1:20" ht="18" x14ac:dyDescent="0.35">
      <c r="A35" s="58" t="s">
        <v>92</v>
      </c>
      <c r="B35" s="98">
        <f>'DNB Livsforsikring'!F7+'DNB Livsforsikring'!F22+'DNB Livsforsikring'!F66+'DNB Livsforsikring'!F134</f>
        <v>16859368.662</v>
      </c>
      <c r="C35" s="98">
        <f>'DNB Livsforsikring'!G7+'DNB Livsforsikring'!G22+'DNB Livsforsikring'!G66+'DNB Livsforsikring'!G134</f>
        <v>18227432.572000001</v>
      </c>
      <c r="D35" s="76">
        <f t="shared" ref="D35:D41" si="14">IF(B35=0, "    ---- ", IF(ABS(ROUND(100/B35*C35-100,1))&lt;999,ROUND(100/B35*C35-100,1),IF(ROUND(100/B35*C35-100,1)&gt;999,999,-999)))</f>
        <v>8.1</v>
      </c>
      <c r="E35" s="334">
        <f t="shared" ref="E35:E40" si="15">100/C$41*C35</f>
        <v>25.037945496342552</v>
      </c>
      <c r="F35" s="75"/>
      <c r="G35" s="133">
        <f>'DNB Livsforsikring'!F10+'DNB Livsforsikring'!F29+'DNB Livsforsikring'!F87+'DNB Livsforsikring'!F135</f>
        <v>202254881.60222104</v>
      </c>
      <c r="H35" s="133">
        <f>'DNB Livsforsikring'!G10+'DNB Livsforsikring'!G29+'DNB Livsforsikring'!G87+'DNB Livsforsikring'!G135</f>
        <v>246023350.20497</v>
      </c>
      <c r="I35" s="76">
        <f t="shared" ref="I35:I41" si="16">IF(G35=0, "    ---- ", IF(ABS(ROUND(100/G35*H35-100,1))&lt;999,ROUND(100/G35*H35-100,1),IF(ROUND(100/G35*H35-100,1)&gt;999,999,-999)))</f>
        <v>21.6</v>
      </c>
      <c r="J35" s="334">
        <f t="shared" ref="J35:J40" si="17">100/H$41*H35</f>
        <v>26.278927194292066</v>
      </c>
      <c r="K35" s="59" t="s">
        <v>115</v>
      </c>
      <c r="L35" s="171">
        <f t="shared" ref="L35:L40" ca="1" si="18">INDIRECT("'" &amp; $A35 &amp; "'!" &amp; $P$34)</f>
        <v>0</v>
      </c>
      <c r="M35" s="169" t="e">
        <f ca="1">INDIRECT("'" &amp; $A35 &amp; "'!" &amp;#REF!)</f>
        <v>#REF!</v>
      </c>
      <c r="N35" s="171">
        <f t="shared" ref="N35:N40" ca="1" si="19">INDIRECT("'" &amp; $A35 &amp; "'!" &amp; $P$35)</f>
        <v>0</v>
      </c>
      <c r="O35" s="169" t="e">
        <f ca="1">INDIRECT("'"&amp;$A35&amp;"'!"&amp;#REF!)</f>
        <v>#REF!</v>
      </c>
      <c r="P35" s="59" t="s">
        <v>116</v>
      </c>
    </row>
    <row r="36" spans="1:20" ht="18" x14ac:dyDescent="0.35">
      <c r="A36" s="58" t="s">
        <v>102</v>
      </c>
      <c r="B36" s="98">
        <f>'Gjensidige Pensjon'!F7+'Gjensidige Pensjon'!F22+'Gjensidige Pensjon'!F66+'Gjensidige Pensjon'!F134</f>
        <v>6679158</v>
      </c>
      <c r="C36" s="98">
        <f>'Gjensidige Pensjon'!G7+'Gjensidige Pensjon'!G22+'Gjensidige Pensjon'!G66+'Gjensidige Pensjon'!G134</f>
        <v>7288498</v>
      </c>
      <c r="D36" s="76">
        <f t="shared" si="14"/>
        <v>9.1</v>
      </c>
      <c r="E36" s="334">
        <f t="shared" si="15"/>
        <v>10.011778397936936</v>
      </c>
      <c r="F36" s="75"/>
      <c r="G36" s="133">
        <f>'Gjensidige Pensjon'!F10+'Gjensidige Pensjon'!F29+'Gjensidige Pensjon'!F87+'Gjensidige Pensjon'!F135</f>
        <v>76891950</v>
      </c>
      <c r="H36" s="133">
        <f>'Gjensidige Pensjon'!G10+'Gjensidige Pensjon'!G29+'Gjensidige Pensjon'!G87+'Gjensidige Pensjon'!G135</f>
        <v>91581450</v>
      </c>
      <c r="I36" s="76">
        <f t="shared" si="16"/>
        <v>19.100000000000001</v>
      </c>
      <c r="J36" s="334">
        <f t="shared" si="17"/>
        <v>9.782251379361476</v>
      </c>
      <c r="K36" s="59" t="s">
        <v>117</v>
      </c>
      <c r="L36" s="171">
        <f t="shared" ca="1" si="18"/>
        <v>0</v>
      </c>
      <c r="M36" s="169" t="e">
        <f ca="1">INDIRECT("'" &amp; $A36 &amp; "'!" &amp;#REF!)</f>
        <v>#REF!</v>
      </c>
      <c r="N36" s="171">
        <f t="shared" ca="1" si="19"/>
        <v>0</v>
      </c>
      <c r="O36" s="169" t="e">
        <f ca="1">INDIRECT("'"&amp;$A36&amp;"'!"&amp;#REF!)</f>
        <v>#REF!</v>
      </c>
    </row>
    <row r="37" spans="1:20" ht="18" x14ac:dyDescent="0.35">
      <c r="A37" s="58" t="s">
        <v>55</v>
      </c>
      <c r="B37" s="98">
        <f>KLP!F7+KLP!F22+KLP!F66+KLP!F134</f>
        <v>212249.59526999999</v>
      </c>
      <c r="C37" s="98">
        <f>KLP!G7+KLP!G22+KLP!G66+KLP!G134</f>
        <v>225395.45800000001</v>
      </c>
      <c r="D37" s="76">
        <f t="shared" si="14"/>
        <v>6.2</v>
      </c>
      <c r="E37" s="334">
        <f t="shared" si="15"/>
        <v>0.30961240263734752</v>
      </c>
      <c r="F37" s="75"/>
      <c r="G37" s="133">
        <f>KLP!F10+KLP!F29+KLP!F87+KLP!F135</f>
        <v>2886767.1387900002</v>
      </c>
      <c r="H37" s="133">
        <f>KLP!G10+KLP!G29+KLP!G87+KLP!G135</f>
        <v>3013494.0432199999</v>
      </c>
      <c r="I37" s="76">
        <f t="shared" si="16"/>
        <v>4.4000000000000004</v>
      </c>
      <c r="J37" s="334">
        <f t="shared" si="17"/>
        <v>0.32188566856046102</v>
      </c>
      <c r="K37" s="59" t="s">
        <v>118</v>
      </c>
      <c r="L37" s="171">
        <f t="shared" ca="1" si="18"/>
        <v>0</v>
      </c>
      <c r="M37" s="169" t="e">
        <f ca="1">INDIRECT("'" &amp; $A37 &amp; "'!" &amp;#REF!)</f>
        <v>#REF!</v>
      </c>
      <c r="N37" s="171">
        <f t="shared" ca="1" si="19"/>
        <v>0</v>
      </c>
      <c r="O37" s="169" t="e">
        <f ca="1">INDIRECT("'"&amp;$A37&amp;"'!"&amp;#REF!)</f>
        <v>#REF!</v>
      </c>
    </row>
    <row r="38" spans="1:20" ht="18" x14ac:dyDescent="0.35">
      <c r="A38" s="58" t="s">
        <v>107</v>
      </c>
      <c r="B38" s="98">
        <f>'Nordea Liv '!F7+'Nordea Liv '!F22+'Nordea Liv '!F66+'Nordea Liv '!F134</f>
        <v>20423874.86053</v>
      </c>
      <c r="C38" s="98">
        <f>'Nordea Liv '!G7+'Nordea Liv '!G22+'Nordea Liv '!G66+'Nordea Liv '!G134</f>
        <v>19600219.480189987</v>
      </c>
      <c r="D38" s="76">
        <f t="shared" si="14"/>
        <v>-4</v>
      </c>
      <c r="E38" s="334">
        <f t="shared" si="15"/>
        <v>26.923661635989859</v>
      </c>
      <c r="F38" s="75"/>
      <c r="G38" s="133">
        <f>'Nordea Liv '!F10+'Nordea Liv '!F29+'Nordea Liv '!F87+'Nordea Liv '!F135</f>
        <v>184044040</v>
      </c>
      <c r="H38" s="133">
        <f>'Nordea Liv '!G10+'Nordea Liv '!G29+'Nordea Liv '!G87+'Nordea Liv '!G135</f>
        <v>215644490</v>
      </c>
      <c r="I38" s="76">
        <f t="shared" si="16"/>
        <v>17.2</v>
      </c>
      <c r="J38" s="334">
        <f t="shared" si="17"/>
        <v>23.034016274629874</v>
      </c>
      <c r="K38" s="158"/>
      <c r="L38" s="171">
        <f t="shared" ca="1" si="18"/>
        <v>0</v>
      </c>
      <c r="M38" s="169" t="e">
        <f ca="1">INDIRECT("'" &amp; $A38 &amp; "'!" &amp;#REF!)</f>
        <v>#REF!</v>
      </c>
      <c r="N38" s="171">
        <f t="shared" ca="1" si="19"/>
        <v>0</v>
      </c>
      <c r="O38" s="169" t="e">
        <f ca="1">INDIRECT("'"&amp;$A38&amp;"'!"&amp;#REF!)</f>
        <v>#REF!</v>
      </c>
    </row>
    <row r="39" spans="1:20" ht="18" x14ac:dyDescent="0.35">
      <c r="A39" s="58" t="s">
        <v>64</v>
      </c>
      <c r="B39" s="98">
        <f>'Sparebank 1 Fors.'!F7+'Sparebank 1 Fors.'!F22+'Sparebank 1 Fors.'!F66+'Sparebank 1 Fors.'!F134</f>
        <v>7740231.3276799992</v>
      </c>
      <c r="C39" s="98">
        <f>'Sparebank 1 Fors.'!G7+'Sparebank 1 Fors.'!G22+'Sparebank 1 Fors.'!G66+'Sparebank 1 Fors.'!G134</f>
        <v>8434845.2067599986</v>
      </c>
      <c r="D39" s="76">
        <f t="shared" si="14"/>
        <v>9</v>
      </c>
      <c r="E39" s="334">
        <f t="shared" si="15"/>
        <v>11.586447719541345</v>
      </c>
      <c r="F39" s="75"/>
      <c r="G39" s="133">
        <f>'Sparebank 1 Fors.'!F10+'Sparebank 1 Fors.'!F29+'Sparebank 1 Fors.'!F87+'Sparebank 1 Fors.'!F135</f>
        <v>85361398.641639888</v>
      </c>
      <c r="H39" s="133">
        <f>'Sparebank 1 Fors.'!G10+'Sparebank 1 Fors.'!G29+'Sparebank 1 Fors.'!G87+'Sparebank 1 Fors.'!G135</f>
        <v>97749643.522389993</v>
      </c>
      <c r="I39" s="76">
        <f t="shared" si="16"/>
        <v>14.5</v>
      </c>
      <c r="J39" s="334">
        <f t="shared" si="17"/>
        <v>10.441105542432361</v>
      </c>
      <c r="K39" s="51"/>
      <c r="L39" s="171" t="e">
        <f t="shared" ca="1" si="18"/>
        <v>#REF!</v>
      </c>
      <c r="M39" s="169" t="e">
        <f ca="1">INDIRECT("'" &amp; $A39 &amp; "'!" &amp;#REF!)</f>
        <v>#REF!</v>
      </c>
      <c r="N39" s="171" t="e">
        <f t="shared" ca="1" si="19"/>
        <v>#REF!</v>
      </c>
      <c r="O39" s="169" t="e">
        <f ca="1">INDIRECT("'"&amp;$A39&amp;"'!"&amp;#REF!)</f>
        <v>#REF!</v>
      </c>
    </row>
    <row r="40" spans="1:20" ht="18" x14ac:dyDescent="0.35">
      <c r="A40" s="58" t="s">
        <v>110</v>
      </c>
      <c r="B40" s="98">
        <f>'Storebrand Livsforsikring'!F7+'Storebrand Livsforsikring'!F22+'Storebrand Livsforsikring'!F66+'Storebrand Livsforsikring'!F134</f>
        <v>18250962.46195</v>
      </c>
      <c r="C40" s="98">
        <f>'Storebrand Livsforsikring'!G7+'Storebrand Livsforsikring'!G22+'Storebrand Livsforsikring'!G66+'Storebrand Livsforsikring'!G134</f>
        <v>19022843.448100001</v>
      </c>
      <c r="D40" s="76">
        <f t="shared" si="14"/>
        <v>4.2</v>
      </c>
      <c r="E40" s="334">
        <f t="shared" si="15"/>
        <v>26.130554347551961</v>
      </c>
      <c r="F40" s="75"/>
      <c r="G40" s="133">
        <f>'Storebrand Livsforsikring'!F10+'Storebrand Livsforsikring'!F29+'Storebrand Livsforsikring'!F87+'Storebrand Livsforsikring'!F135</f>
        <v>248216030.50176004</v>
      </c>
      <c r="H40" s="133">
        <f>'Storebrand Livsforsikring'!G10+'Storebrand Livsforsikring'!G29+'Storebrand Livsforsikring'!G87+'Storebrand Livsforsikring'!G135</f>
        <v>282187700.89528</v>
      </c>
      <c r="I40" s="76">
        <f t="shared" si="16"/>
        <v>13.7</v>
      </c>
      <c r="J40" s="334">
        <f t="shared" si="17"/>
        <v>30.141813940723765</v>
      </c>
      <c r="K40" s="51"/>
      <c r="L40" s="171">
        <f t="shared" ca="1" si="18"/>
        <v>0</v>
      </c>
      <c r="M40" s="169" t="e">
        <f ca="1">INDIRECT("'" &amp; $A40 &amp; "'!" &amp;#REF!)</f>
        <v>#REF!</v>
      </c>
      <c r="N40" s="171">
        <f t="shared" ca="1" si="19"/>
        <v>0</v>
      </c>
      <c r="O40" s="169" t="e">
        <f ca="1">INDIRECT("'"&amp;$A40&amp;"'!"&amp;#REF!)</f>
        <v>#REF!</v>
      </c>
    </row>
    <row r="41" spans="1:20" s="80" customFormat="1" ht="18" x14ac:dyDescent="0.35">
      <c r="A41" s="73" t="s">
        <v>119</v>
      </c>
      <c r="B41" s="189">
        <f>SUM(B35:B40)</f>
        <v>70165844.907429993</v>
      </c>
      <c r="C41" s="189">
        <f>SUM(C35:C40)</f>
        <v>72799234.165049985</v>
      </c>
      <c r="D41" s="76">
        <f t="shared" si="14"/>
        <v>3.8</v>
      </c>
      <c r="E41" s="335">
        <f>SUM(E35:E40)</f>
        <v>100</v>
      </c>
      <c r="F41" s="78"/>
      <c r="G41" s="63">
        <f>SUM(G35:G40)</f>
        <v>799655067.88441086</v>
      </c>
      <c r="H41" s="63">
        <f>SUM(H35:H40)</f>
        <v>936200128.66585994</v>
      </c>
      <c r="I41" s="76">
        <f t="shared" si="16"/>
        <v>17.100000000000001</v>
      </c>
      <c r="J41" s="335">
        <f>SUM(J35:J40)</f>
        <v>100.00000000000001</v>
      </c>
      <c r="K41" s="51"/>
      <c r="L41" s="171" t="e">
        <f ca="1">SUM(L35:L40)</f>
        <v>#REF!</v>
      </c>
      <c r="M41" s="169" t="e">
        <f ca="1">SUM(M35:M40)</f>
        <v>#REF!</v>
      </c>
      <c r="N41" s="171" t="e">
        <f ca="1">SUM(N35:N40)</f>
        <v>#REF!</v>
      </c>
      <c r="O41" s="169" t="e">
        <f ca="1">SUM(O35:O40)</f>
        <v>#REF!</v>
      </c>
    </row>
    <row r="42" spans="1:20" ht="18" x14ac:dyDescent="0.35">
      <c r="A42" s="73"/>
      <c r="B42" s="98"/>
      <c r="C42" s="78"/>
      <c r="D42" s="79"/>
      <c r="E42" s="334"/>
      <c r="F42" s="78"/>
      <c r="G42" s="63"/>
      <c r="H42" s="78"/>
      <c r="I42" s="79"/>
      <c r="J42" s="335"/>
      <c r="K42" s="51"/>
      <c r="L42" s="168" t="s">
        <v>120</v>
      </c>
      <c r="M42" s="174"/>
      <c r="N42" s="175"/>
      <c r="O42" s="174"/>
    </row>
    <row r="43" spans="1:20" ht="18" x14ac:dyDescent="0.35">
      <c r="A43" s="58"/>
      <c r="B43" s="98"/>
      <c r="C43" s="75"/>
      <c r="D43" s="76"/>
      <c r="E43" s="334"/>
      <c r="F43" s="75"/>
      <c r="G43" s="133"/>
      <c r="H43" s="75"/>
      <c r="I43" s="76"/>
      <c r="J43" s="334"/>
      <c r="K43" s="51"/>
      <c r="L43" s="172">
        <v>2015</v>
      </c>
      <c r="M43" s="173">
        <v>2016</v>
      </c>
      <c r="N43" s="172">
        <v>2015</v>
      </c>
      <c r="O43" s="173">
        <v>2016</v>
      </c>
    </row>
    <row r="44" spans="1:20" ht="18" x14ac:dyDescent="0.35">
      <c r="A44" s="73" t="s">
        <v>120</v>
      </c>
      <c r="B44" s="98"/>
      <c r="C44" s="75"/>
      <c r="D44" s="76"/>
      <c r="E44" s="334"/>
      <c r="F44" s="75"/>
      <c r="G44" s="133"/>
      <c r="H44" s="75"/>
      <c r="I44" s="76"/>
      <c r="J44" s="334"/>
      <c r="K44" s="51"/>
      <c r="L44" s="171"/>
      <c r="M44" s="169"/>
      <c r="N44" s="171"/>
      <c r="O44" s="169"/>
      <c r="P44" s="158"/>
      <c r="Q44" s="158"/>
      <c r="R44" s="158"/>
      <c r="S44" s="136"/>
      <c r="T44" s="51"/>
    </row>
    <row r="45" spans="1:20" ht="18" x14ac:dyDescent="0.35">
      <c r="A45" s="58" t="s">
        <v>92</v>
      </c>
      <c r="B45" s="98">
        <f>B9+B35</f>
        <v>20321321.662</v>
      </c>
      <c r="C45" s="75">
        <f>+C9+C35</f>
        <v>21904465.343000002</v>
      </c>
      <c r="D45" s="76">
        <f t="shared" ref="D45:D66" si="20">IF(B45=0, "    ---- ", IF(ABS(ROUND(100/B45*C45-100,1))&lt;999,ROUND(100/B45*C45-100,1),IF(ROUND(100/B45*C45-100,1)&gt;999,999,-999)))</f>
        <v>7.8</v>
      </c>
      <c r="E45" s="334">
        <f t="shared" ref="E45:E65" si="21">100/C$68*C45</f>
        <v>12.655284848817843</v>
      </c>
      <c r="F45" s="75"/>
      <c r="G45" s="133">
        <f>+G9+G35</f>
        <v>383088609.00846106</v>
      </c>
      <c r="H45" s="133">
        <f>+H9+H35</f>
        <v>425468947.39567</v>
      </c>
      <c r="I45" s="76">
        <f t="shared" ref="I45:I63" si="22">IF(G45=0, "    ---- ", IF(ABS(ROUND(100/G45*H45-100,1))&lt;999,ROUND(100/G45*H45-100,1),IF(ROUND(100/G45*H45-100,1)&gt;999,999,-999)))</f>
        <v>11.1</v>
      </c>
      <c r="J45" s="334">
        <f t="shared" ref="J45:J65" si="23">100/H$68*H45</f>
        <v>17.350290440237018</v>
      </c>
      <c r="K45" s="51"/>
      <c r="L45" s="171" t="e">
        <f ca="1">#REF!+L35</f>
        <v>#REF!</v>
      </c>
      <c r="M45" s="169" t="e">
        <f ca="1">+#REF!+M35</f>
        <v>#REF!</v>
      </c>
      <c r="N45" s="171" t="e">
        <f ca="1">+#REF!+N35</f>
        <v>#REF!</v>
      </c>
      <c r="O45" s="169" t="e">
        <f ca="1">+#REF!+O35</f>
        <v>#REF!</v>
      </c>
      <c r="P45" s="158"/>
      <c r="Q45" s="158"/>
      <c r="R45" s="158"/>
      <c r="S45" s="136"/>
      <c r="T45" s="51"/>
    </row>
    <row r="46" spans="1:20" ht="18" x14ac:dyDescent="0.35">
      <c r="A46" s="58" t="s">
        <v>48</v>
      </c>
      <c r="B46" s="98">
        <f t="shared" ref="B46:C49" si="24">B10</f>
        <v>57607</v>
      </c>
      <c r="C46" s="98">
        <f t="shared" si="24"/>
        <v>85983</v>
      </c>
      <c r="D46" s="76">
        <f t="shared" ref="D46" si="25">IF(B46=0, "    ---- ", IF(ABS(ROUND(100/B46*C46-100,1))&lt;999,ROUND(100/B46*C46-100,1),IF(ROUND(100/B46*C46-100,1)&gt;999,999,-999)))</f>
        <v>49.3</v>
      </c>
      <c r="E46" s="334">
        <f t="shared" si="21"/>
        <v>4.9676599730549491E-2</v>
      </c>
      <c r="F46" s="75"/>
      <c r="G46" s="133">
        <f>+G10</f>
        <v>0</v>
      </c>
      <c r="H46" s="133">
        <f>H10</f>
        <v>0</v>
      </c>
      <c r="I46" s="76"/>
      <c r="J46" s="334">
        <f t="shared" si="23"/>
        <v>0</v>
      </c>
      <c r="K46" s="51"/>
      <c r="L46" s="171"/>
      <c r="M46" s="169"/>
      <c r="N46" s="171"/>
      <c r="O46" s="169"/>
      <c r="P46" s="158"/>
      <c r="Q46" s="158"/>
      <c r="R46" s="158"/>
      <c r="S46" s="136"/>
      <c r="T46" s="51"/>
    </row>
    <row r="47" spans="1:20" ht="18" x14ac:dyDescent="0.35">
      <c r="A47" s="58" t="s">
        <v>95</v>
      </c>
      <c r="B47" s="98">
        <f t="shared" si="24"/>
        <v>4225621.7292200001</v>
      </c>
      <c r="C47" s="98">
        <f t="shared" si="24"/>
        <v>4533249.1602600003</v>
      </c>
      <c r="D47" s="76">
        <f t="shared" ref="D47" si="26">IF(B47=0, "    ---- ", IF(ABS(ROUND(100/B47*C47-100,1))&lt;999,ROUND(100/B47*C47-100,1),IF(ROUND(100/B47*C47-100,1)&gt;999,999,-999)))</f>
        <v>7.3</v>
      </c>
      <c r="E47" s="334">
        <f t="shared" si="21"/>
        <v>2.6190805625889495</v>
      </c>
      <c r="F47" s="75"/>
      <c r="G47" s="133">
        <f>G11</f>
        <v>6584967.8127199998</v>
      </c>
      <c r="H47" s="133">
        <f>H11</f>
        <v>7209116.00973</v>
      </c>
      <c r="I47" s="76">
        <f t="shared" ref="I47" si="27">IF(G47=0, "    ---- ", IF(ABS(ROUND(100/G47*H47-100,1))&lt;999,ROUND(100/G47*H47-100,1),IF(ROUND(100/G47*H47-100,1)&gt;999,999,-999)))</f>
        <v>9.5</v>
      </c>
      <c r="J47" s="334">
        <f t="shared" si="23"/>
        <v>0.29398210457379903</v>
      </c>
      <c r="K47" s="51"/>
      <c r="L47" s="171"/>
      <c r="M47" s="169"/>
      <c r="N47" s="171"/>
      <c r="O47" s="169"/>
      <c r="P47" s="158"/>
      <c r="Q47" s="158"/>
      <c r="R47" s="158"/>
      <c r="S47" s="136"/>
      <c r="T47" s="51"/>
    </row>
    <row r="48" spans="1:20" ht="18" x14ac:dyDescent="0.35">
      <c r="A48" s="58" t="s">
        <v>97</v>
      </c>
      <c r="B48" s="98">
        <f t="shared" si="24"/>
        <v>630989</v>
      </c>
      <c r="C48" s="75">
        <f t="shared" si="24"/>
        <v>713447</v>
      </c>
      <c r="D48" s="76">
        <f t="shared" si="20"/>
        <v>13.1</v>
      </c>
      <c r="E48" s="334">
        <f t="shared" si="21"/>
        <v>0.41219335273206731</v>
      </c>
      <c r="F48" s="75"/>
      <c r="G48" s="133">
        <f>G12</f>
        <v>1788691</v>
      </c>
      <c r="H48" s="133">
        <f>H12</f>
        <v>2151638</v>
      </c>
      <c r="I48" s="76">
        <f t="shared" si="22"/>
        <v>20.3</v>
      </c>
      <c r="J48" s="334">
        <f t="shared" si="23"/>
        <v>8.7742112440308773E-2</v>
      </c>
      <c r="K48" s="51"/>
      <c r="L48" s="171" t="e">
        <f ca="1">L13+#REF!</f>
        <v>#REF!</v>
      </c>
      <c r="M48" s="169" t="e">
        <f ca="1">M13+#REF!</f>
        <v>#REF!</v>
      </c>
      <c r="N48" s="171" t="e">
        <f ca="1">N13+#REF!</f>
        <v>#REF!</v>
      </c>
      <c r="O48" s="169" t="e">
        <f ca="1">O13+#REF!</f>
        <v>#REF!</v>
      </c>
      <c r="P48" s="158"/>
      <c r="Q48" s="158"/>
      <c r="R48" s="158"/>
      <c r="S48" s="136"/>
      <c r="T48" s="51"/>
    </row>
    <row r="49" spans="1:20" ht="18" x14ac:dyDescent="0.35">
      <c r="A49" s="58" t="s">
        <v>98</v>
      </c>
      <c r="B49" s="98">
        <f t="shared" si="24"/>
        <v>2550.2539999999999</v>
      </c>
      <c r="C49" s="75">
        <f t="shared" si="24"/>
        <v>294.02600000000001</v>
      </c>
      <c r="D49" s="76">
        <f t="shared" si="20"/>
        <v>-88.5</v>
      </c>
      <c r="E49" s="334">
        <f t="shared" si="21"/>
        <v>1.6987325299622653E-4</v>
      </c>
      <c r="F49" s="75"/>
      <c r="G49" s="133">
        <f>G13</f>
        <v>0</v>
      </c>
      <c r="H49" s="133">
        <f>H13</f>
        <v>0</v>
      </c>
      <c r="I49" s="76"/>
      <c r="J49" s="334">
        <f t="shared" si="23"/>
        <v>0</v>
      </c>
      <c r="K49" s="51"/>
      <c r="L49" s="171">
        <f ca="1">L14</f>
        <v>0</v>
      </c>
      <c r="M49" s="169">
        <f ca="1">M14</f>
        <v>0</v>
      </c>
      <c r="N49" s="171" t="e">
        <f ca="1">N14</f>
        <v>#REF!</v>
      </c>
      <c r="O49" s="169">
        <f ca="1">O14</f>
        <v>0</v>
      </c>
      <c r="P49" s="158"/>
      <c r="Q49" s="158"/>
      <c r="R49" s="158"/>
      <c r="S49" s="136"/>
      <c r="T49" s="51"/>
    </row>
    <row r="50" spans="1:20" ht="18" x14ac:dyDescent="0.35">
      <c r="A50" s="58" t="s">
        <v>100</v>
      </c>
      <c r="B50" s="75">
        <f>B14</f>
        <v>2307390.4688399998</v>
      </c>
      <c r="C50" s="75">
        <f>+C14</f>
        <v>2360593.8763300003</v>
      </c>
      <c r="D50" s="76">
        <f t="shared" si="20"/>
        <v>2.2999999999999998</v>
      </c>
      <c r="E50" s="334">
        <f t="shared" si="21"/>
        <v>1.3638309563615096</v>
      </c>
      <c r="F50" s="75"/>
      <c r="G50" s="133">
        <f>+G14</f>
        <v>1203252.1255999999</v>
      </c>
      <c r="H50" s="133">
        <f>+H14</f>
        <v>1189119.4577899899</v>
      </c>
      <c r="I50" s="76">
        <f t="shared" si="22"/>
        <v>-1.2</v>
      </c>
      <c r="J50" s="334">
        <f t="shared" si="23"/>
        <v>4.8491360149973323E-2</v>
      </c>
      <c r="K50" s="51"/>
      <c r="L50" s="171">
        <f ca="1">L15</f>
        <v>0</v>
      </c>
      <c r="M50" s="169">
        <f ca="1">+M15</f>
        <v>0</v>
      </c>
      <c r="N50" s="171" t="e">
        <f ca="1">+N15</f>
        <v>#REF!</v>
      </c>
      <c r="O50" s="169">
        <f ca="1">+O15</f>
        <v>0</v>
      </c>
      <c r="P50" s="158"/>
      <c r="Q50" s="158"/>
      <c r="R50" s="158"/>
      <c r="S50" s="136"/>
      <c r="T50" s="51"/>
    </row>
    <row r="51" spans="1:20" ht="18" x14ac:dyDescent="0.35">
      <c r="A51" s="58" t="s">
        <v>102</v>
      </c>
      <c r="B51" s="75">
        <f>B15+B36</f>
        <v>7756200</v>
      </c>
      <c r="C51" s="75">
        <f>C15+C36</f>
        <v>8507728</v>
      </c>
      <c r="D51" s="76">
        <f t="shared" si="20"/>
        <v>9.6999999999999993</v>
      </c>
      <c r="E51" s="334">
        <f t="shared" si="21"/>
        <v>4.9153320827650626</v>
      </c>
      <c r="F51" s="75"/>
      <c r="G51" s="133">
        <f>G15+G36</f>
        <v>87741050</v>
      </c>
      <c r="H51" s="133">
        <f>H15+H36</f>
        <v>103442281</v>
      </c>
      <c r="I51" s="76">
        <f t="shared" si="22"/>
        <v>17.899999999999999</v>
      </c>
      <c r="J51" s="334">
        <f t="shared" si="23"/>
        <v>4.2182952014158586</v>
      </c>
      <c r="K51" s="51"/>
      <c r="L51" s="171" t="e">
        <f ca="1">#REF!+L36</f>
        <v>#REF!</v>
      </c>
      <c r="M51" s="169" t="e">
        <f ca="1">#REF!+M36</f>
        <v>#REF!</v>
      </c>
      <c r="N51" s="171" t="e">
        <f ca="1">#REF!+N36</f>
        <v>#REF!</v>
      </c>
      <c r="O51" s="169" t="e">
        <f ca="1">#REF!+O36</f>
        <v>#REF!</v>
      </c>
      <c r="P51" s="158"/>
      <c r="Q51" s="158"/>
      <c r="R51" s="158"/>
      <c r="S51" s="136"/>
      <c r="T51" s="51"/>
    </row>
    <row r="52" spans="1:20" ht="18" x14ac:dyDescent="0.35">
      <c r="A52" s="58" t="s">
        <v>103</v>
      </c>
      <c r="B52" s="75">
        <f>B16</f>
        <v>733957.59109304007</v>
      </c>
      <c r="C52" s="75">
        <f>+C16</f>
        <v>818211.84543254902</v>
      </c>
      <c r="D52" s="76">
        <f t="shared" si="20"/>
        <v>11.5</v>
      </c>
      <c r="E52" s="334">
        <f t="shared" si="21"/>
        <v>0.47272114650973995</v>
      </c>
      <c r="F52" s="75"/>
      <c r="G52" s="133">
        <f>+G16</f>
        <v>629850.56915</v>
      </c>
      <c r="H52" s="133">
        <f>+H16</f>
        <v>1056749.0176899999</v>
      </c>
      <c r="I52" s="76">
        <f t="shared" si="22"/>
        <v>67.8</v>
      </c>
      <c r="J52" s="334">
        <f t="shared" si="23"/>
        <v>4.3093397277488975E-2</v>
      </c>
      <c r="K52" s="51"/>
      <c r="L52" s="171" t="e">
        <f>#REF!</f>
        <v>#REF!</v>
      </c>
      <c r="M52" s="169" t="e">
        <f>+#REF!</f>
        <v>#REF!</v>
      </c>
      <c r="N52" s="171" t="e">
        <f>+#REF!</f>
        <v>#REF!</v>
      </c>
      <c r="O52" s="169" t="e">
        <f>+#REF!</f>
        <v>#REF!</v>
      </c>
      <c r="P52" s="158"/>
      <c r="Q52" s="158"/>
      <c r="R52" s="158"/>
      <c r="S52" s="136"/>
      <c r="T52" s="51"/>
    </row>
    <row r="53" spans="1:20" ht="18" x14ac:dyDescent="0.35">
      <c r="A53" s="58" t="s">
        <v>55</v>
      </c>
      <c r="B53" s="75">
        <f>B17+B37</f>
        <v>60881872.822920002</v>
      </c>
      <c r="C53" s="75">
        <f>C17+C37</f>
        <v>65079680.991829991</v>
      </c>
      <c r="D53" s="76">
        <f t="shared" si="20"/>
        <v>6.9</v>
      </c>
      <c r="E53" s="334">
        <f t="shared" si="21"/>
        <v>37.599726262435468</v>
      </c>
      <c r="F53" s="75"/>
      <c r="G53" s="133">
        <f>G17+G37</f>
        <v>802776584.87639999</v>
      </c>
      <c r="H53" s="133">
        <f>H17+H37</f>
        <v>870552111.63960004</v>
      </c>
      <c r="I53" s="76">
        <f t="shared" si="22"/>
        <v>8.4</v>
      </c>
      <c r="J53" s="334">
        <f t="shared" si="23"/>
        <v>35.500433281355889</v>
      </c>
      <c r="K53" s="51"/>
      <c r="L53" s="171">
        <f ca="1">L31+L37</f>
        <v>0</v>
      </c>
      <c r="M53" s="169" t="e">
        <f ca="1">M31+M37</f>
        <v>#REF!</v>
      </c>
      <c r="N53" s="171" t="e">
        <f ca="1">N31+N37</f>
        <v>#REF!</v>
      </c>
      <c r="O53" s="169" t="e">
        <f ca="1">O31+O37</f>
        <v>#REF!</v>
      </c>
      <c r="P53" s="158"/>
      <c r="Q53" s="158"/>
      <c r="R53" s="158"/>
      <c r="S53" s="136"/>
      <c r="T53" s="51"/>
    </row>
    <row r="54" spans="1:20" ht="18" x14ac:dyDescent="0.35">
      <c r="A54" s="58" t="s">
        <v>104</v>
      </c>
      <c r="B54" s="75">
        <f t="shared" ref="B54:C57" si="28">B18</f>
        <v>390022.27399999998</v>
      </c>
      <c r="C54" s="75">
        <f t="shared" si="28"/>
        <v>424342</v>
      </c>
      <c r="D54" s="76">
        <f>IF(B54=0, "    ---- ", IF(ABS(ROUND(100/B54*C54-100,1))&lt;999,ROUND(100/B54*C54-100,1),IF(ROUND(100/B54*C54-100,1)&gt;999,999,-999)))</f>
        <v>8.8000000000000007</v>
      </c>
      <c r="E54" s="334">
        <f t="shared" si="21"/>
        <v>0.24516320299199648</v>
      </c>
      <c r="F54" s="75"/>
      <c r="G54" s="133">
        <f t="shared" ref="G54:H57" si="29">G18</f>
        <v>170090.69199999998</v>
      </c>
      <c r="H54" s="133">
        <f t="shared" si="29"/>
        <v>261965</v>
      </c>
      <c r="I54" s="76">
        <f>IF(G54=0, "    ---- ", IF(ABS(ROUND(100/G54*H54-100,1))&lt;999,ROUND(100/G54*H54-100,1),IF(ROUND(100/G54*H54-100,1)&gt;999,999,-999)))</f>
        <v>54</v>
      </c>
      <c r="J54" s="334">
        <f t="shared" si="23"/>
        <v>1.0682727524530375E-2</v>
      </c>
      <c r="K54" s="51"/>
      <c r="L54" s="171">
        <f ca="1">L20</f>
        <v>0</v>
      </c>
      <c r="M54" s="169">
        <f ca="1">M20</f>
        <v>0</v>
      </c>
      <c r="N54" s="171" t="e">
        <f ca="1">N20</f>
        <v>#REF!</v>
      </c>
      <c r="O54" s="169">
        <f ca="1">O20</f>
        <v>0</v>
      </c>
      <c r="P54" s="158"/>
      <c r="Q54" s="158"/>
      <c r="R54" s="158"/>
      <c r="S54" s="136"/>
      <c r="T54" s="51"/>
    </row>
    <row r="55" spans="1:20" ht="18" x14ac:dyDescent="0.35">
      <c r="A55" s="58" t="s">
        <v>105</v>
      </c>
      <c r="B55" s="75">
        <f t="shared" si="28"/>
        <v>47903</v>
      </c>
      <c r="C55" s="75">
        <f t="shared" si="28"/>
        <v>52660</v>
      </c>
      <c r="D55" s="76">
        <f>IF(B55=0, "    ---- ", IF(ABS(ROUND(100/B55*C55-100,1))&lt;999,ROUND(100/B55*C55-100,1),IF(ROUND(100/B55*C55-100,1)&gt;999,999,-999)))</f>
        <v>9.9</v>
      </c>
      <c r="E55" s="334">
        <f t="shared" si="21"/>
        <v>3.0424266911025857E-2</v>
      </c>
      <c r="F55" s="75"/>
      <c r="G55" s="133">
        <f t="shared" si="29"/>
        <v>12104</v>
      </c>
      <c r="H55" s="133">
        <f t="shared" si="29"/>
        <v>10968</v>
      </c>
      <c r="I55" s="76">
        <f>IF(G55=0, "    ---- ", IF(ABS(ROUND(100/G55*H55-100,1))&lt;999,ROUND(100/G55*H55-100,1),IF(ROUND(100/G55*H55-100,1)&gt;999,999,-999)))</f>
        <v>-9.4</v>
      </c>
      <c r="J55" s="334">
        <f t="shared" si="23"/>
        <v>4.4726644967476252E-4</v>
      </c>
      <c r="K55" s="51"/>
      <c r="L55" s="171"/>
      <c r="M55" s="169"/>
      <c r="N55" s="171"/>
      <c r="O55" s="169"/>
      <c r="P55" s="158"/>
      <c r="Q55" s="158"/>
      <c r="R55" s="158"/>
      <c r="S55" s="136"/>
      <c r="T55" s="51"/>
    </row>
    <row r="56" spans="1:20" ht="18" x14ac:dyDescent="0.35">
      <c r="A56" s="77" t="s">
        <v>106</v>
      </c>
      <c r="B56" s="75">
        <f t="shared" si="28"/>
        <v>112297</v>
      </c>
      <c r="C56" s="75">
        <f t="shared" si="28"/>
        <v>177161</v>
      </c>
      <c r="D56" s="76">
        <f t="shared" si="20"/>
        <v>57.8</v>
      </c>
      <c r="E56" s="334">
        <f t="shared" si="21"/>
        <v>0.10235460596703859</v>
      </c>
      <c r="F56" s="75"/>
      <c r="G56" s="133">
        <f t="shared" si="29"/>
        <v>0</v>
      </c>
      <c r="H56" s="133">
        <f t="shared" si="29"/>
        <v>0</v>
      </c>
      <c r="I56" s="76"/>
      <c r="J56" s="334">
        <f t="shared" si="23"/>
        <v>0</v>
      </c>
      <c r="K56" s="51"/>
      <c r="L56" s="171">
        <f ca="1">L22</f>
        <v>0</v>
      </c>
      <c r="M56" s="169">
        <f ca="1">M22</f>
        <v>0</v>
      </c>
      <c r="N56" s="171" t="e">
        <f ca="1">N22</f>
        <v>#REF!</v>
      </c>
      <c r="O56" s="169">
        <f ca="1">O22</f>
        <v>0</v>
      </c>
      <c r="P56" s="158"/>
      <c r="Q56" s="158"/>
      <c r="R56" s="158"/>
      <c r="S56" s="136"/>
      <c r="T56" s="51"/>
    </row>
    <row r="57" spans="1:20" ht="18" x14ac:dyDescent="0.35">
      <c r="A57" s="77" t="s">
        <v>59</v>
      </c>
      <c r="B57" s="75">
        <f t="shared" si="28"/>
        <v>32229.312999999998</v>
      </c>
      <c r="C57" s="75">
        <f t="shared" si="28"/>
        <v>35801</v>
      </c>
      <c r="D57" s="76">
        <f t="shared" ref="D57" si="30">IF(B57=0, "    ---- ", IF(ABS(ROUND(100/B57*C57-100,1))&lt;999,ROUND(100/B57*C57-100,1),IF(ROUND(100/B57*C57-100,1)&gt;999,999,-999)))</f>
        <v>11.1</v>
      </c>
      <c r="E57" s="334">
        <f t="shared" si="21"/>
        <v>2.0683995056620524E-2</v>
      </c>
      <c r="F57" s="75"/>
      <c r="G57" s="133">
        <f t="shared" si="29"/>
        <v>0</v>
      </c>
      <c r="H57" s="133">
        <f t="shared" si="29"/>
        <v>0</v>
      </c>
      <c r="I57" s="76"/>
      <c r="J57" s="334">
        <f t="shared" si="23"/>
        <v>0</v>
      </c>
      <c r="K57" s="51"/>
      <c r="L57" s="171"/>
      <c r="M57" s="169"/>
      <c r="N57" s="171"/>
      <c r="O57" s="169"/>
      <c r="P57" s="158"/>
      <c r="Q57" s="158"/>
      <c r="R57" s="158"/>
      <c r="S57" s="136"/>
      <c r="T57" s="51"/>
    </row>
    <row r="58" spans="1:20" ht="18" x14ac:dyDescent="0.35">
      <c r="A58" s="58" t="s">
        <v>60</v>
      </c>
      <c r="B58" s="75">
        <f>B22+B38</f>
        <v>22223512.328380294</v>
      </c>
      <c r="C58" s="75">
        <f>+C22+C38</f>
        <v>21592269.016602408</v>
      </c>
      <c r="D58" s="76">
        <f t="shared" si="20"/>
        <v>-2.8</v>
      </c>
      <c r="E58" s="334">
        <f t="shared" si="21"/>
        <v>12.474913706338501</v>
      </c>
      <c r="F58" s="75"/>
      <c r="G58" s="133">
        <f>+G22+G38</f>
        <v>238792389.9999992</v>
      </c>
      <c r="H58" s="133">
        <f>+H22+H38</f>
        <v>271842019.99999964</v>
      </c>
      <c r="I58" s="76">
        <f t="shared" si="22"/>
        <v>13.8</v>
      </c>
      <c r="J58" s="334">
        <f t="shared" si="23"/>
        <v>11.085504664279323</v>
      </c>
      <c r="K58" s="51"/>
      <c r="L58" s="171">
        <f ca="1">L24+L38</f>
        <v>0</v>
      </c>
      <c r="M58" s="169" t="e">
        <f ca="1">+M24+M38</f>
        <v>#REF!</v>
      </c>
      <c r="N58" s="171" t="e">
        <f ca="1">+N24+N38</f>
        <v>#REF!</v>
      </c>
      <c r="O58" s="169" t="e">
        <f ca="1">+O24+O38</f>
        <v>#REF!</v>
      </c>
      <c r="P58" s="158"/>
      <c r="Q58" s="158"/>
      <c r="R58" s="158"/>
      <c r="S58" s="136"/>
      <c r="T58" s="51"/>
    </row>
    <row r="59" spans="1:20" ht="18" x14ac:dyDescent="0.35">
      <c r="A59" s="58" t="s">
        <v>61</v>
      </c>
      <c r="B59" s="75">
        <f t="shared" ref="B59:C61" si="31">B23</f>
        <v>33970</v>
      </c>
      <c r="C59" s="75">
        <f t="shared" si="31"/>
        <v>36370</v>
      </c>
      <c r="D59" s="76">
        <f t="shared" ref="D59" si="32">IF(B59=0, "    ---- ", IF(ABS(ROUND(100/B59*C59-100,1))&lt;999,ROUND(100/B59*C59-100,1),IF(ROUND(100/B59*C59-100,1)&gt;999,999,-999)))</f>
        <v>7.1</v>
      </c>
      <c r="E59" s="334">
        <f t="shared" si="21"/>
        <v>2.1012734287011212E-2</v>
      </c>
      <c r="F59" s="75"/>
      <c r="G59" s="133">
        <f t="shared" ref="G59:H61" si="33">G23</f>
        <v>0</v>
      </c>
      <c r="H59" s="133">
        <f t="shared" si="33"/>
        <v>0</v>
      </c>
      <c r="I59" s="76"/>
      <c r="J59" s="334">
        <f t="shared" si="23"/>
        <v>0</v>
      </c>
      <c r="K59" s="51"/>
      <c r="L59" s="171"/>
      <c r="M59" s="169"/>
      <c r="N59" s="171"/>
      <c r="O59" s="169"/>
      <c r="P59" s="158"/>
      <c r="Q59" s="158"/>
      <c r="R59" s="158"/>
      <c r="S59" s="136"/>
      <c r="T59" s="51"/>
    </row>
    <row r="60" spans="1:20" ht="18.75" customHeight="1" x14ac:dyDescent="0.35">
      <c r="A60" s="58" t="s">
        <v>108</v>
      </c>
      <c r="B60" s="75">
        <f t="shared" si="31"/>
        <v>8288469.449</v>
      </c>
      <c r="C60" s="75">
        <f t="shared" si="31"/>
        <v>7886826</v>
      </c>
      <c r="D60" s="76">
        <f t="shared" si="20"/>
        <v>-4.8</v>
      </c>
      <c r="E60" s="334">
        <f t="shared" si="21"/>
        <v>4.5566065192711438</v>
      </c>
      <c r="F60" s="75"/>
      <c r="G60" s="133">
        <f t="shared" si="33"/>
        <v>130120437</v>
      </c>
      <c r="H60" s="133">
        <f t="shared" si="33"/>
        <v>140520533</v>
      </c>
      <c r="I60" s="76">
        <f t="shared" si="22"/>
        <v>8</v>
      </c>
      <c r="J60" s="334">
        <f t="shared" si="23"/>
        <v>5.7303172776545681</v>
      </c>
      <c r="K60" s="51"/>
      <c r="L60" s="171">
        <f ca="1">L25</f>
        <v>0</v>
      </c>
      <c r="M60" s="169">
        <f ca="1">M25</f>
        <v>0</v>
      </c>
      <c r="N60" s="171" t="e">
        <f ca="1">N25</f>
        <v>#REF!</v>
      </c>
      <c r="O60" s="169">
        <f ca="1">O25</f>
        <v>0</v>
      </c>
      <c r="P60" s="158"/>
      <c r="Q60" s="158"/>
      <c r="R60" s="158"/>
      <c r="S60" s="136"/>
      <c r="T60" s="51"/>
    </row>
    <row r="61" spans="1:20" ht="18.75" customHeight="1" x14ac:dyDescent="0.35">
      <c r="A61" s="58" t="s">
        <v>109</v>
      </c>
      <c r="B61" s="75">
        <f t="shared" si="31"/>
        <v>398078</v>
      </c>
      <c r="C61" s="75">
        <f t="shared" si="31"/>
        <v>421754.99</v>
      </c>
      <c r="D61" s="76">
        <f t="shared" ref="D61" si="34">IF(B61=0, "    ---- ", IF(ABS(ROUND(100/B61*C61-100,1))&lt;999,ROUND(100/B61*C61-100,1),IF(ROUND(100/B61*C61-100,1)&gt;999,999,-999)))</f>
        <v>5.9</v>
      </c>
      <c r="E61" s="334">
        <f t="shared" si="21"/>
        <v>0.24366856032694723</v>
      </c>
      <c r="F61" s="75"/>
      <c r="G61" s="133">
        <f t="shared" si="33"/>
        <v>0</v>
      </c>
      <c r="H61" s="133">
        <f t="shared" si="33"/>
        <v>0</v>
      </c>
      <c r="I61" s="76"/>
      <c r="J61" s="334">
        <f t="shared" si="23"/>
        <v>0</v>
      </c>
      <c r="K61" s="51"/>
      <c r="L61" s="171"/>
      <c r="M61" s="169"/>
      <c r="N61" s="171"/>
      <c r="O61" s="169"/>
      <c r="P61" s="158"/>
      <c r="Q61" s="158"/>
      <c r="R61" s="158"/>
      <c r="S61" s="136"/>
      <c r="T61" s="51"/>
    </row>
    <row r="62" spans="1:20" ht="18.75" customHeight="1" x14ac:dyDescent="0.35">
      <c r="A62" s="58" t="s">
        <v>64</v>
      </c>
      <c r="B62" s="75">
        <f>B26+B39</f>
        <v>8657769.0444599986</v>
      </c>
      <c r="C62" s="75">
        <f>+C26+C39</f>
        <v>9419065.6089299992</v>
      </c>
      <c r="D62" s="76">
        <f t="shared" si="20"/>
        <v>8.8000000000000007</v>
      </c>
      <c r="E62" s="334">
        <f t="shared" si="21"/>
        <v>5.4418565540932509</v>
      </c>
      <c r="F62" s="75"/>
      <c r="G62" s="133">
        <f>+G26+G39</f>
        <v>107959484.18013988</v>
      </c>
      <c r="H62" s="133">
        <f>+H26+H39</f>
        <v>124353732.71164998</v>
      </c>
      <c r="I62" s="76">
        <f t="shared" si="22"/>
        <v>15.2</v>
      </c>
      <c r="J62" s="334">
        <f t="shared" si="23"/>
        <v>5.0710478240102175</v>
      </c>
      <c r="K62" s="51"/>
      <c r="L62" s="171" t="e">
        <f ca="1">L27+L39</f>
        <v>#REF!</v>
      </c>
      <c r="M62" s="169" t="e">
        <f t="shared" ref="M62:O63" ca="1" si="35">+M27+M39</f>
        <v>#REF!</v>
      </c>
      <c r="N62" s="171" t="e">
        <f t="shared" ca="1" si="35"/>
        <v>#REF!</v>
      </c>
      <c r="O62" s="169" t="e">
        <f t="shared" ca="1" si="35"/>
        <v>#REF!</v>
      </c>
      <c r="P62" s="158"/>
      <c r="Q62" s="158"/>
      <c r="R62" s="158"/>
      <c r="S62" s="136"/>
      <c r="T62" s="51"/>
    </row>
    <row r="63" spans="1:20" ht="18.75" customHeight="1" x14ac:dyDescent="0.35">
      <c r="A63" s="58" t="s">
        <v>110</v>
      </c>
      <c r="B63" s="75">
        <f>B40+B27</f>
        <v>26308747.08475</v>
      </c>
      <c r="C63" s="75">
        <f>+C27+C40</f>
        <v>28019794.20521</v>
      </c>
      <c r="D63" s="76">
        <f t="shared" si="20"/>
        <v>6.5</v>
      </c>
      <c r="E63" s="334">
        <f t="shared" si="21"/>
        <v>16.188410514457363</v>
      </c>
      <c r="F63" s="75"/>
      <c r="G63" s="133">
        <f>+G27+G40</f>
        <v>459650088.49703002</v>
      </c>
      <c r="H63" s="133">
        <f>+H27+H40</f>
        <v>504072989.44731003</v>
      </c>
      <c r="I63" s="76">
        <f t="shared" si="22"/>
        <v>9.6999999999999993</v>
      </c>
      <c r="J63" s="334">
        <f t="shared" si="23"/>
        <v>20.555701711072427</v>
      </c>
      <c r="K63" s="51"/>
      <c r="L63" s="171">
        <f ca="1">L40+L28</f>
        <v>0</v>
      </c>
      <c r="M63" s="169" t="e">
        <f t="shared" ca="1" si="35"/>
        <v>#REF!</v>
      </c>
      <c r="N63" s="171" t="e">
        <f t="shared" ca="1" si="35"/>
        <v>#REF!</v>
      </c>
      <c r="O63" s="169" t="e">
        <f t="shared" ca="1" si="35"/>
        <v>#REF!</v>
      </c>
      <c r="P63" s="158"/>
      <c r="Q63" s="158"/>
      <c r="R63" s="158"/>
      <c r="S63" s="136"/>
      <c r="T63" s="51"/>
    </row>
    <row r="64" spans="1:20" ht="18.75" customHeight="1" x14ac:dyDescent="0.35">
      <c r="A64" s="58" t="s">
        <v>73</v>
      </c>
      <c r="B64" s="75">
        <f>B28</f>
        <v>9397</v>
      </c>
      <c r="C64" s="75">
        <f>+C28</f>
        <v>7737</v>
      </c>
      <c r="D64" s="76">
        <f t="shared" si="20"/>
        <v>-17.7</v>
      </c>
      <c r="E64" s="334">
        <f t="shared" si="21"/>
        <v>4.4700446845918548E-3</v>
      </c>
      <c r="F64" s="75"/>
      <c r="G64" s="133">
        <f t="shared" ref="G64:H66" si="36">+G28</f>
        <v>0</v>
      </c>
      <c r="H64" s="133">
        <f t="shared" si="36"/>
        <v>0</v>
      </c>
      <c r="I64" s="76"/>
      <c r="J64" s="334">
        <f t="shared" si="23"/>
        <v>0</v>
      </c>
      <c r="K64" s="51"/>
      <c r="L64" s="171">
        <f ca="1">L29</f>
        <v>0</v>
      </c>
      <c r="M64" s="169">
        <f t="shared" ref="M64:O65" ca="1" si="37">+M29</f>
        <v>0</v>
      </c>
      <c r="N64" s="171" t="e">
        <f t="shared" ca="1" si="37"/>
        <v>#REF!</v>
      </c>
      <c r="O64" s="169">
        <f t="shared" ca="1" si="37"/>
        <v>0</v>
      </c>
      <c r="P64" s="158"/>
      <c r="Q64" s="158"/>
      <c r="R64" s="158"/>
      <c r="S64" s="136"/>
      <c r="T64" s="51"/>
    </row>
    <row r="65" spans="1:240" ht="18.75" customHeight="1" x14ac:dyDescent="0.35">
      <c r="A65" s="58" t="s">
        <v>74</v>
      </c>
      <c r="B65" s="75">
        <f>B29</f>
        <v>876213.18599999999</v>
      </c>
      <c r="C65" s="75">
        <f>+C29</f>
        <v>904615</v>
      </c>
      <c r="D65" s="76">
        <f t="shared" si="20"/>
        <v>3.2</v>
      </c>
      <c r="E65" s="334">
        <f t="shared" si="21"/>
        <v>0.52264049015795022</v>
      </c>
      <c r="F65" s="75"/>
      <c r="G65" s="133">
        <f t="shared" si="36"/>
        <v>0</v>
      </c>
      <c r="H65" s="133">
        <f t="shared" si="36"/>
        <v>0</v>
      </c>
      <c r="I65" s="76"/>
      <c r="J65" s="334">
        <f t="shared" si="23"/>
        <v>0</v>
      </c>
      <c r="K65" s="51"/>
      <c r="L65" s="171">
        <f ca="1">L30</f>
        <v>0</v>
      </c>
      <c r="M65" s="169">
        <f t="shared" ca="1" si="37"/>
        <v>0</v>
      </c>
      <c r="N65" s="171" t="e">
        <f t="shared" ca="1" si="37"/>
        <v>#REF!</v>
      </c>
      <c r="O65" s="169">
        <f t="shared" ca="1" si="37"/>
        <v>0</v>
      </c>
      <c r="P65" s="158"/>
      <c r="Q65" s="158"/>
      <c r="R65" s="158"/>
      <c r="S65" s="136"/>
      <c r="T65" s="51"/>
    </row>
    <row r="66" spans="1:240" ht="18" x14ac:dyDescent="0.35">
      <c r="A66" s="77" t="s">
        <v>111</v>
      </c>
      <c r="B66" s="75">
        <f>B30</f>
        <v>1705</v>
      </c>
      <c r="C66" s="75">
        <f>C30</f>
        <v>1629</v>
      </c>
      <c r="D66" s="76">
        <f t="shared" si="20"/>
        <v>-4.5</v>
      </c>
      <c r="E66" s="334">
        <f t="shared" ref="E66" si="38">100/C$32*C66</f>
        <v>1.6243497482148056E-3</v>
      </c>
      <c r="F66" s="77"/>
      <c r="G66" s="133">
        <f t="shared" si="36"/>
        <v>0</v>
      </c>
      <c r="H66" s="133">
        <f t="shared" si="36"/>
        <v>0</v>
      </c>
      <c r="I66" s="77"/>
      <c r="J66" s="334">
        <f t="shared" ref="J66" si="39">100/H$32*H66</f>
        <v>0</v>
      </c>
      <c r="K66" s="158"/>
      <c r="L66" s="171">
        <f t="shared" ref="L66" ca="1" si="40">INDIRECT("'" &amp; $A65 &amp; "'!" &amp; $P$7)</f>
        <v>0</v>
      </c>
      <c r="M66" s="169">
        <f t="shared" ref="M66" ca="1" si="41">INDIRECT("'" &amp; $A65 &amp; "'!" &amp; $P$8)</f>
        <v>0</v>
      </c>
      <c r="N66" s="171" t="e">
        <f ca="1">INDIRECT("'" &amp; $A65 &amp; "'!" &amp;#REF!)</f>
        <v>#REF!</v>
      </c>
      <c r="O66" s="169">
        <f t="shared" ref="O66" ca="1" si="42">INDIRECT("'" &amp; $A65 &amp; "'!" &amp; $P$9)</f>
        <v>0</v>
      </c>
    </row>
    <row r="67" spans="1:240" ht="18" x14ac:dyDescent="0.35">
      <c r="A67" s="58" t="s">
        <v>112</v>
      </c>
      <c r="B67" s="75">
        <f>B31</f>
        <v>63809</v>
      </c>
      <c r="C67" s="75">
        <f>+C31</f>
        <v>101840</v>
      </c>
      <c r="D67" s="76">
        <f>IF(B67=0, "    ---- ", IF(ABS(ROUND(100/B67*C67-100,1))&lt;999,ROUND(100/B67*C67-100,1),IF(ROUND(100/B67*C67-100,1)&gt;999,999,-999)))</f>
        <v>59.6</v>
      </c>
      <c r="E67" s="334">
        <f>100/C$68*C67</f>
        <v>5.8837966999978605E-2</v>
      </c>
      <c r="F67" s="75"/>
      <c r="G67" s="133">
        <f>G31</f>
        <v>53820</v>
      </c>
      <c r="H67" s="133">
        <f>H31</f>
        <v>97369</v>
      </c>
      <c r="I67" s="76">
        <f>IF(G67=0, "    ---- ", IF(ABS(ROUND(100/G67*H67-100,1))&lt;999,ROUND(100/G67*H67-100,1),IF(ROUND(100/G67*H67-100,1)&gt;999,999,-999)))</f>
        <v>80.900000000000006</v>
      </c>
      <c r="J67" s="334">
        <f>100/H$68*H67</f>
        <v>3.9706315589334382E-3</v>
      </c>
      <c r="K67" s="51"/>
      <c r="L67" s="171" t="e">
        <f ca="1">L18+#REF!</f>
        <v>#REF!</v>
      </c>
      <c r="M67" s="169" t="e">
        <f ca="1">+M18+#REF!</f>
        <v>#REF!</v>
      </c>
      <c r="N67" s="171" t="e">
        <f ca="1">N18+#REF!</f>
        <v>#REF!</v>
      </c>
      <c r="O67" s="169" t="e">
        <f ca="1">O18+#REF!</f>
        <v>#REF!</v>
      </c>
      <c r="P67" s="158"/>
      <c r="Q67" s="158"/>
      <c r="R67" s="158"/>
      <c r="S67" s="136"/>
      <c r="T67" s="51"/>
    </row>
    <row r="68" spans="1:240" s="80" customFormat="1" ht="18.75" customHeight="1" x14ac:dyDescent="0.3">
      <c r="A68" s="81" t="s">
        <v>121</v>
      </c>
      <c r="B68" s="82">
        <f>SUM(B45:B67)</f>
        <v>164361632.20766333</v>
      </c>
      <c r="C68" s="82">
        <f>SUM(C45:C67)</f>
        <v>173085518.06359494</v>
      </c>
      <c r="D68" s="83">
        <f>IF(B68=0, "    ---- ", IF(ABS(ROUND(100/B68*C68-100,1))&lt;999,ROUND(100/B68*C68-100,1),IF(ROUND(100/B68*C68-100,1)&gt;999,999,-999)))</f>
        <v>5.3</v>
      </c>
      <c r="E68" s="336">
        <f>SUM(E45:E67)</f>
        <v>100.00068319648582</v>
      </c>
      <c r="F68" s="78"/>
      <c r="G68" s="135">
        <f>SUM(G45:G67)</f>
        <v>2220571419.7615004</v>
      </c>
      <c r="H68" s="135">
        <f>SUM(H45:H67)</f>
        <v>2452229539.6794395</v>
      </c>
      <c r="I68" s="83">
        <f>IF(G68=0, "    ---- ", IF(ABS(ROUND(100/G68*H68-100,1))&lt;999,ROUND(100/G68*H68-100,1),IF(ROUND(100/G68*H68-100,1)&gt;999,999,-999)))</f>
        <v>10.4</v>
      </c>
      <c r="J68" s="336">
        <f>SUM(J45:J67)</f>
        <v>100.00000000000001</v>
      </c>
      <c r="K68" s="134"/>
      <c r="L68" s="176" t="e">
        <f ca="1">SUM(L45:L65)</f>
        <v>#REF!</v>
      </c>
      <c r="M68" s="177" t="e">
        <f ca="1">SUM(M45:M65)</f>
        <v>#REF!</v>
      </c>
      <c r="N68" s="176" t="e">
        <f ca="1">SUM(N45:N65)</f>
        <v>#REF!</v>
      </c>
      <c r="O68" s="177" t="e">
        <f ca="1">SUM(O45:O65)</f>
        <v>#REF!</v>
      </c>
      <c r="P68" s="156"/>
      <c r="Q68" s="156"/>
      <c r="R68" s="156"/>
      <c r="S68" s="104"/>
      <c r="T68" s="134"/>
    </row>
    <row r="69" spans="1:240" ht="18.75" customHeight="1" x14ac:dyDescent="0.35">
      <c r="A69" s="48" t="s">
        <v>122</v>
      </c>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48"/>
      <c r="HI69" s="48"/>
      <c r="HJ69" s="48"/>
      <c r="HK69" s="48"/>
      <c r="HL69" s="48"/>
      <c r="HM69" s="48"/>
      <c r="HN69" s="48"/>
      <c r="HO69" s="48"/>
      <c r="HP69" s="48"/>
      <c r="HQ69" s="48"/>
      <c r="HR69" s="48"/>
      <c r="HS69" s="48"/>
      <c r="HT69" s="48"/>
      <c r="HU69" s="48"/>
      <c r="HV69" s="48"/>
      <c r="HW69" s="48"/>
      <c r="HX69" s="48"/>
      <c r="HY69" s="48"/>
      <c r="HZ69" s="48"/>
      <c r="IA69" s="48"/>
      <c r="IB69" s="48"/>
      <c r="IC69" s="48"/>
      <c r="ID69" s="48"/>
      <c r="IE69" s="48"/>
      <c r="IF69" s="48"/>
    </row>
    <row r="70" spans="1:240" ht="18.75" customHeight="1" x14ac:dyDescent="0.35">
      <c r="A70" s="48"/>
      <c r="B70" s="48"/>
      <c r="C70" s="48"/>
      <c r="D70" s="48"/>
      <c r="E70" s="48"/>
      <c r="F70" s="48"/>
      <c r="G70" s="48"/>
      <c r="H70" s="48"/>
      <c r="I70" s="48"/>
      <c r="J70" s="48"/>
      <c r="K70" s="48"/>
    </row>
    <row r="71" spans="1:240" ht="18.75" customHeight="1" x14ac:dyDescent="0.35">
      <c r="A71" s="48"/>
      <c r="B71" s="48"/>
      <c r="C71" s="48"/>
      <c r="D71" s="48"/>
      <c r="E71" s="48"/>
      <c r="F71" s="48"/>
      <c r="G71" s="48"/>
      <c r="H71" s="48"/>
      <c r="I71" s="48"/>
      <c r="J71" s="48"/>
      <c r="K71" s="48"/>
    </row>
    <row r="72" spans="1:240" ht="18.75" customHeight="1" x14ac:dyDescent="0.35">
      <c r="A72" s="48"/>
      <c r="B72" s="51"/>
      <c r="C72" s="51"/>
      <c r="D72" s="48"/>
      <c r="E72" s="48"/>
      <c r="F72" s="48"/>
      <c r="G72" s="51"/>
      <c r="H72" s="51"/>
      <c r="I72" s="48"/>
      <c r="J72" s="48"/>
      <c r="K72" s="48"/>
    </row>
    <row r="73" spans="1:240" ht="18.75" customHeight="1" x14ac:dyDescent="0.35">
      <c r="A73" s="48"/>
      <c r="B73" s="48"/>
      <c r="C73" s="48"/>
      <c r="D73" s="48"/>
      <c r="E73" s="48"/>
      <c r="F73" s="48"/>
      <c r="G73" s="48"/>
      <c r="H73" s="48"/>
      <c r="I73" s="48"/>
      <c r="J73" s="48"/>
      <c r="K73" s="48"/>
    </row>
    <row r="74" spans="1:240" ht="18.75" customHeight="1" x14ac:dyDescent="0.35">
      <c r="A74" s="48"/>
      <c r="B74" s="48"/>
      <c r="C74" s="48"/>
      <c r="D74" s="48"/>
      <c r="E74" s="48"/>
      <c r="F74" s="48"/>
      <c r="G74" s="48"/>
      <c r="H74" s="48"/>
      <c r="I74" s="48"/>
      <c r="J74" s="48"/>
      <c r="K74" s="48"/>
    </row>
    <row r="75" spans="1:240" ht="18.75" customHeight="1" x14ac:dyDescent="0.35">
      <c r="A75" s="48"/>
      <c r="B75" s="48"/>
      <c r="C75" s="48"/>
      <c r="D75" s="48"/>
      <c r="E75" s="48"/>
      <c r="F75" s="48"/>
      <c r="G75" s="48"/>
      <c r="H75" s="48"/>
      <c r="I75" s="48"/>
      <c r="J75" s="48"/>
      <c r="K75" s="48"/>
    </row>
    <row r="76" spans="1:240" ht="18.75" customHeight="1" x14ac:dyDescent="0.35">
      <c r="A76" s="48"/>
      <c r="B76" s="48"/>
      <c r="C76" s="48"/>
      <c r="D76" s="48"/>
      <c r="E76" s="48"/>
      <c r="F76" s="48"/>
      <c r="G76" s="48"/>
      <c r="H76" s="48"/>
      <c r="I76" s="48"/>
      <c r="J76" s="48"/>
      <c r="K76" s="48"/>
    </row>
    <row r="77" spans="1:240" ht="18" x14ac:dyDescent="0.35">
      <c r="A77" s="48"/>
      <c r="B77" s="48"/>
      <c r="C77" s="48"/>
      <c r="D77" s="48"/>
      <c r="E77" s="48"/>
      <c r="F77" s="48"/>
      <c r="G77" s="48"/>
      <c r="H77" s="48"/>
      <c r="I77" s="48"/>
      <c r="J77" s="48"/>
      <c r="K77" s="48"/>
    </row>
    <row r="78" spans="1:240" ht="18" x14ac:dyDescent="0.35">
      <c r="A78" s="48"/>
      <c r="B78" s="48"/>
      <c r="C78" s="48"/>
      <c r="D78" s="48"/>
      <c r="E78" s="48"/>
      <c r="F78" s="48"/>
      <c r="G78" s="48"/>
      <c r="H78" s="48"/>
      <c r="I78" s="48"/>
      <c r="J78" s="48"/>
      <c r="K78" s="48"/>
    </row>
    <row r="79" spans="1:240" ht="18" x14ac:dyDescent="0.35">
      <c r="A79" s="48"/>
      <c r="B79" s="48"/>
      <c r="C79" s="48"/>
      <c r="D79" s="48"/>
      <c r="E79" s="48"/>
      <c r="F79" s="48"/>
      <c r="G79" s="48"/>
      <c r="H79" s="48"/>
      <c r="I79" s="48"/>
      <c r="J79" s="48"/>
      <c r="K79" s="48"/>
    </row>
    <row r="80" spans="1:240" ht="18" x14ac:dyDescent="0.35">
      <c r="A80" s="48"/>
      <c r="B80" s="48"/>
      <c r="C80" s="48"/>
      <c r="D80" s="48"/>
      <c r="E80" s="48"/>
      <c r="F80" s="48"/>
      <c r="G80" s="48"/>
      <c r="H80" s="48"/>
      <c r="I80" s="48"/>
      <c r="J80" s="48"/>
      <c r="K80" s="48"/>
    </row>
    <row r="81" spans="1:11" ht="18" x14ac:dyDescent="0.35">
      <c r="A81" s="48"/>
      <c r="B81" s="48"/>
      <c r="C81" s="48"/>
      <c r="D81" s="48"/>
      <c r="E81" s="48"/>
      <c r="F81" s="48"/>
      <c r="G81" s="48"/>
      <c r="H81" s="48"/>
      <c r="I81" s="48"/>
      <c r="J81" s="48"/>
      <c r="K81" s="48"/>
    </row>
    <row r="82" spans="1:11" ht="18" x14ac:dyDescent="0.35">
      <c r="A82" s="48"/>
      <c r="B82" s="48"/>
      <c r="C82" s="48"/>
      <c r="D82" s="48"/>
      <c r="E82" s="48"/>
      <c r="F82" s="48"/>
      <c r="G82" s="48"/>
      <c r="H82" s="48"/>
      <c r="I82" s="48"/>
      <c r="J82" s="48"/>
      <c r="K82" s="48"/>
    </row>
    <row r="83" spans="1:11" ht="18" x14ac:dyDescent="0.35">
      <c r="A83" s="48"/>
      <c r="B83" s="48"/>
      <c r="C83" s="48"/>
      <c r="D83" s="48"/>
      <c r="E83" s="48"/>
      <c r="F83" s="48"/>
      <c r="G83" s="48"/>
      <c r="H83" s="48"/>
      <c r="I83" s="48"/>
      <c r="J83" s="48"/>
      <c r="K83" s="48"/>
    </row>
    <row r="84" spans="1:11" ht="18" x14ac:dyDescent="0.35">
      <c r="A84" s="48"/>
      <c r="B84" s="48"/>
      <c r="C84" s="48"/>
      <c r="D84" s="48"/>
      <c r="E84" s="48"/>
      <c r="F84" s="48"/>
      <c r="G84" s="48"/>
      <c r="H84" s="48"/>
      <c r="I84" s="48"/>
      <c r="J84" s="48"/>
      <c r="K84" s="48"/>
    </row>
    <row r="85" spans="1:11" ht="18" x14ac:dyDescent="0.35">
      <c r="A85" s="48"/>
      <c r="B85" s="48"/>
      <c r="C85" s="48"/>
      <c r="D85" s="48"/>
      <c r="E85" s="48"/>
      <c r="F85" s="48"/>
      <c r="G85" s="48"/>
      <c r="H85" s="48"/>
      <c r="I85" s="48"/>
      <c r="J85" s="48"/>
      <c r="K85" s="48"/>
    </row>
    <row r="86" spans="1:11" ht="18" x14ac:dyDescent="0.35">
      <c r="A86" s="48"/>
      <c r="B86" s="48"/>
      <c r="C86" s="48"/>
      <c r="D86" s="48"/>
      <c r="E86" s="48"/>
      <c r="F86" s="48"/>
      <c r="G86" s="48"/>
      <c r="H86" s="48"/>
      <c r="I86" s="48"/>
      <c r="J86" s="48"/>
      <c r="K86" s="48"/>
    </row>
    <row r="87" spans="1:11" ht="18" x14ac:dyDescent="0.35">
      <c r="A87" s="48"/>
      <c r="B87" s="48"/>
      <c r="C87" s="48"/>
      <c r="D87" s="48"/>
      <c r="E87" s="48"/>
      <c r="F87" s="48"/>
      <c r="G87" s="48"/>
      <c r="H87" s="48"/>
      <c r="I87" s="48"/>
      <c r="J87" s="48"/>
      <c r="K87" s="48"/>
    </row>
    <row r="88" spans="1:11" ht="18" x14ac:dyDescent="0.35">
      <c r="A88" s="48"/>
      <c r="B88" s="48"/>
      <c r="C88" s="48"/>
      <c r="D88" s="48"/>
      <c r="E88" s="48"/>
      <c r="F88" s="48"/>
      <c r="G88" s="48"/>
      <c r="H88" s="48"/>
      <c r="I88" s="48"/>
      <c r="J88" s="48"/>
      <c r="K88" s="48"/>
    </row>
    <row r="89" spans="1:11" ht="18" x14ac:dyDescent="0.35">
      <c r="A89" s="48"/>
      <c r="B89" s="48"/>
      <c r="C89" s="48"/>
      <c r="D89" s="48"/>
      <c r="E89" s="48"/>
      <c r="F89" s="48"/>
      <c r="G89" s="48"/>
      <c r="H89" s="48"/>
      <c r="I89" s="48"/>
      <c r="J89" s="48"/>
      <c r="K89" s="48"/>
    </row>
    <row r="90" spans="1:11" ht="18" x14ac:dyDescent="0.35">
      <c r="A90" s="48"/>
      <c r="B90" s="48"/>
      <c r="C90" s="48"/>
      <c r="D90" s="48"/>
      <c r="E90" s="48"/>
      <c r="F90" s="48"/>
      <c r="G90" s="48"/>
      <c r="H90" s="48"/>
      <c r="I90" s="48"/>
      <c r="J90" s="48"/>
      <c r="K90" s="48"/>
    </row>
    <row r="91" spans="1:11" ht="18" x14ac:dyDescent="0.35">
      <c r="A91" s="48"/>
      <c r="B91" s="48"/>
      <c r="C91" s="48"/>
      <c r="D91" s="48"/>
      <c r="E91" s="48"/>
      <c r="F91" s="48"/>
      <c r="G91" s="48"/>
      <c r="H91" s="48"/>
      <c r="I91" s="48"/>
      <c r="J91" s="48"/>
      <c r="K91" s="48"/>
    </row>
    <row r="92" spans="1:11" ht="18" x14ac:dyDescent="0.35">
      <c r="A92" s="48"/>
      <c r="B92" s="48"/>
      <c r="C92" s="48"/>
      <c r="D92" s="48"/>
      <c r="E92" s="48"/>
      <c r="F92" s="48"/>
      <c r="G92" s="48"/>
      <c r="H92" s="48"/>
      <c r="I92" s="48"/>
      <c r="J92" s="48"/>
      <c r="K92" s="48"/>
    </row>
    <row r="93" spans="1:11" ht="18" x14ac:dyDescent="0.35">
      <c r="A93" s="48"/>
      <c r="B93" s="48"/>
      <c r="C93" s="48"/>
      <c r="D93" s="48"/>
      <c r="E93" s="48"/>
      <c r="F93" s="48"/>
      <c r="G93" s="48"/>
      <c r="H93" s="48"/>
      <c r="I93" s="48"/>
      <c r="J93" s="48"/>
      <c r="K93" s="48"/>
    </row>
    <row r="94" spans="1:11" ht="18" x14ac:dyDescent="0.35">
      <c r="A94" s="48"/>
      <c r="B94" s="48"/>
      <c r="C94" s="48"/>
      <c r="D94" s="48"/>
      <c r="E94" s="48"/>
      <c r="F94" s="48"/>
      <c r="G94" s="48"/>
      <c r="H94" s="48"/>
      <c r="I94" s="48"/>
      <c r="J94" s="48"/>
      <c r="K94" s="48"/>
    </row>
    <row r="95" spans="1:11" ht="18" x14ac:dyDescent="0.35">
      <c r="A95" s="84"/>
      <c r="B95" s="85"/>
      <c r="C95" s="85"/>
      <c r="D95" s="85"/>
      <c r="E95" s="48"/>
      <c r="F95" s="48"/>
      <c r="G95" s="48"/>
      <c r="H95" s="48"/>
      <c r="I95" s="48"/>
      <c r="J95" s="49"/>
      <c r="K95" s="49"/>
    </row>
    <row r="96" spans="1:11" ht="18" x14ac:dyDescent="0.35">
      <c r="A96" s="48"/>
      <c r="B96" s="48"/>
      <c r="C96" s="48"/>
      <c r="D96" s="48"/>
      <c r="E96" s="48"/>
      <c r="F96" s="48"/>
      <c r="G96" s="48"/>
      <c r="H96" s="48"/>
      <c r="I96" s="48"/>
      <c r="J96" s="48"/>
      <c r="K96" s="48"/>
    </row>
    <row r="97" spans="1:11" ht="18" x14ac:dyDescent="0.35">
      <c r="A97" s="48"/>
      <c r="B97" s="48"/>
      <c r="C97" s="48"/>
      <c r="D97" s="48"/>
      <c r="E97" s="48"/>
      <c r="F97" s="48"/>
      <c r="G97" s="48"/>
      <c r="H97" s="48"/>
      <c r="I97" s="48"/>
      <c r="J97" s="48"/>
      <c r="K97" s="48"/>
    </row>
    <row r="98" spans="1:11" ht="18" x14ac:dyDescent="0.35">
      <c r="A98" s="48"/>
      <c r="B98" s="48"/>
      <c r="C98" s="48"/>
      <c r="D98" s="48"/>
      <c r="E98" s="48"/>
      <c r="F98" s="48"/>
      <c r="G98" s="48"/>
      <c r="H98" s="48"/>
      <c r="I98" s="48"/>
      <c r="J98" s="48"/>
      <c r="K98" s="48"/>
    </row>
    <row r="99" spans="1:11" ht="18" x14ac:dyDescent="0.35">
      <c r="A99" s="48"/>
      <c r="B99" s="48"/>
      <c r="C99" s="48"/>
      <c r="D99" s="48"/>
      <c r="E99" s="48"/>
      <c r="F99" s="48"/>
      <c r="G99" s="48"/>
      <c r="H99" s="48"/>
      <c r="I99" s="48"/>
      <c r="J99" s="48"/>
      <c r="K99" s="48"/>
    </row>
    <row r="100" spans="1:11" ht="18" x14ac:dyDescent="0.35">
      <c r="A100" s="48"/>
      <c r="B100" s="48"/>
      <c r="C100" s="48"/>
      <c r="D100" s="48"/>
      <c r="E100" s="48"/>
      <c r="F100" s="48"/>
      <c r="G100" s="48"/>
      <c r="H100" s="48"/>
      <c r="I100" s="48"/>
      <c r="J100" s="48"/>
      <c r="K100" s="48"/>
    </row>
    <row r="101" spans="1:11" ht="18" x14ac:dyDescent="0.35">
      <c r="A101" s="48"/>
      <c r="B101" s="48"/>
      <c r="C101" s="48"/>
      <c r="D101" s="48"/>
      <c r="E101" s="48"/>
      <c r="F101" s="48"/>
      <c r="G101" s="48"/>
      <c r="H101" s="48"/>
      <c r="I101" s="48"/>
      <c r="J101" s="48"/>
      <c r="K101" s="48"/>
    </row>
    <row r="102" spans="1:11" ht="18" x14ac:dyDescent="0.35">
      <c r="A102" s="48"/>
      <c r="B102" s="48"/>
      <c r="C102" s="48"/>
      <c r="D102" s="48"/>
      <c r="E102" s="48"/>
      <c r="F102" s="48"/>
      <c r="G102" s="48"/>
      <c r="H102" s="48"/>
      <c r="I102" s="48"/>
      <c r="J102" s="48"/>
      <c r="K102" s="48"/>
    </row>
    <row r="103" spans="1:11" ht="18" x14ac:dyDescent="0.35">
      <c r="A103" s="48"/>
      <c r="B103" s="48"/>
      <c r="C103" s="48"/>
      <c r="D103" s="48"/>
      <c r="E103" s="48"/>
      <c r="F103" s="48"/>
      <c r="G103" s="48"/>
      <c r="H103" s="48"/>
      <c r="I103" s="48"/>
      <c r="J103" s="48"/>
      <c r="K103" s="48"/>
    </row>
    <row r="104" spans="1:11" ht="18" x14ac:dyDescent="0.35">
      <c r="A104" s="48"/>
      <c r="B104" s="48"/>
      <c r="C104" s="48"/>
      <c r="D104" s="48"/>
      <c r="E104" s="48"/>
      <c r="F104" s="48"/>
      <c r="G104" s="48"/>
      <c r="H104" s="48"/>
      <c r="I104" s="48"/>
      <c r="J104" s="48"/>
      <c r="K104" s="48"/>
    </row>
    <row r="105" spans="1:11" ht="18" x14ac:dyDescent="0.35">
      <c r="A105" s="48"/>
      <c r="B105" s="48"/>
      <c r="C105" s="48"/>
      <c r="D105" s="48"/>
      <c r="E105" s="48"/>
      <c r="F105" s="48"/>
      <c r="G105" s="48"/>
      <c r="H105" s="48"/>
      <c r="I105" s="48"/>
      <c r="J105" s="48"/>
      <c r="K105" s="48"/>
    </row>
    <row r="106" spans="1:11" ht="18" x14ac:dyDescent="0.35">
      <c r="A106" s="48"/>
      <c r="B106" s="48"/>
      <c r="C106" s="48"/>
      <c r="D106" s="48"/>
      <c r="E106" s="48"/>
      <c r="F106" s="48"/>
      <c r="G106" s="48"/>
      <c r="H106" s="48"/>
      <c r="I106" s="48"/>
      <c r="J106" s="48"/>
      <c r="K106" s="48"/>
    </row>
    <row r="107" spans="1:11" ht="18" x14ac:dyDescent="0.35">
      <c r="A107" s="48"/>
      <c r="B107" s="48"/>
      <c r="C107" s="48"/>
      <c r="D107" s="48"/>
      <c r="E107" s="48"/>
      <c r="F107" s="48"/>
      <c r="G107" s="48"/>
      <c r="H107" s="48"/>
      <c r="I107" s="48"/>
      <c r="J107" s="48"/>
      <c r="K107" s="48"/>
    </row>
  </sheetData>
  <mergeCells count="5">
    <mergeCell ref="N5:O5"/>
    <mergeCell ref="A3:B3"/>
    <mergeCell ref="B5:E5"/>
    <mergeCell ref="G5:J5"/>
    <mergeCell ref="L5:M5"/>
  </mergeCells>
  <hyperlinks>
    <hyperlink ref="B1" location="Innhold!A1" display="Tilbake" xr:uid="{00000000-0004-0000-0300-000000000000}"/>
  </hyperlinks>
  <pageMargins left="0.70866141732283472" right="0.70866141732283472" top="0.78740157480314965" bottom="0.78740157480314965" header="0.31496062992125984" footer="0.31496062992125984"/>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O115"/>
  <sheetViews>
    <sheetView showGridLines="0" showZeros="0" zoomScale="70" zoomScaleNormal="70" workbookViewId="0">
      <pane xSplit="1" ySplit="7" topLeftCell="B8" activePane="bottomRight" state="frozen"/>
      <selection pane="topRight" activeCell="H73" sqref="H73"/>
      <selection pane="bottomLeft" activeCell="H73" sqref="H73"/>
      <selection pane="bottomRight" activeCell="A4" sqref="A4"/>
    </sheetView>
  </sheetViews>
  <sheetFormatPr baseColWidth="10" defaultColWidth="11.44140625" defaultRowHeight="17.399999999999999" x14ac:dyDescent="0.3"/>
  <cols>
    <col min="1" max="1" width="51" style="53" customWidth="1"/>
    <col min="2" max="2" width="17.88671875" style="53" bestFit="1" customWidth="1"/>
    <col min="3" max="3" width="16.6640625" style="53" customWidth="1"/>
    <col min="4" max="4" width="9.33203125" style="53" bestFit="1" customWidth="1"/>
    <col min="5" max="5" width="4.6640625" style="53" customWidth="1"/>
    <col min="6" max="7" width="16.6640625" style="53" customWidth="1"/>
    <col min="8" max="8" width="9.33203125" style="53" bestFit="1" customWidth="1"/>
    <col min="9" max="9" width="4.6640625" style="53" customWidth="1"/>
    <col min="10" max="10" width="18.6640625" style="53" customWidth="1"/>
    <col min="11" max="11" width="18" style="53" bestFit="1" customWidth="1"/>
    <col min="12" max="12" width="9.33203125" style="53" bestFit="1" customWidth="1"/>
    <col min="13" max="13" width="11.44140625" style="53"/>
    <col min="14" max="15" width="17.33203125" style="53" bestFit="1" customWidth="1"/>
    <col min="16" max="16384" width="11.44140625" style="53"/>
  </cols>
  <sheetData>
    <row r="1" spans="1:13" ht="20.399999999999999" x14ac:dyDescent="0.35">
      <c r="A1" s="52" t="s">
        <v>78</v>
      </c>
      <c r="B1" s="47" t="s">
        <v>44</v>
      </c>
      <c r="C1" s="48"/>
      <c r="D1" s="48"/>
      <c r="E1" s="48"/>
      <c r="F1" s="48"/>
      <c r="G1" s="48"/>
      <c r="H1" s="48"/>
      <c r="I1" s="48"/>
      <c r="J1" s="48"/>
      <c r="K1" s="48"/>
      <c r="L1" s="48"/>
      <c r="M1" s="48"/>
    </row>
    <row r="2" spans="1:13" ht="20.399999999999999" x14ac:dyDescent="0.35">
      <c r="A2" s="52" t="s">
        <v>123</v>
      </c>
      <c r="B2" s="47"/>
      <c r="C2" s="48"/>
      <c r="D2" s="48"/>
      <c r="E2" s="48"/>
      <c r="F2" s="48"/>
      <c r="G2" s="48"/>
      <c r="H2" s="48"/>
      <c r="I2" s="48"/>
      <c r="J2" s="48"/>
      <c r="K2" s="48"/>
      <c r="L2" s="48"/>
      <c r="M2" s="48"/>
    </row>
    <row r="3" spans="1:13" ht="18" x14ac:dyDescent="0.35">
      <c r="A3" s="49" t="s">
        <v>124</v>
      </c>
      <c r="B3" s="48"/>
      <c r="C3" s="48"/>
      <c r="D3" s="48"/>
      <c r="E3" s="48"/>
      <c r="F3" s="48"/>
      <c r="G3" s="48"/>
      <c r="H3" s="48"/>
      <c r="I3" s="48"/>
      <c r="J3" s="48"/>
      <c r="K3" s="48"/>
      <c r="L3" s="48"/>
      <c r="M3" s="48"/>
    </row>
    <row r="4" spans="1:13" ht="18" x14ac:dyDescent="0.35">
      <c r="A4" s="54" t="s">
        <v>235</v>
      </c>
      <c r="B4" s="74"/>
      <c r="C4" s="86"/>
      <c r="D4" s="87"/>
      <c r="E4" s="48"/>
      <c r="F4" s="55"/>
      <c r="G4" s="56"/>
      <c r="H4" s="57"/>
      <c r="I4" s="48"/>
      <c r="J4" s="55"/>
      <c r="K4" s="56"/>
      <c r="L4" s="57"/>
      <c r="M4" s="48"/>
    </row>
    <row r="5" spans="1:13" ht="18" x14ac:dyDescent="0.35">
      <c r="A5" s="88"/>
      <c r="B5" s="758" t="s">
        <v>46</v>
      </c>
      <c r="C5" s="759"/>
      <c r="D5" s="760"/>
      <c r="E5" s="61"/>
      <c r="F5" s="758" t="s">
        <v>70</v>
      </c>
      <c r="G5" s="759"/>
      <c r="H5" s="760"/>
      <c r="I5" s="89"/>
      <c r="J5" s="758" t="s">
        <v>125</v>
      </c>
      <c r="K5" s="759"/>
      <c r="L5" s="760"/>
      <c r="M5" s="48"/>
    </row>
    <row r="6" spans="1:13" ht="18" x14ac:dyDescent="0.35">
      <c r="A6" s="90"/>
      <c r="B6" s="91"/>
      <c r="C6" s="92"/>
      <c r="D6" s="66" t="s">
        <v>126</v>
      </c>
      <c r="E6" s="72"/>
      <c r="F6" s="91"/>
      <c r="G6" s="92"/>
      <c r="H6" s="66" t="s">
        <v>126</v>
      </c>
      <c r="I6" s="93"/>
      <c r="J6" s="91"/>
      <c r="K6" s="92"/>
      <c r="L6" s="66" t="s">
        <v>126</v>
      </c>
      <c r="M6" s="48"/>
    </row>
    <row r="7" spans="1:13" ht="18" x14ac:dyDescent="0.35">
      <c r="A7" s="94" t="s">
        <v>127</v>
      </c>
      <c r="B7" s="95">
        <v>2024</v>
      </c>
      <c r="C7" s="139">
        <v>2025</v>
      </c>
      <c r="D7" s="71" t="s">
        <v>88</v>
      </c>
      <c r="E7" s="72"/>
      <c r="F7" s="69">
        <v>2024</v>
      </c>
      <c r="G7" s="95">
        <v>2025</v>
      </c>
      <c r="H7" s="71" t="s">
        <v>88</v>
      </c>
      <c r="I7" s="96"/>
      <c r="J7" s="138">
        <v>2024</v>
      </c>
      <c r="K7" s="139">
        <v>2025</v>
      </c>
      <c r="L7" s="71" t="s">
        <v>88</v>
      </c>
      <c r="M7" s="48"/>
    </row>
    <row r="8" spans="1:13" ht="20.399999999999999" x14ac:dyDescent="0.35">
      <c r="A8" s="144" t="s">
        <v>128</v>
      </c>
      <c r="B8" s="179"/>
      <c r="C8" s="152"/>
      <c r="D8" s="152"/>
      <c r="E8" s="136"/>
      <c r="F8" s="152"/>
      <c r="G8" s="152"/>
      <c r="H8" s="152"/>
      <c r="I8" s="153"/>
      <c r="J8" s="152"/>
      <c r="K8" s="152"/>
      <c r="L8" s="152"/>
      <c r="M8" s="48"/>
    </row>
    <row r="9" spans="1:13" ht="18" x14ac:dyDescent="0.35">
      <c r="A9" s="77" t="s">
        <v>129</v>
      </c>
      <c r="B9" s="76">
        <f>'Skjema total MA'!B7</f>
        <v>5541872.3509786185</v>
      </c>
      <c r="C9" s="76">
        <f>'Skjema total MA'!C7</f>
        <v>5820536.3558266163</v>
      </c>
      <c r="D9" s="180">
        <f>IF(B9=0, "    ---- ", IF(ABS(ROUND(100/B9*C9-100,1))&lt;999,ROUND(100/B9*C9-100,1),IF(ROUND(100/B9*C9-100,1)&gt;999,999,-999)))</f>
        <v>5</v>
      </c>
      <c r="E9" s="136"/>
      <c r="F9" s="147">
        <f>'Skjema total MA'!E7</f>
        <v>14213362.53359</v>
      </c>
      <c r="G9" s="147">
        <f>'Skjema total MA'!F7</f>
        <v>12010167.335509991</v>
      </c>
      <c r="H9" s="180">
        <f>IF(F9=0, "    ---- ", IF(ABS(ROUND(100/F9*G9-100,1))&lt;999,ROUND(100/F9*G9-100,1),IF(ROUND(100/F9*G9-100,1)&gt;999,999,-999)))</f>
        <v>-15.5</v>
      </c>
      <c r="I9" s="136"/>
      <c r="J9" s="147">
        <f t="shared" ref="J9:K60" si="0">SUM(B9+F9)</f>
        <v>19755234.884568617</v>
      </c>
      <c r="K9" s="147">
        <f t="shared" si="0"/>
        <v>17830703.691336609</v>
      </c>
      <c r="L9" s="178">
        <f>IF(J9=0, "    ---- ", IF(ABS(ROUND(100/J9*K9-100,1))&lt;999,ROUND(100/J9*K9-100,1),IF(ROUND(100/J9*K9-100,1)&gt;999,999,-999)))</f>
        <v>-9.6999999999999993</v>
      </c>
      <c r="M9" s="48"/>
    </row>
    <row r="10" spans="1:13" ht="18" x14ac:dyDescent="0.35">
      <c r="A10" s="77" t="s">
        <v>130</v>
      </c>
      <c r="B10" s="76">
        <f>'Skjema total MA'!B22</f>
        <v>2435385.2719447161</v>
      </c>
      <c r="C10" s="76">
        <f>'Skjema total MA'!C22</f>
        <v>2686815.6970883561</v>
      </c>
      <c r="D10" s="180">
        <f t="shared" ref="D10:D17" si="1">IF(B10=0, "    ---- ", IF(ABS(ROUND(100/B10*C10-100,1))&lt;999,ROUND(100/B10*C10-100,1),IF(ROUND(100/B10*C10-100,1)&gt;999,999,-999)))</f>
        <v>10.3</v>
      </c>
      <c r="E10" s="136"/>
      <c r="F10" s="147">
        <f>'Skjema total MA'!E22</f>
        <v>1020142.8224500001</v>
      </c>
      <c r="G10" s="147">
        <f>'Skjema total MA'!F22</f>
        <v>1176475.9043899998</v>
      </c>
      <c r="H10" s="180">
        <f t="shared" ref="H10:H57" si="2">IF(F10=0, "    ---- ", IF(ABS(ROUND(100/F10*G10-100,1))&lt;999,ROUND(100/F10*G10-100,1),IF(ROUND(100/F10*G10-100,1)&gt;999,999,-999)))</f>
        <v>15.3</v>
      </c>
      <c r="I10" s="136"/>
      <c r="J10" s="147">
        <f t="shared" si="0"/>
        <v>3455528.0943947164</v>
      </c>
      <c r="K10" s="147">
        <f t="shared" si="0"/>
        <v>3863291.6014783559</v>
      </c>
      <c r="L10" s="178">
        <f t="shared" ref="L10:L60" si="3">IF(J10=0, "    ---- ", IF(ABS(ROUND(100/J10*K10-100,1))&lt;999,ROUND(100/J10*K10-100,1),IF(ROUND(100/J10*K10-100,1)&gt;999,999,-999)))</f>
        <v>11.8</v>
      </c>
      <c r="M10" s="48"/>
    </row>
    <row r="11" spans="1:13" ht="18" x14ac:dyDescent="0.35">
      <c r="A11" s="77" t="s">
        <v>131</v>
      </c>
      <c r="B11" s="76">
        <f>'Skjema total MA'!B47</f>
        <v>6609905.2890899992</v>
      </c>
      <c r="C11" s="76">
        <f>'Skjema total MA'!C47</f>
        <v>7159679.7395200003</v>
      </c>
      <c r="D11" s="180">
        <f t="shared" si="1"/>
        <v>8.3000000000000007</v>
      </c>
      <c r="E11" s="136"/>
      <c r="F11" s="147"/>
      <c r="G11" s="147"/>
      <c r="H11" s="180"/>
      <c r="I11" s="136"/>
      <c r="J11" s="147">
        <f t="shared" si="0"/>
        <v>6609905.2890899992</v>
      </c>
      <c r="K11" s="147">
        <f t="shared" si="0"/>
        <v>7159679.7395200003</v>
      </c>
      <c r="L11" s="178">
        <f t="shared" si="3"/>
        <v>8.3000000000000007</v>
      </c>
      <c r="M11" s="48"/>
    </row>
    <row r="12" spans="1:13" ht="18" x14ac:dyDescent="0.35">
      <c r="A12" s="77" t="s">
        <v>132</v>
      </c>
      <c r="B12" s="76">
        <f>'Skjema total MA'!B66</f>
        <v>8817279.4202000014</v>
      </c>
      <c r="C12" s="76">
        <f>'Skjema total MA'!C66</f>
        <v>9394154.7065499984</v>
      </c>
      <c r="D12" s="180">
        <f t="shared" si="1"/>
        <v>6.5</v>
      </c>
      <c r="E12" s="136"/>
      <c r="F12" s="147">
        <f>'Skjema total MA'!E66</f>
        <v>54720089.956119999</v>
      </c>
      <c r="G12" s="147">
        <f>'Skjema total MA'!F66</f>
        <v>59387195.467149995</v>
      </c>
      <c r="H12" s="180">
        <f t="shared" si="2"/>
        <v>8.5</v>
      </c>
      <c r="I12" s="136"/>
      <c r="J12" s="147">
        <f t="shared" si="0"/>
        <v>63537369.376320004</v>
      </c>
      <c r="K12" s="147">
        <f t="shared" si="0"/>
        <v>68781350.17369999</v>
      </c>
      <c r="L12" s="178">
        <f t="shared" si="3"/>
        <v>8.3000000000000007</v>
      </c>
      <c r="M12" s="48"/>
    </row>
    <row r="13" spans="1:13" ht="18" x14ac:dyDescent="0.35">
      <c r="A13" s="77" t="s">
        <v>133</v>
      </c>
      <c r="B13" s="76">
        <f>'Skjema total MA'!B68</f>
        <v>29813.744979999999</v>
      </c>
      <c r="C13" s="76">
        <f>'Skjema total MA'!C68</f>
        <v>24196.741590000001</v>
      </c>
      <c r="D13" s="180">
        <f t="shared" si="1"/>
        <v>-18.8</v>
      </c>
      <c r="E13" s="136"/>
      <c r="F13" s="147">
        <f>'Skjema total MA'!E68</f>
        <v>52614807.915200002</v>
      </c>
      <c r="G13" s="147">
        <f>'Skjema total MA'!F68</f>
        <v>57188292.149590001</v>
      </c>
      <c r="H13" s="180">
        <f t="shared" si="2"/>
        <v>8.6999999999999993</v>
      </c>
      <c r="I13" s="136"/>
      <c r="J13" s="147">
        <f t="shared" si="0"/>
        <v>52644621.660180002</v>
      </c>
      <c r="K13" s="147">
        <f t="shared" si="0"/>
        <v>57212488.891180001</v>
      </c>
      <c r="L13" s="178">
        <f t="shared" si="3"/>
        <v>8.6999999999999993</v>
      </c>
      <c r="M13" s="48"/>
    </row>
    <row r="14" spans="1:13" s="100" customFormat="1" ht="18" x14ac:dyDescent="0.35">
      <c r="A14" s="145" t="s">
        <v>134</v>
      </c>
      <c r="B14" s="99">
        <f>'Skjema total MA'!B75+'Skjema total MA'!B76</f>
        <v>4040532.2004954098</v>
      </c>
      <c r="C14" s="99">
        <f>'Skjema total MA'!C75+'Skjema total MA'!C76</f>
        <v>5164683.06109834</v>
      </c>
      <c r="D14" s="180">
        <f t="shared" si="1"/>
        <v>27.8</v>
      </c>
      <c r="E14" s="137"/>
      <c r="F14" s="148">
        <f>'Skjema total MA'!E75+'Skjema total MA'!E76</f>
        <v>2105282.0409200001</v>
      </c>
      <c r="G14" s="148">
        <f>'Skjema total MA'!F75+'Skjema total MA'!F76</f>
        <v>2198903.3175600003</v>
      </c>
      <c r="H14" s="180">
        <f t="shared" si="2"/>
        <v>4.4000000000000004</v>
      </c>
      <c r="I14" s="137"/>
      <c r="J14" s="147">
        <f t="shared" si="0"/>
        <v>6145814.2414154094</v>
      </c>
      <c r="K14" s="147">
        <f t="shared" si="0"/>
        <v>7363586.3786583403</v>
      </c>
      <c r="L14" s="178">
        <f t="shared" si="3"/>
        <v>19.8</v>
      </c>
      <c r="M14" s="50"/>
    </row>
    <row r="15" spans="1:13" ht="20.399999999999999" x14ac:dyDescent="0.35">
      <c r="A15" s="77" t="s">
        <v>135</v>
      </c>
      <c r="B15" s="76">
        <f>'Skjema total MA'!B134</f>
        <v>70782245.241020009</v>
      </c>
      <c r="C15" s="76">
        <f>'Skjema total MA'!C134</f>
        <v>75207414.399560004</v>
      </c>
      <c r="D15" s="180">
        <f t="shared" si="1"/>
        <v>6.3</v>
      </c>
      <c r="E15" s="136"/>
      <c r="F15" s="147">
        <f>'Skjema total MA'!E134</f>
        <v>212249.59526999999</v>
      </c>
      <c r="G15" s="147">
        <f>'Skjema total MA'!F134</f>
        <v>225395.45800000001</v>
      </c>
      <c r="H15" s="180">
        <f t="shared" si="2"/>
        <v>6.2</v>
      </c>
      <c r="I15" s="136"/>
      <c r="J15" s="147">
        <f t="shared" si="0"/>
        <v>70994494.836290002</v>
      </c>
      <c r="K15" s="147">
        <f t="shared" si="0"/>
        <v>75432809.857560009</v>
      </c>
      <c r="L15" s="178">
        <f t="shared" si="3"/>
        <v>6.3</v>
      </c>
      <c r="M15" s="48"/>
    </row>
    <row r="16" spans="1:13" ht="18" x14ac:dyDescent="0.35">
      <c r="A16" s="77" t="s">
        <v>136</v>
      </c>
      <c r="B16" s="76">
        <f>'Skjema total MA'!B36</f>
        <v>9099.726999999999</v>
      </c>
      <c r="C16" s="76">
        <f>'Skjema total MA'!C36</f>
        <v>17683</v>
      </c>
      <c r="D16" s="180">
        <f t="shared" si="1"/>
        <v>94.3</v>
      </c>
      <c r="E16" s="136"/>
      <c r="F16" s="147">
        <f>'Skjema total MA'!E36</f>
        <v>0</v>
      </c>
      <c r="G16" s="147">
        <f>'Skjema total MA'!F36</f>
        <v>0</v>
      </c>
      <c r="H16" s="180"/>
      <c r="I16" s="136"/>
      <c r="J16" s="147">
        <f t="shared" si="0"/>
        <v>9099.726999999999</v>
      </c>
      <c r="K16" s="147">
        <f t="shared" si="0"/>
        <v>17683</v>
      </c>
      <c r="L16" s="178">
        <f t="shared" si="3"/>
        <v>94.3</v>
      </c>
      <c r="M16" s="48"/>
    </row>
    <row r="17" spans="1:15" s="102" customFormat="1" ht="18.75" customHeight="1" x14ac:dyDescent="0.3">
      <c r="A17" s="103" t="s">
        <v>137</v>
      </c>
      <c r="B17" s="79">
        <f>'Tabel 1.1'!B32</f>
        <v>94195787.300233349</v>
      </c>
      <c r="C17" s="149">
        <f>'Tabel 1.1'!C32</f>
        <v>100286283.89854495</v>
      </c>
      <c r="D17" s="730">
        <f t="shared" si="1"/>
        <v>6.5</v>
      </c>
      <c r="E17" s="104"/>
      <c r="F17" s="149">
        <f>'Tabel 1.1'!B41</f>
        <v>70165844.907429993</v>
      </c>
      <c r="G17" s="149">
        <f>'Tabel 1.1'!C41</f>
        <v>72799234.165049985</v>
      </c>
      <c r="H17" s="730">
        <f t="shared" si="2"/>
        <v>3.8</v>
      </c>
      <c r="I17" s="104"/>
      <c r="J17" s="149">
        <f t="shared" si="0"/>
        <v>164361632.20766336</v>
      </c>
      <c r="K17" s="149">
        <f t="shared" si="0"/>
        <v>173085518.06359494</v>
      </c>
      <c r="L17" s="731">
        <f t="shared" si="3"/>
        <v>5.3</v>
      </c>
      <c r="M17" s="49"/>
      <c r="N17" s="101"/>
      <c r="O17" s="101"/>
    </row>
    <row r="18" spans="1:15" ht="18.75" customHeight="1" x14ac:dyDescent="0.35">
      <c r="A18" s="103"/>
      <c r="B18" s="76"/>
      <c r="C18" s="147"/>
      <c r="D18" s="147"/>
      <c r="E18" s="136"/>
      <c r="F18" s="147"/>
      <c r="G18" s="147"/>
      <c r="H18" s="180"/>
      <c r="I18" s="136"/>
      <c r="J18" s="147"/>
      <c r="K18" s="147"/>
      <c r="L18" s="178"/>
      <c r="M18" s="48"/>
    </row>
    <row r="19" spans="1:15" ht="18.75" customHeight="1" x14ac:dyDescent="0.35">
      <c r="A19" s="144" t="s">
        <v>138</v>
      </c>
      <c r="B19" s="151"/>
      <c r="C19" s="154"/>
      <c r="D19" s="147"/>
      <c r="E19" s="136"/>
      <c r="F19" s="154"/>
      <c r="G19" s="154"/>
      <c r="H19" s="180"/>
      <c r="I19" s="136"/>
      <c r="J19" s="147"/>
      <c r="K19" s="147"/>
      <c r="L19" s="178"/>
      <c r="M19" s="48"/>
    </row>
    <row r="20" spans="1:15" ht="18.75" customHeight="1" x14ac:dyDescent="0.35">
      <c r="A20" s="77" t="s">
        <v>129</v>
      </c>
      <c r="B20" s="76">
        <f>'Skjema total MA'!B10</f>
        <v>15310247.794006975</v>
      </c>
      <c r="C20" s="76">
        <f>'Skjema total MA'!C10</f>
        <v>15536778.070680737</v>
      </c>
      <c r="D20" s="180">
        <f>IF(B20=0, "    ---- ", IF(ABS(ROUND(100/B20*C20-100,1))&lt;999,ROUND(100/B20*C20-100,1),IF(ROUND(100/B20*C20-100,1)&gt;999,999,-999)))</f>
        <v>1.5</v>
      </c>
      <c r="E20" s="136"/>
      <c r="F20" s="147">
        <f>'Skjema total MA'!E10</f>
        <v>101754611.42249104</v>
      </c>
      <c r="G20" s="147">
        <f>'Skjema total MA'!F10</f>
        <v>108932409.11146501</v>
      </c>
      <c r="H20" s="180">
        <f t="shared" si="2"/>
        <v>7.1</v>
      </c>
      <c r="I20" s="136"/>
      <c r="J20" s="147">
        <f t="shared" si="0"/>
        <v>117064859.21649802</v>
      </c>
      <c r="K20" s="147">
        <f t="shared" si="0"/>
        <v>124469187.18214574</v>
      </c>
      <c r="L20" s="178">
        <f t="shared" si="3"/>
        <v>6.3</v>
      </c>
      <c r="M20" s="48"/>
    </row>
    <row r="21" spans="1:15" ht="18.75" customHeight="1" x14ac:dyDescent="0.35">
      <c r="A21" s="77" t="s">
        <v>130</v>
      </c>
      <c r="B21" s="76">
        <f>'Skjema total MA'!B29</f>
        <v>43541068.128634624</v>
      </c>
      <c r="C21" s="76">
        <f>'Skjema total MA'!C29</f>
        <v>44109490.925709188</v>
      </c>
      <c r="D21" s="180">
        <f t="shared" ref="D21:D27" si="4">IF(B21=0, "    ---- ", IF(ABS(ROUND(100/B21*C21-100,1))&lt;999,ROUND(100/B21*C21-100,1),IF(ROUND(100/B21*C21-100,1)&gt;999,999,-999)))</f>
        <v>1.3</v>
      </c>
      <c r="E21" s="136"/>
      <c r="F21" s="147">
        <f>'Skjema total MA'!E29</f>
        <v>29688658.38284</v>
      </c>
      <c r="G21" s="147">
        <f>'Skjema total MA'!F29</f>
        <v>31928650.312930003</v>
      </c>
      <c r="H21" s="180">
        <f t="shared" si="2"/>
        <v>7.5</v>
      </c>
      <c r="I21" s="136"/>
      <c r="J21" s="147">
        <f t="shared" si="0"/>
        <v>73229726.511474624</v>
      </c>
      <c r="K21" s="147">
        <f t="shared" si="0"/>
        <v>76038141.238639191</v>
      </c>
      <c r="L21" s="178">
        <f t="shared" si="3"/>
        <v>3.8</v>
      </c>
      <c r="M21" s="48"/>
    </row>
    <row r="22" spans="1:15" ht="18" x14ac:dyDescent="0.35">
      <c r="A22" s="77" t="s">
        <v>132</v>
      </c>
      <c r="B22" s="76">
        <f>'Skjema total MA'!B87</f>
        <v>405944595.5139876</v>
      </c>
      <c r="C22" s="76">
        <f>'Skjema total MA'!C87</f>
        <v>415570036.45189971</v>
      </c>
      <c r="D22" s="180">
        <f t="shared" si="4"/>
        <v>2.4</v>
      </c>
      <c r="E22" s="136"/>
      <c r="F22" s="147">
        <f>'Skjema total MA'!E87</f>
        <v>665325030.94028997</v>
      </c>
      <c r="G22" s="147">
        <f>'Skjema total MA'!F87</f>
        <v>792325575.19824493</v>
      </c>
      <c r="H22" s="180">
        <f t="shared" si="2"/>
        <v>19.100000000000001</v>
      </c>
      <c r="I22" s="136"/>
      <c r="J22" s="147">
        <f t="shared" si="0"/>
        <v>1071269626.4542775</v>
      </c>
      <c r="K22" s="147">
        <f t="shared" si="0"/>
        <v>1207895611.6501446</v>
      </c>
      <c r="L22" s="178">
        <f t="shared" si="3"/>
        <v>12.8</v>
      </c>
      <c r="M22" s="48"/>
    </row>
    <row r="23" spans="1:15" ht="20.399999999999999" x14ac:dyDescent="0.35">
      <c r="A23" s="77" t="s">
        <v>139</v>
      </c>
      <c r="B23" s="76">
        <f>'Skjema total MA'!B89</f>
        <v>2423996.5242499998</v>
      </c>
      <c r="C23" s="76">
        <f>'Skjema total MA'!C89</f>
        <v>4267286.0526200002</v>
      </c>
      <c r="D23" s="180">
        <f t="shared" si="4"/>
        <v>76</v>
      </c>
      <c r="E23" s="136"/>
      <c r="F23" s="147">
        <f>'Skjema total MA'!E89</f>
        <v>655020178.53183997</v>
      </c>
      <c r="G23" s="147">
        <f>'Skjema total MA'!F89</f>
        <v>779674561.53863502</v>
      </c>
      <c r="H23" s="180">
        <f t="shared" si="2"/>
        <v>19</v>
      </c>
      <c r="I23" s="136"/>
      <c r="J23" s="147">
        <f t="shared" si="0"/>
        <v>657444175.05609</v>
      </c>
      <c r="K23" s="147">
        <f t="shared" si="0"/>
        <v>783941847.59125507</v>
      </c>
      <c r="L23" s="178">
        <f t="shared" si="3"/>
        <v>19.2</v>
      </c>
      <c r="M23" s="48"/>
    </row>
    <row r="24" spans="1:15" ht="18" x14ac:dyDescent="0.35">
      <c r="A24" s="145" t="s">
        <v>134</v>
      </c>
      <c r="B24" s="76">
        <f>'Skjema total MA'!B96+'Skjema total MA'!B97</f>
        <v>19266131.378680002</v>
      </c>
      <c r="C24" s="76">
        <f>'Skjema total MA'!C96+'Skjema total MA'!C97</f>
        <v>22935801.410020001</v>
      </c>
      <c r="D24" s="180">
        <f t="shared" si="4"/>
        <v>19</v>
      </c>
      <c r="E24" s="136"/>
      <c r="F24" s="147">
        <f>'Skjema total MA'!E96+'Skjema total MA'!E97</f>
        <v>10304852.40845</v>
      </c>
      <c r="G24" s="147">
        <f>'Skjema total MA'!F96+'Skjema total MA'!F97</f>
        <v>12651013.65961</v>
      </c>
      <c r="H24" s="180">
        <f t="shared" si="2"/>
        <v>22.8</v>
      </c>
      <c r="I24" s="136"/>
      <c r="J24" s="147">
        <f t="shared" si="0"/>
        <v>29570983.787130002</v>
      </c>
      <c r="K24" s="147">
        <f t="shared" si="0"/>
        <v>35586815.069629997</v>
      </c>
      <c r="L24" s="178">
        <f t="shared" si="3"/>
        <v>20.3</v>
      </c>
      <c r="M24" s="48"/>
    </row>
    <row r="25" spans="1:15" ht="20.399999999999999" x14ac:dyDescent="0.35">
      <c r="A25" s="77" t="s">
        <v>135</v>
      </c>
      <c r="B25" s="76">
        <f>'Skjema total MA'!B135</f>
        <v>953621309.54842997</v>
      </c>
      <c r="C25" s="76">
        <f>'Skjema total MA'!C135</f>
        <v>1038486655.7005399</v>
      </c>
      <c r="D25" s="180">
        <f t="shared" si="4"/>
        <v>8.9</v>
      </c>
      <c r="E25" s="136"/>
      <c r="F25" s="147">
        <f>'Skjema total MA'!E135</f>
        <v>2886767.1387900002</v>
      </c>
      <c r="G25" s="147">
        <f>'Skjema total MA'!F135</f>
        <v>3013494.0432199999</v>
      </c>
      <c r="H25" s="180">
        <f t="shared" si="2"/>
        <v>4.4000000000000004</v>
      </c>
      <c r="I25" s="136"/>
      <c r="J25" s="147">
        <f t="shared" si="0"/>
        <v>956508076.68721998</v>
      </c>
      <c r="K25" s="147">
        <f t="shared" si="0"/>
        <v>1041500149.74376</v>
      </c>
      <c r="L25" s="178">
        <f t="shared" si="3"/>
        <v>8.9</v>
      </c>
      <c r="M25" s="48"/>
    </row>
    <row r="26" spans="1:15" ht="18" x14ac:dyDescent="0.35">
      <c r="A26" s="77" t="s">
        <v>136</v>
      </c>
      <c r="B26" s="76">
        <f>'Skjema total MA'!B37</f>
        <v>2499130.8920299998</v>
      </c>
      <c r="C26" s="76">
        <f>'Skjema total MA'!C37</f>
        <v>2326449.8647500002</v>
      </c>
      <c r="D26" s="180">
        <f t="shared" si="4"/>
        <v>-6.9</v>
      </c>
      <c r="E26" s="136"/>
      <c r="F26" s="147">
        <f>'Skjema total MA'!E37</f>
        <v>0</v>
      </c>
      <c r="G26" s="147">
        <f>'Skjema total MA'!F37</f>
        <v>0</v>
      </c>
      <c r="H26" s="180"/>
      <c r="I26" s="136"/>
      <c r="J26" s="147">
        <f t="shared" si="0"/>
        <v>2499130.8920299998</v>
      </c>
      <c r="K26" s="147">
        <f t="shared" si="0"/>
        <v>2326449.8647500002</v>
      </c>
      <c r="L26" s="178">
        <f t="shared" si="3"/>
        <v>-6.9</v>
      </c>
      <c r="M26" s="48"/>
    </row>
    <row r="27" spans="1:15" s="102" customFormat="1" x14ac:dyDescent="0.3">
      <c r="A27" s="103" t="s">
        <v>140</v>
      </c>
      <c r="B27" s="79">
        <f>'Tabel 1.1'!G32</f>
        <v>1420916351.8770893</v>
      </c>
      <c r="C27" s="149">
        <f>'Tabel 1.1'!H32</f>
        <v>1516029411.0135798</v>
      </c>
      <c r="D27" s="730">
        <f t="shared" si="4"/>
        <v>6.7</v>
      </c>
      <c r="E27" s="104"/>
      <c r="F27" s="149">
        <f>'Tabel 1.1'!G41</f>
        <v>799655067.88441086</v>
      </c>
      <c r="G27" s="149">
        <f>'Tabel 1.1'!H41</f>
        <v>936200128.66585994</v>
      </c>
      <c r="H27" s="730">
        <f t="shared" si="2"/>
        <v>17.100000000000001</v>
      </c>
      <c r="I27" s="104"/>
      <c r="J27" s="149">
        <f t="shared" si="0"/>
        <v>2220571419.7615004</v>
      </c>
      <c r="K27" s="149">
        <f t="shared" si="0"/>
        <v>2452229539.6794395</v>
      </c>
      <c r="L27" s="731">
        <f t="shared" si="3"/>
        <v>10.4</v>
      </c>
      <c r="M27" s="49"/>
      <c r="N27" s="101"/>
      <c r="O27" s="101"/>
    </row>
    <row r="28" spans="1:15" ht="18" x14ac:dyDescent="0.35">
      <c r="A28" s="103"/>
      <c r="B28" s="76"/>
      <c r="C28" s="147"/>
      <c r="D28" s="180"/>
      <c r="E28" s="136"/>
      <c r="F28" s="147"/>
      <c r="G28" s="147"/>
      <c r="H28" s="180"/>
      <c r="I28" s="136"/>
      <c r="J28" s="147">
        <f t="shared" si="0"/>
        <v>0</v>
      </c>
      <c r="K28" s="147">
        <f t="shared" si="0"/>
        <v>0</v>
      </c>
      <c r="L28" s="178"/>
      <c r="M28" s="48"/>
    </row>
    <row r="29" spans="1:15" ht="20.399999999999999" x14ac:dyDescent="0.35">
      <c r="A29" s="144" t="s">
        <v>141</v>
      </c>
      <c r="B29" s="151"/>
      <c r="C29" s="154"/>
      <c r="D29" s="147"/>
      <c r="E29" s="136"/>
      <c r="F29" s="147"/>
      <c r="G29" s="147"/>
      <c r="H29" s="180"/>
      <c r="I29" s="136"/>
      <c r="J29" s="147"/>
      <c r="K29" s="147"/>
      <c r="L29" s="178"/>
      <c r="M29" s="48"/>
    </row>
    <row r="30" spans="1:15" ht="18" x14ac:dyDescent="0.35">
      <c r="A30" s="77" t="s">
        <v>129</v>
      </c>
      <c r="B30" s="76">
        <f>'Skjema total MA'!B11</f>
        <v>1517</v>
      </c>
      <c r="C30" s="76">
        <f>'Skjema total MA'!C11</f>
        <v>333</v>
      </c>
      <c r="D30" s="180">
        <f>IF(B30=0, "    ---- ", IF(ABS(ROUND(100/B30*C30-100,1))&lt;999,ROUND(100/B30*C30-100,1),IF(ROUND(100/B30*C30-100,1)&gt;999,999,-999)))</f>
        <v>-78</v>
      </c>
      <c r="E30" s="136"/>
      <c r="F30" s="147">
        <f>'Skjema total MA'!E11</f>
        <v>395869.34132000001</v>
      </c>
      <c r="G30" s="147">
        <f>'Skjema total MA'!F11</f>
        <v>649680.58482999995</v>
      </c>
      <c r="H30" s="180">
        <f t="shared" si="2"/>
        <v>64.099999999999994</v>
      </c>
      <c r="I30" s="136"/>
      <c r="J30" s="147">
        <f t="shared" si="0"/>
        <v>397386.34132000001</v>
      </c>
      <c r="K30" s="147">
        <f t="shared" si="0"/>
        <v>650013.58482999995</v>
      </c>
      <c r="L30" s="178">
        <f t="shared" si="3"/>
        <v>63.6</v>
      </c>
      <c r="M30" s="48"/>
    </row>
    <row r="31" spans="1:15" ht="18" x14ac:dyDescent="0.35">
      <c r="A31" s="77" t="s">
        <v>130</v>
      </c>
      <c r="B31" s="76">
        <f>'Skjema total MA'!B34</f>
        <v>48342.408739999999</v>
      </c>
      <c r="C31" s="76">
        <f>'Skjema total MA'!C34</f>
        <v>131723.90364</v>
      </c>
      <c r="D31" s="180">
        <f t="shared" ref="D31:D38" si="5">IF(B31=0, "    ---- ", IF(ABS(ROUND(100/B31*C31-100,1))&lt;999,ROUND(100/B31*C31-100,1),IF(ROUND(100/B31*C31-100,1)&gt;999,999,-999)))</f>
        <v>172.5</v>
      </c>
      <c r="E31" s="136"/>
      <c r="F31" s="147">
        <f>'Skjema total MA'!E34</f>
        <v>-426149.39205000002</v>
      </c>
      <c r="G31" s="147">
        <f>'Skjema total MA'!F34</f>
        <v>269018.74836999999</v>
      </c>
      <c r="H31" s="180">
        <f t="shared" si="2"/>
        <v>-163.1</v>
      </c>
      <c r="I31" s="136"/>
      <c r="J31" s="147">
        <f t="shared" si="0"/>
        <v>-377806.98331000004</v>
      </c>
      <c r="K31" s="147">
        <f t="shared" si="0"/>
        <v>400742.65200999996</v>
      </c>
      <c r="L31" s="178">
        <f t="shared" si="3"/>
        <v>-206.1</v>
      </c>
      <c r="M31" s="48"/>
    </row>
    <row r="32" spans="1:15" ht="18" x14ac:dyDescent="0.35">
      <c r="A32" s="77" t="s">
        <v>132</v>
      </c>
      <c r="B32" s="76">
        <f>'Skjema total MA'!B111</f>
        <v>564211.92837999994</v>
      </c>
      <c r="C32" s="76">
        <f>'Skjema total MA'!C111</f>
        <v>2468963.4357099999</v>
      </c>
      <c r="D32" s="180">
        <f t="shared" si="5"/>
        <v>337.6</v>
      </c>
      <c r="E32" s="136"/>
      <c r="F32" s="147">
        <f>'Skjema total MA'!E111</f>
        <v>51331188.795369998</v>
      </c>
      <c r="G32" s="147">
        <f>'Skjema total MA'!F111</f>
        <v>68906594.601389989</v>
      </c>
      <c r="H32" s="180">
        <f t="shared" si="2"/>
        <v>34.200000000000003</v>
      </c>
      <c r="I32" s="136"/>
      <c r="J32" s="147">
        <f t="shared" si="0"/>
        <v>51895400.723749995</v>
      </c>
      <c r="K32" s="147">
        <f t="shared" si="0"/>
        <v>71375558.037099987</v>
      </c>
      <c r="L32" s="178">
        <f t="shared" si="3"/>
        <v>37.5</v>
      </c>
      <c r="M32" s="48"/>
    </row>
    <row r="33" spans="1:15" ht="20.399999999999999" x14ac:dyDescent="0.35">
      <c r="A33" s="77" t="s">
        <v>135</v>
      </c>
      <c r="B33" s="76">
        <f>'Skjema total MA'!B136</f>
        <v>2231569.9409999996</v>
      </c>
      <c r="C33" s="76">
        <f>'Skjema total MA'!C136</f>
        <v>3312231.7239999999</v>
      </c>
      <c r="D33" s="180">
        <f t="shared" si="5"/>
        <v>48.4</v>
      </c>
      <c r="E33" s="136"/>
      <c r="F33" s="147">
        <f>'Skjema total MA'!E136</f>
        <v>-1022.97</v>
      </c>
      <c r="G33" s="147">
        <f>'Skjema total MA'!F136</f>
        <v>-3933.2139999999999</v>
      </c>
      <c r="H33" s="180">
        <f t="shared" si="2"/>
        <v>284.5</v>
      </c>
      <c r="I33" s="136"/>
      <c r="J33" s="147">
        <f t="shared" si="0"/>
        <v>2230546.9709999994</v>
      </c>
      <c r="K33" s="147">
        <f t="shared" si="0"/>
        <v>3308298.51</v>
      </c>
      <c r="L33" s="178">
        <f t="shared" si="3"/>
        <v>48.3</v>
      </c>
      <c r="M33" s="48"/>
    </row>
    <row r="34" spans="1:15" ht="18" x14ac:dyDescent="0.35">
      <c r="A34" s="77" t="s">
        <v>136</v>
      </c>
      <c r="B34" s="76">
        <f>'Skjema total MA'!B38</f>
        <v>0</v>
      </c>
      <c r="C34" s="76">
        <f>'Skjema total MA'!C38</f>
        <v>0</v>
      </c>
      <c r="D34" s="180"/>
      <c r="E34" s="136"/>
      <c r="F34" s="147">
        <f>'Skjema total MA'!E38</f>
        <v>0</v>
      </c>
      <c r="G34" s="147">
        <f>'Skjema total MA'!F38</f>
        <v>0</v>
      </c>
      <c r="H34" s="180"/>
      <c r="I34" s="136"/>
      <c r="J34" s="147">
        <f t="shared" si="0"/>
        <v>0</v>
      </c>
      <c r="K34" s="147">
        <f t="shared" si="0"/>
        <v>0</v>
      </c>
      <c r="L34" s="178"/>
      <c r="M34" s="48"/>
    </row>
    <row r="35" spans="1:15" s="102" customFormat="1" x14ac:dyDescent="0.3">
      <c r="A35" s="103" t="s">
        <v>142</v>
      </c>
      <c r="B35" s="79">
        <f>SUM(B30:B34)</f>
        <v>2845641.2781199994</v>
      </c>
      <c r="C35" s="149">
        <f>SUM(C30:C34)</f>
        <v>5913252.0633499995</v>
      </c>
      <c r="D35" s="730">
        <f t="shared" si="5"/>
        <v>107.8</v>
      </c>
      <c r="E35" s="104"/>
      <c r="F35" s="149">
        <f>SUM(F30:F34)</f>
        <v>51299885.774640001</v>
      </c>
      <c r="G35" s="149">
        <f>SUM(G30:G34)</f>
        <v>69821360.72058998</v>
      </c>
      <c r="H35" s="730">
        <f t="shared" si="2"/>
        <v>36.1</v>
      </c>
      <c r="I35" s="104"/>
      <c r="J35" s="149">
        <f t="shared" si="0"/>
        <v>54145527.052759998</v>
      </c>
      <c r="K35" s="149">
        <f t="shared" si="0"/>
        <v>75734612.783939987</v>
      </c>
      <c r="L35" s="731">
        <f t="shared" si="3"/>
        <v>39.9</v>
      </c>
      <c r="M35" s="49"/>
    </row>
    <row r="36" spans="1:15" ht="18" x14ac:dyDescent="0.35">
      <c r="A36" s="103"/>
      <c r="B36" s="79"/>
      <c r="C36" s="149"/>
      <c r="D36" s="180"/>
      <c r="E36" s="104"/>
      <c r="F36" s="149"/>
      <c r="G36" s="149"/>
      <c r="H36" s="180"/>
      <c r="I36" s="104"/>
      <c r="J36" s="147"/>
      <c r="K36" s="147"/>
      <c r="L36" s="178"/>
      <c r="M36" s="48"/>
    </row>
    <row r="37" spans="1:15" ht="20.399999999999999" x14ac:dyDescent="0.35">
      <c r="A37" s="103" t="s">
        <v>143</v>
      </c>
      <c r="B37" s="79"/>
      <c r="C37" s="149"/>
      <c r="D37" s="147"/>
      <c r="E37" s="104"/>
      <c r="F37" s="149"/>
      <c r="G37" s="149"/>
      <c r="H37" s="180"/>
      <c r="I37" s="104"/>
      <c r="J37" s="147"/>
      <c r="K37" s="147"/>
      <c r="L37" s="178"/>
      <c r="M37" s="48"/>
    </row>
    <row r="38" spans="1:15" s="102" customFormat="1" ht="18" x14ac:dyDescent="0.35">
      <c r="A38" s="103" t="s">
        <v>131</v>
      </c>
      <c r="B38" s="79">
        <f>'Skjema total MA'!B53</f>
        <v>219133.33467784812</v>
      </c>
      <c r="C38" s="79">
        <f>'Skjema total MA'!C53</f>
        <v>325463.40980000002</v>
      </c>
      <c r="D38" s="730">
        <f t="shared" si="5"/>
        <v>48.5</v>
      </c>
      <c r="E38" s="104"/>
      <c r="F38" s="149"/>
      <c r="G38" s="149"/>
      <c r="H38" s="180"/>
      <c r="I38" s="104"/>
      <c r="J38" s="149">
        <f t="shared" si="0"/>
        <v>219133.33467784812</v>
      </c>
      <c r="K38" s="149">
        <f t="shared" si="0"/>
        <v>325463.40980000002</v>
      </c>
      <c r="L38" s="731">
        <f t="shared" si="3"/>
        <v>48.5</v>
      </c>
      <c r="M38" s="49"/>
    </row>
    <row r="39" spans="1:15" ht="18" x14ac:dyDescent="0.35">
      <c r="A39" s="103"/>
      <c r="B39" s="79"/>
      <c r="C39" s="149"/>
      <c r="D39" s="147"/>
      <c r="E39" s="104"/>
      <c r="F39" s="149"/>
      <c r="G39" s="149"/>
      <c r="H39" s="180"/>
      <c r="I39" s="104"/>
      <c r="J39" s="147"/>
      <c r="K39" s="147"/>
      <c r="L39" s="178"/>
      <c r="M39" s="48"/>
    </row>
    <row r="40" spans="1:15" ht="20.399999999999999" x14ac:dyDescent="0.35">
      <c r="A40" s="144" t="s">
        <v>144</v>
      </c>
      <c r="B40" s="151"/>
      <c r="C40" s="154"/>
      <c r="D40" s="147"/>
      <c r="E40" s="136"/>
      <c r="F40" s="147"/>
      <c r="G40" s="147"/>
      <c r="H40" s="180"/>
      <c r="I40" s="136"/>
      <c r="J40" s="147"/>
      <c r="K40" s="147"/>
      <c r="L40" s="178"/>
      <c r="M40" s="48"/>
    </row>
    <row r="41" spans="1:15" ht="18" x14ac:dyDescent="0.35">
      <c r="A41" s="77" t="s">
        <v>129</v>
      </c>
      <c r="B41" s="76">
        <f>'Skjema total MA'!B12</f>
        <v>1579</v>
      </c>
      <c r="C41" s="76">
        <f>'Skjema total MA'!C12</f>
        <v>342</v>
      </c>
      <c r="D41" s="180">
        <f>IF(B41=0, "    ---- ", IF(ABS(ROUND(100/B41*C41-100,1))&lt;999,ROUND(100/B41*C41-100,1),IF(ROUND(100/B41*C41-100,1)&gt;999,999,-999)))</f>
        <v>-78.3</v>
      </c>
      <c r="E41" s="136"/>
      <c r="F41" s="147">
        <f>'Skjema total MA'!E12</f>
        <v>390172.69474999997</v>
      </c>
      <c r="G41" s="147">
        <f>'Skjema total MA'!F12</f>
        <v>639207.28365</v>
      </c>
      <c r="H41" s="180">
        <f t="shared" si="2"/>
        <v>63.8</v>
      </c>
      <c r="I41" s="136"/>
      <c r="J41" s="147">
        <f t="shared" si="0"/>
        <v>391751.69474999997</v>
      </c>
      <c r="K41" s="147">
        <f t="shared" si="0"/>
        <v>639549.28365</v>
      </c>
      <c r="L41" s="178">
        <f t="shared" si="3"/>
        <v>63.3</v>
      </c>
      <c r="M41" s="48"/>
    </row>
    <row r="42" spans="1:15" ht="18" x14ac:dyDescent="0.35">
      <c r="A42" s="77" t="s">
        <v>130</v>
      </c>
      <c r="B42" s="76">
        <f>'Skjema total MA'!B35</f>
        <v>-600888.58449000004</v>
      </c>
      <c r="C42" s="76">
        <f>'Skjema total MA'!C35</f>
        <v>25075.098690000003</v>
      </c>
      <c r="D42" s="180">
        <f t="shared" ref="D42:D46" si="6">IF(B42=0, "    ---- ", IF(ABS(ROUND(100/B42*C42-100,1))&lt;999,ROUND(100/B42*C42-100,1),IF(ROUND(100/B42*C42-100,1)&gt;999,999,-999)))</f>
        <v>-104.2</v>
      </c>
      <c r="E42" s="136"/>
      <c r="F42" s="147">
        <f>'Skjema total MA'!E35</f>
        <v>217687.45806</v>
      </c>
      <c r="G42" s="147">
        <f>'Skjema total MA'!F35</f>
        <v>248857.29196</v>
      </c>
      <c r="H42" s="180">
        <f t="shared" si="2"/>
        <v>14.3</v>
      </c>
      <c r="I42" s="136"/>
      <c r="J42" s="147">
        <f t="shared" si="0"/>
        <v>-383201.12643000006</v>
      </c>
      <c r="K42" s="147">
        <f t="shared" si="0"/>
        <v>273932.39065000002</v>
      </c>
      <c r="L42" s="178">
        <f t="shared" si="3"/>
        <v>-171.5</v>
      </c>
      <c r="M42" s="48"/>
    </row>
    <row r="43" spans="1:15" ht="18" x14ac:dyDescent="0.35">
      <c r="A43" s="77" t="s">
        <v>132</v>
      </c>
      <c r="B43" s="76">
        <f>'Skjema total MA'!B119</f>
        <v>310085.11394000018</v>
      </c>
      <c r="C43" s="76">
        <f>'Skjema total MA'!C119</f>
        <v>224467.12405000065</v>
      </c>
      <c r="D43" s="180">
        <f t="shared" si="6"/>
        <v>-27.6</v>
      </c>
      <c r="E43" s="136"/>
      <c r="F43" s="147">
        <f>'Skjema total MA'!E119</f>
        <v>55958450.498789996</v>
      </c>
      <c r="G43" s="147">
        <f>'Skjema total MA'!F119</f>
        <v>73211582.635839999</v>
      </c>
      <c r="H43" s="180">
        <f t="shared" si="2"/>
        <v>30.8</v>
      </c>
      <c r="I43" s="136"/>
      <c r="J43" s="147">
        <f t="shared" si="0"/>
        <v>56268535.612729996</v>
      </c>
      <c r="K43" s="147">
        <f t="shared" si="0"/>
        <v>73436049.759890005</v>
      </c>
      <c r="L43" s="178">
        <f t="shared" si="3"/>
        <v>30.5</v>
      </c>
      <c r="M43" s="48"/>
    </row>
    <row r="44" spans="1:15" ht="20.399999999999999" x14ac:dyDescent="0.35">
      <c r="A44" s="77" t="s">
        <v>135</v>
      </c>
      <c r="B44" s="76">
        <f>'Skjema total MA'!B137</f>
        <v>2423007.9249999998</v>
      </c>
      <c r="C44" s="76">
        <f>'Skjema total MA'!C137</f>
        <v>4170740.02</v>
      </c>
      <c r="D44" s="180">
        <f t="shared" si="6"/>
        <v>72.099999999999994</v>
      </c>
      <c r="E44" s="136"/>
      <c r="F44" s="147">
        <f>'Skjema total MA'!E137</f>
        <v>0</v>
      </c>
      <c r="G44" s="147">
        <f>'Skjema total MA'!F137</f>
        <v>0</v>
      </c>
      <c r="H44" s="180"/>
      <c r="I44" s="136"/>
      <c r="J44" s="147">
        <f t="shared" si="0"/>
        <v>2423007.9249999998</v>
      </c>
      <c r="K44" s="147">
        <f t="shared" si="0"/>
        <v>4170740.02</v>
      </c>
      <c r="L44" s="178">
        <f t="shared" si="3"/>
        <v>72.099999999999994</v>
      </c>
      <c r="M44" s="48"/>
    </row>
    <row r="45" spans="1:15" ht="18" x14ac:dyDescent="0.35">
      <c r="A45" s="77" t="s">
        <v>136</v>
      </c>
      <c r="B45" s="76">
        <f>'Skjema total MA'!B39</f>
        <v>0</v>
      </c>
      <c r="C45" s="76">
        <f>'Skjema total MA'!C39</f>
        <v>0</v>
      </c>
      <c r="D45" s="180"/>
      <c r="E45" s="136"/>
      <c r="F45" s="147"/>
      <c r="G45" s="147"/>
      <c r="H45" s="180"/>
      <c r="I45" s="136"/>
      <c r="J45" s="147">
        <f t="shared" si="0"/>
        <v>0</v>
      </c>
      <c r="K45" s="147">
        <f t="shared" si="0"/>
        <v>0</v>
      </c>
      <c r="L45" s="178"/>
      <c r="M45" s="48"/>
    </row>
    <row r="46" spans="1:15" s="102" customFormat="1" x14ac:dyDescent="0.3">
      <c r="A46" s="103" t="s">
        <v>145</v>
      </c>
      <c r="B46" s="79">
        <f>SUM(B41:B45)</f>
        <v>2133783.4544500001</v>
      </c>
      <c r="C46" s="149">
        <f>SUM(C41:C45)</f>
        <v>4420624.2427400006</v>
      </c>
      <c r="D46" s="730">
        <f t="shared" si="6"/>
        <v>107.2</v>
      </c>
      <c r="E46" s="104"/>
      <c r="F46" s="149">
        <f>SUM(F41:F45)</f>
        <v>56566310.651599996</v>
      </c>
      <c r="G46" s="149">
        <f>SUM(G41:G45)</f>
        <v>74099647.211449996</v>
      </c>
      <c r="H46" s="730">
        <f t="shared" si="2"/>
        <v>31</v>
      </c>
      <c r="I46" s="104"/>
      <c r="J46" s="149">
        <f t="shared" si="0"/>
        <v>58700094.10605</v>
      </c>
      <c r="K46" s="149">
        <f t="shared" si="0"/>
        <v>78520271.454190001</v>
      </c>
      <c r="L46" s="731">
        <f t="shared" si="3"/>
        <v>33.799999999999997</v>
      </c>
      <c r="M46" s="49"/>
      <c r="N46" s="101"/>
      <c r="O46" s="101"/>
    </row>
    <row r="47" spans="1:15" ht="18" x14ac:dyDescent="0.35">
      <c r="A47" s="103"/>
      <c r="B47" s="79"/>
      <c r="C47" s="149"/>
      <c r="D47" s="147"/>
      <c r="E47" s="104"/>
      <c r="F47" s="149"/>
      <c r="G47" s="149"/>
      <c r="H47" s="180"/>
      <c r="I47" s="104"/>
      <c r="J47" s="147"/>
      <c r="K47" s="147"/>
      <c r="L47" s="178"/>
      <c r="M47" s="48"/>
    </row>
    <row r="48" spans="1:15" ht="20.399999999999999" x14ac:dyDescent="0.35">
      <c r="A48" s="103" t="s">
        <v>146</v>
      </c>
      <c r="B48" s="79"/>
      <c r="C48" s="149"/>
      <c r="D48" s="147"/>
      <c r="E48" s="104"/>
      <c r="F48" s="149"/>
      <c r="G48" s="149"/>
      <c r="H48" s="180"/>
      <c r="I48" s="104"/>
      <c r="J48" s="147"/>
      <c r="K48" s="147"/>
      <c r="L48" s="178"/>
      <c r="M48" s="48"/>
    </row>
    <row r="49" spans="1:15" s="102" customFormat="1" ht="18" x14ac:dyDescent="0.35">
      <c r="A49" s="103" t="s">
        <v>131</v>
      </c>
      <c r="B49" s="79">
        <f>'Skjema total MA'!B56</f>
        <v>239121.538</v>
      </c>
      <c r="C49" s="79">
        <f>'Skjema total MA'!C56</f>
        <v>273893.16899999999</v>
      </c>
      <c r="D49" s="730">
        <f t="shared" ref="D49" si="7">IF(B49=0, "    ---- ", IF(ABS(ROUND(100/B49*C49-100,1))&lt;999,ROUND(100/B49*C49-100,1),IF(ROUND(100/B49*C49-100,1)&gt;999,999,-999)))</f>
        <v>14.5</v>
      </c>
      <c r="E49" s="104"/>
      <c r="F49" s="149"/>
      <c r="G49" s="149"/>
      <c r="H49" s="180"/>
      <c r="I49" s="104"/>
      <c r="J49" s="149">
        <f>SUM(B49+F49)</f>
        <v>239121.538</v>
      </c>
      <c r="K49" s="149">
        <f>SUM(C49+G49)</f>
        <v>273893.16899999999</v>
      </c>
      <c r="L49" s="731">
        <f t="shared" si="3"/>
        <v>14.5</v>
      </c>
      <c r="M49" s="49"/>
    </row>
    <row r="50" spans="1:15" ht="18" x14ac:dyDescent="0.35">
      <c r="A50" s="103"/>
      <c r="B50" s="76"/>
      <c r="C50" s="147"/>
      <c r="D50" s="147"/>
      <c r="E50" s="136"/>
      <c r="F50" s="147"/>
      <c r="G50" s="147"/>
      <c r="H50" s="180"/>
      <c r="I50" s="136"/>
      <c r="J50" s="147"/>
      <c r="K50" s="147"/>
      <c r="L50" s="178"/>
      <c r="M50" s="48"/>
    </row>
    <row r="51" spans="1:15" ht="21" x14ac:dyDescent="0.35">
      <c r="A51" s="144" t="s">
        <v>147</v>
      </c>
      <c r="B51" s="76"/>
      <c r="C51" s="147"/>
      <c r="D51" s="147"/>
      <c r="E51" s="136"/>
      <c r="F51" s="147"/>
      <c r="G51" s="147"/>
      <c r="H51" s="180"/>
      <c r="I51" s="136"/>
      <c r="J51" s="147"/>
      <c r="K51" s="147"/>
      <c r="L51" s="178"/>
      <c r="M51" s="48"/>
    </row>
    <row r="52" spans="1:15" ht="18" x14ac:dyDescent="0.35">
      <c r="A52" s="77" t="s">
        <v>129</v>
      </c>
      <c r="B52" s="76">
        <f>B30-B41</f>
        <v>-62</v>
      </c>
      <c r="C52" s="147">
        <f>C30-C41</f>
        <v>-9</v>
      </c>
      <c r="D52" s="180">
        <f>IF(B52=0, "    ---- ", IF(ABS(ROUND(100/B52*C52-100,1))&lt;999,ROUND(100/B52*C52-100,1),IF(ROUND(100/B52*C52-100,1)&gt;999,999,-999)))</f>
        <v>-85.5</v>
      </c>
      <c r="E52" s="136"/>
      <c r="F52" s="147">
        <f>F30-F41</f>
        <v>5696.6465700000408</v>
      </c>
      <c r="G52" s="147">
        <f>G30-G41</f>
        <v>10473.301179999951</v>
      </c>
      <c r="H52" s="180">
        <f t="shared" si="2"/>
        <v>83.9</v>
      </c>
      <c r="I52" s="136"/>
      <c r="J52" s="147">
        <f t="shared" si="0"/>
        <v>5634.6465700000408</v>
      </c>
      <c r="K52" s="147">
        <f t="shared" si="0"/>
        <v>10464.301179999951</v>
      </c>
      <c r="L52" s="178">
        <f t="shared" si="3"/>
        <v>85.7</v>
      </c>
      <c r="M52" s="48"/>
    </row>
    <row r="53" spans="1:15" ht="18" x14ac:dyDescent="0.35">
      <c r="A53" s="77" t="s">
        <v>130</v>
      </c>
      <c r="B53" s="76">
        <f t="shared" ref="B53:C56" si="8">B31-B42</f>
        <v>649230.99323000002</v>
      </c>
      <c r="C53" s="147">
        <f t="shared" si="8"/>
        <v>106648.80495000001</v>
      </c>
      <c r="D53" s="180">
        <f t="shared" ref="D53:D60" si="9">IF(B53=0, "    ---- ", IF(ABS(ROUND(100/B53*C53-100,1))&lt;999,ROUND(100/B53*C53-100,1),IF(ROUND(100/B53*C53-100,1)&gt;999,999,-999)))</f>
        <v>-83.6</v>
      </c>
      <c r="E53" s="136"/>
      <c r="F53" s="147">
        <f t="shared" ref="F53:G56" si="10">F31-F42</f>
        <v>-643836.85011</v>
      </c>
      <c r="G53" s="147">
        <f t="shared" si="10"/>
        <v>20161.456409999984</v>
      </c>
      <c r="H53" s="180">
        <f t="shared" si="2"/>
        <v>-103.1</v>
      </c>
      <c r="I53" s="136"/>
      <c r="J53" s="147">
        <f t="shared" si="0"/>
        <v>5394.1431200000225</v>
      </c>
      <c r="K53" s="147">
        <f t="shared" si="0"/>
        <v>126810.26135999999</v>
      </c>
      <c r="L53" s="178">
        <f t="shared" si="3"/>
        <v>999</v>
      </c>
      <c r="M53" s="48"/>
    </row>
    <row r="54" spans="1:15" ht="18" x14ac:dyDescent="0.35">
      <c r="A54" s="77" t="s">
        <v>132</v>
      </c>
      <c r="B54" s="76">
        <f t="shared" si="8"/>
        <v>254126.81443999975</v>
      </c>
      <c r="C54" s="147">
        <f t="shared" si="8"/>
        <v>2244496.3116599992</v>
      </c>
      <c r="D54" s="180">
        <f t="shared" si="9"/>
        <v>783.2</v>
      </c>
      <c r="E54" s="136"/>
      <c r="F54" s="147">
        <f t="shared" si="10"/>
        <v>-4627261.7034199983</v>
      </c>
      <c r="G54" s="147">
        <f t="shared" si="10"/>
        <v>-4304988.0344500095</v>
      </c>
      <c r="H54" s="180">
        <f t="shared" si="2"/>
        <v>-7</v>
      </c>
      <c r="I54" s="136"/>
      <c r="J54" s="147">
        <f t="shared" si="0"/>
        <v>-4373134.8889799984</v>
      </c>
      <c r="K54" s="147">
        <f t="shared" si="0"/>
        <v>-2060491.7227900103</v>
      </c>
      <c r="L54" s="178">
        <f t="shared" si="3"/>
        <v>-52.9</v>
      </c>
      <c r="M54" s="48"/>
    </row>
    <row r="55" spans="1:15" ht="20.399999999999999" x14ac:dyDescent="0.35">
      <c r="A55" s="77" t="s">
        <v>135</v>
      </c>
      <c r="B55" s="76">
        <f t="shared" si="8"/>
        <v>-191437.98400000017</v>
      </c>
      <c r="C55" s="147">
        <f t="shared" si="8"/>
        <v>-858508.29600000009</v>
      </c>
      <c r="D55" s="180">
        <f t="shared" si="9"/>
        <v>348.5</v>
      </c>
      <c r="E55" s="136"/>
      <c r="F55" s="147">
        <f t="shared" si="10"/>
        <v>-1022.97</v>
      </c>
      <c r="G55" s="147">
        <f t="shared" si="10"/>
        <v>-3933.2139999999999</v>
      </c>
      <c r="H55" s="180">
        <f t="shared" si="2"/>
        <v>284.5</v>
      </c>
      <c r="I55" s="136"/>
      <c r="J55" s="147">
        <f t="shared" si="0"/>
        <v>-192460.95400000017</v>
      </c>
      <c r="K55" s="147">
        <f t="shared" si="0"/>
        <v>-862441.51000000013</v>
      </c>
      <c r="L55" s="178">
        <f t="shared" si="3"/>
        <v>348.1</v>
      </c>
      <c r="M55" s="48"/>
    </row>
    <row r="56" spans="1:15" ht="18" x14ac:dyDescent="0.35">
      <c r="A56" s="77" t="s">
        <v>136</v>
      </c>
      <c r="B56" s="76">
        <f t="shared" si="8"/>
        <v>0</v>
      </c>
      <c r="C56" s="147">
        <f t="shared" si="8"/>
        <v>0</v>
      </c>
      <c r="D56" s="180"/>
      <c r="E56" s="136"/>
      <c r="F56" s="147">
        <f t="shared" si="10"/>
        <v>0</v>
      </c>
      <c r="G56" s="147">
        <f t="shared" si="10"/>
        <v>0</v>
      </c>
      <c r="H56" s="180"/>
      <c r="I56" s="136"/>
      <c r="J56" s="147">
        <f t="shared" si="0"/>
        <v>0</v>
      </c>
      <c r="K56" s="147">
        <f t="shared" si="0"/>
        <v>0</v>
      </c>
      <c r="L56" s="178"/>
      <c r="M56" s="48"/>
    </row>
    <row r="57" spans="1:15" s="102" customFormat="1" x14ac:dyDescent="0.3">
      <c r="A57" s="103" t="s">
        <v>148</v>
      </c>
      <c r="B57" s="79">
        <f>SUM(B52:B56)</f>
        <v>711857.82366999961</v>
      </c>
      <c r="C57" s="149">
        <f>SUM(C52:C56)</f>
        <v>1492627.8206099989</v>
      </c>
      <c r="D57" s="730">
        <f>IF(B57=0, "    ---- ", IF(ABS(ROUND(100/B57*C57-100,1))&lt;999,ROUND(100/B57*C57-100,1),IF(ROUND(100/B57*C57-100,1)&gt;999,999,-999)))</f>
        <v>109.7</v>
      </c>
      <c r="E57" s="104"/>
      <c r="F57" s="149">
        <f>SUM(F52:F56)</f>
        <v>-5266424.8769599982</v>
      </c>
      <c r="G57" s="149">
        <f>SUM(G52:G56)</f>
        <v>-4278286.4908600096</v>
      </c>
      <c r="H57" s="730">
        <f t="shared" si="2"/>
        <v>-18.8</v>
      </c>
      <c r="I57" s="104"/>
      <c r="J57" s="149">
        <f t="shared" si="0"/>
        <v>-4554567.0532899983</v>
      </c>
      <c r="K57" s="149">
        <f t="shared" si="0"/>
        <v>-2785658.6702500107</v>
      </c>
      <c r="L57" s="731">
        <f t="shared" si="3"/>
        <v>-38.799999999999997</v>
      </c>
      <c r="M57" s="49"/>
      <c r="N57" s="101"/>
      <c r="O57" s="101"/>
    </row>
    <row r="58" spans="1:15" ht="18" x14ac:dyDescent="0.35">
      <c r="A58" s="103"/>
      <c r="B58" s="79"/>
      <c r="C58" s="149"/>
      <c r="D58" s="180"/>
      <c r="E58" s="104"/>
      <c r="F58" s="149"/>
      <c r="G58" s="149"/>
      <c r="H58" s="180"/>
      <c r="I58" s="104"/>
      <c r="J58" s="149"/>
      <c r="K58" s="147"/>
      <c r="L58" s="178"/>
      <c r="M58" s="48"/>
    </row>
    <row r="59" spans="1:15" ht="20.399999999999999" x14ac:dyDescent="0.35">
      <c r="A59" s="103" t="s">
        <v>149</v>
      </c>
      <c r="B59" s="79"/>
      <c r="C59" s="149"/>
      <c r="D59" s="180"/>
      <c r="E59" s="104"/>
      <c r="F59" s="149"/>
      <c r="G59" s="149"/>
      <c r="H59" s="180"/>
      <c r="I59" s="104"/>
      <c r="J59" s="149"/>
      <c r="K59" s="147"/>
      <c r="L59" s="178"/>
      <c r="M59" s="48"/>
    </row>
    <row r="60" spans="1:15" s="102" customFormat="1" ht="18" x14ac:dyDescent="0.35">
      <c r="A60" s="103" t="s">
        <v>131</v>
      </c>
      <c r="B60" s="79">
        <f>B38-B49</f>
        <v>-19988.20332215188</v>
      </c>
      <c r="C60" s="149">
        <f>C38-C49</f>
        <v>51570.240800000029</v>
      </c>
      <c r="D60" s="730">
        <f t="shared" si="9"/>
        <v>-358</v>
      </c>
      <c r="E60" s="104"/>
      <c r="F60" s="149">
        <f>F38-F49</f>
        <v>0</v>
      </c>
      <c r="G60" s="149">
        <f>G38-G49</f>
        <v>0</v>
      </c>
      <c r="H60" s="180"/>
      <c r="I60" s="104"/>
      <c r="J60" s="149">
        <f t="shared" si="0"/>
        <v>-19988.20332215188</v>
      </c>
      <c r="K60" s="149">
        <f t="shared" si="0"/>
        <v>51570.240800000029</v>
      </c>
      <c r="L60" s="731">
        <f t="shared" si="3"/>
        <v>-358</v>
      </c>
      <c r="M60" s="49"/>
    </row>
    <row r="61" spans="1:15" s="102" customFormat="1" ht="18" x14ac:dyDescent="0.35">
      <c r="A61" s="146"/>
      <c r="B61" s="83"/>
      <c r="C61" s="150"/>
      <c r="D61" s="155"/>
      <c r="E61" s="104"/>
      <c r="F61" s="150"/>
      <c r="G61" s="150"/>
      <c r="H61" s="155"/>
      <c r="I61" s="104"/>
      <c r="J61" s="155"/>
      <c r="K61" s="155"/>
      <c r="L61" s="155"/>
      <c r="M61" s="49"/>
    </row>
    <row r="62" spans="1:15" ht="18" x14ac:dyDescent="0.35">
      <c r="A62" s="48" t="s">
        <v>150</v>
      </c>
      <c r="C62" s="51"/>
      <c r="D62" s="51"/>
      <c r="E62" s="51"/>
      <c r="F62" s="51"/>
      <c r="G62" s="48"/>
      <c r="H62" s="48"/>
      <c r="I62" s="48"/>
      <c r="J62" s="48"/>
      <c r="K62" s="48"/>
      <c r="L62" s="48"/>
      <c r="M62" s="48"/>
    </row>
    <row r="63" spans="1:15" ht="18" x14ac:dyDescent="0.35">
      <c r="A63" s="48"/>
      <c r="C63" s="51"/>
      <c r="D63" s="51"/>
      <c r="E63" s="51"/>
      <c r="F63" s="51"/>
      <c r="G63" s="48"/>
      <c r="H63" s="48"/>
      <c r="I63" s="48"/>
      <c r="J63" s="48"/>
      <c r="K63" s="48"/>
      <c r="L63" s="48"/>
      <c r="M63" s="48"/>
    </row>
    <row r="64" spans="1:15" ht="18" x14ac:dyDescent="0.35">
      <c r="A64" s="48" t="s">
        <v>122</v>
      </c>
      <c r="B64" s="48"/>
      <c r="C64" s="48"/>
      <c r="D64" s="48"/>
      <c r="E64" s="48"/>
      <c r="F64" s="48"/>
      <c r="G64" s="48"/>
      <c r="H64" s="48"/>
      <c r="I64" s="48"/>
      <c r="J64" s="48"/>
      <c r="K64" s="48"/>
      <c r="L64" s="48"/>
      <c r="M64" s="48"/>
    </row>
    <row r="65" spans="1:13" ht="18" x14ac:dyDescent="0.35">
      <c r="A65" s="48"/>
      <c r="C65" s="48"/>
      <c r="D65" s="48"/>
      <c r="E65" s="48"/>
      <c r="F65" s="48"/>
      <c r="G65" s="48"/>
      <c r="H65" s="48"/>
      <c r="I65" s="48"/>
      <c r="J65" s="48"/>
      <c r="K65" s="48"/>
      <c r="L65" s="48"/>
      <c r="M65" s="48"/>
    </row>
    <row r="66" spans="1:13" ht="18" x14ac:dyDescent="0.35">
      <c r="A66" s="48"/>
      <c r="B66" s="48"/>
      <c r="C66" s="48"/>
      <c r="D66" s="48"/>
      <c r="E66" s="48"/>
      <c r="F66" s="48"/>
      <c r="G66" s="48"/>
      <c r="H66" s="48"/>
      <c r="I66" s="48"/>
      <c r="J66" s="48"/>
      <c r="K66" s="48"/>
      <c r="L66" s="48"/>
      <c r="M66" s="48"/>
    </row>
    <row r="67" spans="1:13" ht="18" x14ac:dyDescent="0.35">
      <c r="A67" s="48"/>
      <c r="B67" s="48"/>
      <c r="C67" s="48"/>
      <c r="D67" s="48"/>
      <c r="E67" s="48"/>
      <c r="F67" s="48"/>
      <c r="G67" s="48"/>
      <c r="H67" s="48"/>
      <c r="I67" s="48"/>
      <c r="J67" s="48"/>
      <c r="K67" s="48"/>
      <c r="L67" s="48"/>
      <c r="M67" s="48"/>
    </row>
    <row r="68" spans="1:13" ht="18" x14ac:dyDescent="0.35">
      <c r="A68" s="48"/>
      <c r="B68" s="48"/>
      <c r="C68" s="48"/>
      <c r="D68" s="48"/>
      <c r="E68" s="48"/>
      <c r="F68" s="48"/>
      <c r="G68" s="48"/>
      <c r="H68" s="48"/>
      <c r="I68" s="48"/>
      <c r="J68" s="48"/>
      <c r="K68" s="48"/>
      <c r="L68" s="48"/>
      <c r="M68" s="48"/>
    </row>
    <row r="69" spans="1:13" ht="18" x14ac:dyDescent="0.35">
      <c r="A69" s="48"/>
      <c r="B69" s="48"/>
      <c r="C69" s="48"/>
      <c r="D69" s="48"/>
      <c r="E69" s="48"/>
      <c r="F69" s="48"/>
      <c r="G69" s="48"/>
      <c r="H69" s="48"/>
      <c r="I69" s="48"/>
      <c r="J69" s="48"/>
      <c r="K69" s="48"/>
      <c r="L69" s="48"/>
      <c r="M69" s="48"/>
    </row>
    <row r="70" spans="1:13" ht="18" x14ac:dyDescent="0.35">
      <c r="A70" s="48"/>
      <c r="B70" s="48"/>
      <c r="C70" s="48"/>
      <c r="D70" s="48"/>
      <c r="E70" s="48"/>
      <c r="F70" s="48"/>
      <c r="G70" s="48"/>
      <c r="H70" s="48"/>
      <c r="I70" s="48"/>
      <c r="J70" s="48"/>
      <c r="K70" s="48"/>
      <c r="L70" s="48"/>
      <c r="M70" s="48"/>
    </row>
    <row r="71" spans="1:13" ht="18" x14ac:dyDescent="0.35">
      <c r="A71" s="48"/>
      <c r="B71" s="48"/>
      <c r="C71" s="48"/>
      <c r="D71" s="48"/>
      <c r="E71" s="48"/>
      <c r="F71" s="48"/>
      <c r="G71" s="48"/>
      <c r="H71" s="48"/>
      <c r="I71" s="48"/>
      <c r="J71" s="48"/>
      <c r="K71" s="48"/>
      <c r="L71" s="48"/>
      <c r="M71" s="48"/>
    </row>
    <row r="72" spans="1:13" ht="18" x14ac:dyDescent="0.35">
      <c r="A72" s="48"/>
      <c r="B72" s="48"/>
      <c r="C72" s="48"/>
      <c r="D72" s="48"/>
      <c r="E72" s="48"/>
      <c r="F72" s="48"/>
      <c r="G72" s="48"/>
      <c r="H72" s="48"/>
      <c r="I72" s="48"/>
      <c r="J72" s="48"/>
      <c r="K72" s="48"/>
      <c r="L72" s="48"/>
      <c r="M72" s="48"/>
    </row>
    <row r="73" spans="1:13" ht="18" x14ac:dyDescent="0.35">
      <c r="A73" s="48"/>
      <c r="B73" s="48"/>
      <c r="C73" s="48"/>
      <c r="D73" s="48"/>
      <c r="E73" s="48"/>
      <c r="F73" s="48"/>
      <c r="G73" s="48"/>
      <c r="H73" s="48"/>
      <c r="I73" s="48"/>
      <c r="J73" s="48"/>
      <c r="K73" s="48"/>
      <c r="L73" s="48"/>
      <c r="M73" s="48"/>
    </row>
    <row r="74" spans="1:13" ht="18" x14ac:dyDescent="0.35">
      <c r="A74" s="48"/>
      <c r="B74" s="48"/>
      <c r="C74" s="48"/>
      <c r="D74" s="48"/>
      <c r="E74" s="48"/>
      <c r="F74" s="48"/>
      <c r="G74" s="48"/>
      <c r="H74" s="48"/>
      <c r="I74" s="48"/>
      <c r="J74" s="48"/>
      <c r="K74" s="48"/>
      <c r="L74" s="48"/>
      <c r="M74" s="48"/>
    </row>
    <row r="75" spans="1:13" ht="18" x14ac:dyDescent="0.35">
      <c r="A75" s="48"/>
      <c r="B75" s="48"/>
      <c r="C75" s="48"/>
      <c r="D75" s="48"/>
      <c r="E75" s="48"/>
      <c r="F75" s="48"/>
      <c r="G75" s="48"/>
      <c r="H75" s="48"/>
      <c r="I75" s="48"/>
      <c r="J75" s="48"/>
      <c r="K75" s="48"/>
      <c r="L75" s="48"/>
      <c r="M75" s="48"/>
    </row>
    <row r="76" spans="1:13" ht="18" x14ac:dyDescent="0.35">
      <c r="A76" s="48"/>
      <c r="B76" s="48"/>
      <c r="C76" s="48"/>
      <c r="D76" s="48"/>
      <c r="E76" s="48"/>
      <c r="F76" s="48"/>
      <c r="G76" s="48"/>
      <c r="H76" s="48"/>
      <c r="I76" s="48"/>
      <c r="J76" s="48"/>
      <c r="K76" s="48"/>
      <c r="L76" s="48"/>
      <c r="M76" s="48"/>
    </row>
    <row r="77" spans="1:13" ht="18" x14ac:dyDescent="0.35">
      <c r="A77" s="48"/>
      <c r="B77" s="48"/>
      <c r="C77" s="48"/>
      <c r="D77" s="48"/>
      <c r="E77" s="48"/>
      <c r="F77" s="48"/>
      <c r="G77" s="48"/>
      <c r="H77" s="48"/>
      <c r="I77" s="48"/>
      <c r="J77" s="48"/>
      <c r="K77" s="48"/>
      <c r="L77" s="48"/>
      <c r="M77" s="48"/>
    </row>
    <row r="78" spans="1:13" ht="18" x14ac:dyDescent="0.35">
      <c r="A78" s="48"/>
      <c r="B78" s="48"/>
      <c r="C78" s="48"/>
      <c r="D78" s="48"/>
      <c r="E78" s="48"/>
      <c r="F78" s="48"/>
      <c r="G78" s="48"/>
      <c r="H78" s="48"/>
      <c r="I78" s="48"/>
      <c r="J78" s="48"/>
      <c r="K78" s="48"/>
      <c r="L78" s="48"/>
      <c r="M78" s="48"/>
    </row>
    <row r="79" spans="1:13" ht="18" x14ac:dyDescent="0.35">
      <c r="A79" s="48"/>
      <c r="B79" s="48"/>
      <c r="C79" s="48"/>
      <c r="D79" s="48"/>
      <c r="E79" s="48"/>
      <c r="F79" s="48"/>
      <c r="G79" s="48"/>
      <c r="H79" s="48"/>
      <c r="I79" s="48"/>
      <c r="J79" s="48"/>
      <c r="K79" s="48"/>
      <c r="L79" s="48"/>
      <c r="M79" s="48"/>
    </row>
    <row r="80" spans="1:13" ht="18" x14ac:dyDescent="0.35">
      <c r="A80" s="48"/>
      <c r="B80" s="48"/>
      <c r="C80" s="48"/>
      <c r="D80" s="48"/>
      <c r="E80" s="48"/>
      <c r="F80" s="48"/>
      <c r="G80" s="48"/>
      <c r="H80" s="48"/>
      <c r="I80" s="48"/>
      <c r="J80" s="48"/>
      <c r="K80" s="48"/>
      <c r="L80" s="48"/>
      <c r="M80" s="48"/>
    </row>
    <row r="81" spans="1:13" ht="18" x14ac:dyDescent="0.35">
      <c r="A81" s="48"/>
      <c r="B81" s="48"/>
      <c r="C81" s="48"/>
      <c r="D81" s="48"/>
      <c r="E81" s="48"/>
      <c r="F81" s="48"/>
      <c r="G81" s="48"/>
      <c r="H81" s="48"/>
      <c r="I81" s="48"/>
      <c r="J81" s="48"/>
      <c r="K81" s="48"/>
      <c r="L81" s="48"/>
      <c r="M81" s="48"/>
    </row>
    <row r="82" spans="1:13" ht="18" x14ac:dyDescent="0.35">
      <c r="A82" s="48"/>
      <c r="B82" s="48"/>
      <c r="C82" s="48"/>
      <c r="D82" s="48"/>
      <c r="E82" s="48"/>
      <c r="F82" s="48"/>
      <c r="G82" s="48"/>
      <c r="H82" s="48"/>
      <c r="I82" s="48"/>
      <c r="J82" s="48"/>
      <c r="K82" s="48"/>
      <c r="L82" s="48"/>
      <c r="M82" s="48"/>
    </row>
    <row r="83" spans="1:13" ht="18" x14ac:dyDescent="0.35">
      <c r="A83" s="48"/>
      <c r="B83" s="48"/>
      <c r="C83" s="48"/>
      <c r="D83" s="48"/>
      <c r="E83" s="48"/>
      <c r="F83" s="48"/>
      <c r="G83" s="48"/>
      <c r="H83" s="48"/>
      <c r="I83" s="48"/>
      <c r="J83" s="48"/>
      <c r="K83" s="48"/>
      <c r="L83" s="48"/>
      <c r="M83" s="48"/>
    </row>
    <row r="84" spans="1:13" ht="18" x14ac:dyDescent="0.35">
      <c r="A84" s="48"/>
      <c r="B84" s="48"/>
      <c r="C84" s="48"/>
      <c r="D84" s="48"/>
      <c r="E84" s="48"/>
      <c r="F84" s="48"/>
      <c r="G84" s="48"/>
      <c r="H84" s="48"/>
      <c r="I84" s="48"/>
      <c r="J84" s="48"/>
      <c r="K84" s="48"/>
      <c r="L84" s="48"/>
      <c r="M84" s="48"/>
    </row>
    <row r="85" spans="1:13" ht="18" x14ac:dyDescent="0.35">
      <c r="A85" s="48"/>
      <c r="B85" s="48"/>
      <c r="C85" s="48"/>
      <c r="D85" s="48"/>
      <c r="E85" s="48"/>
      <c r="F85" s="48"/>
      <c r="G85" s="48"/>
      <c r="H85" s="48"/>
      <c r="I85" s="48"/>
      <c r="J85" s="48"/>
      <c r="K85" s="48"/>
      <c r="L85" s="48"/>
      <c r="M85" s="48"/>
    </row>
    <row r="86" spans="1:13" ht="18" x14ac:dyDescent="0.35">
      <c r="A86" s="48"/>
      <c r="B86" s="48"/>
      <c r="C86" s="48"/>
      <c r="D86" s="48"/>
      <c r="E86" s="48"/>
      <c r="F86" s="48"/>
      <c r="G86" s="48"/>
      <c r="H86" s="48"/>
      <c r="I86" s="48"/>
      <c r="J86" s="48"/>
      <c r="K86" s="48"/>
      <c r="L86" s="48"/>
      <c r="M86" s="48"/>
    </row>
    <row r="87" spans="1:13" ht="18" x14ac:dyDescent="0.35">
      <c r="A87" s="48"/>
      <c r="B87" s="48"/>
      <c r="C87" s="48"/>
      <c r="D87" s="48"/>
      <c r="E87" s="48"/>
      <c r="F87" s="48"/>
      <c r="G87" s="48"/>
      <c r="H87" s="48"/>
      <c r="I87" s="48"/>
      <c r="J87" s="48"/>
      <c r="K87" s="48"/>
      <c r="L87" s="48"/>
      <c r="M87" s="48"/>
    </row>
    <row r="88" spans="1:13" ht="18" x14ac:dyDescent="0.35">
      <c r="A88" s="48"/>
      <c r="B88" s="48"/>
      <c r="C88" s="48"/>
      <c r="D88" s="48"/>
      <c r="E88" s="48"/>
      <c r="F88" s="48"/>
      <c r="G88" s="48"/>
      <c r="H88" s="48"/>
      <c r="I88" s="48"/>
      <c r="J88" s="48"/>
      <c r="K88" s="48"/>
      <c r="L88" s="48"/>
      <c r="M88" s="48"/>
    </row>
    <row r="89" spans="1:13" ht="18" x14ac:dyDescent="0.35">
      <c r="A89" s="48"/>
      <c r="B89" s="48"/>
      <c r="C89" s="48"/>
      <c r="D89" s="48"/>
      <c r="E89" s="48"/>
      <c r="F89" s="48"/>
      <c r="G89" s="48"/>
      <c r="H89" s="48"/>
      <c r="I89" s="48"/>
      <c r="J89" s="48"/>
      <c r="K89" s="48"/>
      <c r="L89" s="48"/>
      <c r="M89" s="48"/>
    </row>
    <row r="90" spans="1:13" ht="18" x14ac:dyDescent="0.35">
      <c r="A90" s="48"/>
      <c r="B90" s="48"/>
      <c r="C90" s="48"/>
      <c r="D90" s="48"/>
      <c r="E90" s="48"/>
      <c r="F90" s="48"/>
      <c r="G90" s="48"/>
      <c r="H90" s="48"/>
      <c r="I90" s="48"/>
      <c r="J90" s="48"/>
      <c r="K90" s="48"/>
      <c r="L90" s="48"/>
      <c r="M90" s="48"/>
    </row>
    <row r="91" spans="1:13" ht="18" x14ac:dyDescent="0.35">
      <c r="A91" s="48"/>
      <c r="B91" s="48"/>
      <c r="C91" s="48"/>
      <c r="D91" s="48"/>
      <c r="E91" s="48"/>
      <c r="F91" s="48"/>
      <c r="G91" s="48"/>
      <c r="H91" s="48"/>
      <c r="I91" s="48"/>
      <c r="J91" s="48"/>
      <c r="K91" s="48"/>
      <c r="L91" s="48"/>
      <c r="M91" s="48"/>
    </row>
    <row r="92" spans="1:13" ht="18" x14ac:dyDescent="0.35">
      <c r="A92" s="48"/>
      <c r="B92" s="48"/>
      <c r="C92" s="48"/>
      <c r="D92" s="48"/>
      <c r="E92" s="48"/>
      <c r="F92" s="48"/>
      <c r="G92" s="48"/>
      <c r="H92" s="48"/>
      <c r="I92" s="48"/>
      <c r="J92" s="48"/>
      <c r="K92" s="48"/>
      <c r="L92" s="48"/>
      <c r="M92" s="48"/>
    </row>
    <row r="93" spans="1:13" ht="18" x14ac:dyDescent="0.35">
      <c r="A93" s="48"/>
      <c r="B93" s="48"/>
      <c r="C93" s="48"/>
      <c r="D93" s="48"/>
      <c r="E93" s="48"/>
      <c r="F93" s="48"/>
      <c r="G93" s="48"/>
      <c r="H93" s="48"/>
      <c r="I93" s="48"/>
      <c r="J93" s="48"/>
      <c r="K93" s="48"/>
      <c r="L93" s="48"/>
      <c r="M93" s="48"/>
    </row>
    <row r="94" spans="1:13" ht="18" x14ac:dyDescent="0.35">
      <c r="A94" s="48"/>
      <c r="B94" s="48"/>
      <c r="C94" s="48"/>
      <c r="D94" s="48"/>
      <c r="E94" s="48"/>
      <c r="F94" s="48"/>
      <c r="G94" s="48"/>
      <c r="H94" s="48"/>
      <c r="I94" s="48"/>
      <c r="J94" s="48"/>
      <c r="K94" s="48"/>
      <c r="L94" s="48"/>
      <c r="M94" s="48"/>
    </row>
    <row r="95" spans="1:13" ht="18" x14ac:dyDescent="0.35">
      <c r="A95" s="48"/>
      <c r="B95" s="48"/>
      <c r="C95" s="48"/>
      <c r="D95" s="48"/>
      <c r="E95" s="48"/>
      <c r="F95" s="48"/>
      <c r="G95" s="48"/>
      <c r="H95" s="48"/>
      <c r="I95" s="48"/>
      <c r="J95" s="48"/>
      <c r="K95" s="48"/>
      <c r="L95" s="48"/>
      <c r="M95" s="48"/>
    </row>
    <row r="96" spans="1:13" ht="18" x14ac:dyDescent="0.35">
      <c r="A96" s="48"/>
      <c r="B96" s="48"/>
      <c r="C96" s="48"/>
      <c r="D96" s="48"/>
      <c r="E96" s="48"/>
      <c r="F96" s="48"/>
      <c r="G96" s="48"/>
      <c r="H96" s="48"/>
      <c r="I96" s="48"/>
      <c r="J96" s="48"/>
      <c r="K96" s="48"/>
      <c r="L96" s="48"/>
      <c r="M96" s="48"/>
    </row>
    <row r="97" spans="1:13" ht="18" x14ac:dyDescent="0.35">
      <c r="A97" s="48"/>
      <c r="B97" s="48"/>
      <c r="C97" s="48"/>
      <c r="D97" s="48"/>
      <c r="E97" s="48"/>
      <c r="F97" s="48"/>
      <c r="G97" s="48"/>
      <c r="H97" s="48"/>
      <c r="I97" s="48"/>
      <c r="J97" s="48"/>
      <c r="K97" s="48"/>
      <c r="L97" s="48"/>
      <c r="M97" s="48"/>
    </row>
    <row r="98" spans="1:13" ht="18" x14ac:dyDescent="0.35">
      <c r="A98" s="48"/>
      <c r="B98" s="48"/>
      <c r="C98" s="48"/>
      <c r="D98" s="48"/>
      <c r="E98" s="48"/>
      <c r="F98" s="48"/>
      <c r="G98" s="48"/>
      <c r="H98" s="48"/>
      <c r="I98" s="48"/>
      <c r="J98" s="48"/>
      <c r="K98" s="48"/>
      <c r="L98" s="48"/>
      <c r="M98" s="48"/>
    </row>
    <row r="99" spans="1:13" ht="18" x14ac:dyDescent="0.35">
      <c r="A99" s="48"/>
      <c r="B99" s="48"/>
      <c r="C99" s="48"/>
      <c r="D99" s="48"/>
      <c r="E99" s="48"/>
      <c r="F99" s="48"/>
      <c r="G99" s="48"/>
      <c r="H99" s="48"/>
      <c r="I99" s="48"/>
      <c r="J99" s="48"/>
      <c r="K99" s="48"/>
      <c r="L99" s="48"/>
      <c r="M99" s="48"/>
    </row>
    <row r="100" spans="1:13" ht="18" x14ac:dyDescent="0.35">
      <c r="A100" s="48"/>
      <c r="B100" s="48"/>
      <c r="C100" s="48"/>
      <c r="D100" s="48"/>
      <c r="E100" s="48"/>
      <c r="F100" s="48"/>
      <c r="G100" s="48"/>
      <c r="H100" s="48"/>
      <c r="I100" s="48"/>
      <c r="J100" s="48"/>
      <c r="K100" s="48"/>
      <c r="L100" s="48"/>
      <c r="M100" s="48"/>
    </row>
    <row r="101" spans="1:13" ht="18" x14ac:dyDescent="0.35">
      <c r="A101" s="48"/>
      <c r="B101" s="48"/>
      <c r="C101" s="48"/>
      <c r="D101" s="48"/>
      <c r="E101" s="48"/>
      <c r="F101" s="48"/>
      <c r="G101" s="48"/>
      <c r="H101" s="48"/>
      <c r="I101" s="48"/>
      <c r="J101" s="48"/>
      <c r="K101" s="48"/>
      <c r="L101" s="48"/>
      <c r="M101" s="48"/>
    </row>
    <row r="102" spans="1:13" ht="18" x14ac:dyDescent="0.35">
      <c r="A102" s="48"/>
      <c r="B102" s="48"/>
      <c r="C102" s="48"/>
      <c r="D102" s="48"/>
      <c r="E102" s="48"/>
      <c r="F102" s="48"/>
      <c r="G102" s="48"/>
      <c r="H102" s="48"/>
      <c r="I102" s="48"/>
      <c r="J102" s="48"/>
      <c r="K102" s="48"/>
      <c r="L102" s="48"/>
      <c r="M102" s="48"/>
    </row>
    <row r="103" spans="1:13" ht="18" x14ac:dyDescent="0.35">
      <c r="A103" s="48"/>
      <c r="B103" s="48"/>
      <c r="C103" s="48"/>
      <c r="D103" s="48"/>
      <c r="E103" s="48"/>
      <c r="F103" s="48"/>
      <c r="G103" s="48"/>
      <c r="H103" s="48"/>
      <c r="I103" s="48"/>
      <c r="J103" s="48"/>
      <c r="K103" s="48"/>
      <c r="L103" s="48"/>
      <c r="M103" s="48"/>
    </row>
    <row r="104" spans="1:13" ht="18" x14ac:dyDescent="0.35">
      <c r="A104" s="48"/>
      <c r="B104" s="48"/>
      <c r="C104" s="48"/>
      <c r="D104" s="48"/>
      <c r="E104" s="48"/>
      <c r="F104" s="48"/>
      <c r="G104" s="48"/>
      <c r="H104" s="48"/>
      <c r="I104" s="48"/>
      <c r="J104" s="48"/>
      <c r="K104" s="48"/>
      <c r="L104" s="48"/>
      <c r="M104" s="48"/>
    </row>
    <row r="105" spans="1:13" ht="18" x14ac:dyDescent="0.35">
      <c r="A105" s="48"/>
      <c r="B105" s="48"/>
      <c r="C105" s="48"/>
      <c r="D105" s="48"/>
      <c r="E105" s="48"/>
      <c r="F105" s="48"/>
      <c r="G105" s="48"/>
      <c r="H105" s="48"/>
      <c r="I105" s="48"/>
      <c r="J105" s="48"/>
      <c r="K105" s="48"/>
      <c r="L105" s="48"/>
      <c r="M105" s="48"/>
    </row>
    <row r="106" spans="1:13" ht="18" x14ac:dyDescent="0.35">
      <c r="A106" s="48"/>
      <c r="B106" s="48"/>
      <c r="C106" s="48"/>
      <c r="D106" s="48"/>
      <c r="E106" s="48"/>
      <c r="F106" s="48"/>
      <c r="G106" s="48"/>
      <c r="H106" s="48"/>
      <c r="I106" s="48"/>
      <c r="J106" s="48"/>
      <c r="K106" s="48"/>
      <c r="L106" s="48"/>
      <c r="M106" s="48"/>
    </row>
    <row r="107" spans="1:13" ht="18" x14ac:dyDescent="0.35">
      <c r="A107" s="48"/>
      <c r="B107" s="48"/>
      <c r="C107" s="48"/>
      <c r="D107" s="48"/>
      <c r="E107" s="48"/>
      <c r="F107" s="48"/>
      <c r="G107" s="48"/>
      <c r="H107" s="48"/>
      <c r="I107" s="48"/>
      <c r="J107" s="48"/>
      <c r="K107" s="48"/>
      <c r="L107" s="48"/>
      <c r="M107" s="48"/>
    </row>
    <row r="108" spans="1:13" ht="18" x14ac:dyDescent="0.35">
      <c r="A108" s="48"/>
      <c r="B108" s="48"/>
      <c r="C108" s="48"/>
      <c r="D108" s="48"/>
      <c r="E108" s="48"/>
      <c r="F108" s="48"/>
      <c r="G108" s="48"/>
      <c r="H108" s="48"/>
      <c r="I108" s="48"/>
      <c r="J108" s="48"/>
      <c r="K108" s="48"/>
      <c r="L108" s="48"/>
      <c r="M108" s="48"/>
    </row>
    <row r="109" spans="1:13" ht="18" x14ac:dyDescent="0.35">
      <c r="A109" s="48"/>
      <c r="B109" s="48"/>
      <c r="C109" s="48"/>
      <c r="D109" s="48"/>
      <c r="E109" s="48"/>
      <c r="F109" s="48"/>
      <c r="G109" s="48"/>
      <c r="H109" s="48"/>
      <c r="I109" s="48"/>
      <c r="J109" s="48"/>
      <c r="K109" s="48"/>
      <c r="L109" s="48"/>
      <c r="M109" s="48"/>
    </row>
    <row r="110" spans="1:13" ht="18" x14ac:dyDescent="0.35">
      <c r="A110" s="48"/>
      <c r="B110" s="48"/>
      <c r="C110" s="48"/>
      <c r="D110" s="48"/>
      <c r="E110" s="48"/>
      <c r="F110" s="48"/>
      <c r="G110" s="48"/>
      <c r="H110" s="48"/>
      <c r="I110" s="48"/>
      <c r="J110" s="48"/>
      <c r="K110" s="48"/>
      <c r="L110" s="48"/>
      <c r="M110" s="48"/>
    </row>
    <row r="111" spans="1:13" ht="18" x14ac:dyDescent="0.35">
      <c r="A111" s="48"/>
      <c r="B111" s="48"/>
      <c r="C111" s="48"/>
      <c r="D111" s="48"/>
      <c r="E111" s="48"/>
      <c r="F111" s="48"/>
      <c r="G111" s="48"/>
      <c r="H111" s="48"/>
      <c r="I111" s="48"/>
      <c r="J111" s="48"/>
      <c r="K111" s="48"/>
      <c r="L111" s="48"/>
      <c r="M111" s="48"/>
    </row>
    <row r="112" spans="1:13" ht="18" x14ac:dyDescent="0.35">
      <c r="A112" s="48"/>
      <c r="B112" s="48"/>
      <c r="C112" s="48"/>
      <c r="D112" s="48"/>
      <c r="E112" s="48"/>
      <c r="F112" s="48"/>
      <c r="G112" s="48"/>
      <c r="H112" s="48"/>
      <c r="I112" s="48"/>
      <c r="J112" s="48"/>
      <c r="K112" s="48"/>
      <c r="L112" s="48"/>
      <c r="M112" s="48"/>
    </row>
    <row r="113" spans="1:13" ht="18" x14ac:dyDescent="0.35">
      <c r="A113" s="48"/>
      <c r="B113" s="48"/>
      <c r="C113" s="48"/>
      <c r="D113" s="48"/>
      <c r="E113" s="48"/>
      <c r="F113" s="48"/>
      <c r="G113" s="48"/>
      <c r="H113" s="48"/>
      <c r="I113" s="48"/>
      <c r="J113" s="48"/>
      <c r="K113" s="48"/>
      <c r="L113" s="48"/>
      <c r="M113" s="48"/>
    </row>
    <row r="114" spans="1:13" ht="18" x14ac:dyDescent="0.35">
      <c r="A114" s="48"/>
      <c r="B114" s="48"/>
      <c r="C114" s="48"/>
      <c r="D114" s="48"/>
      <c r="E114" s="48"/>
      <c r="F114" s="48"/>
      <c r="G114" s="48"/>
      <c r="H114" s="48"/>
      <c r="I114" s="48"/>
      <c r="J114" s="48"/>
      <c r="K114" s="48"/>
      <c r="L114" s="48"/>
      <c r="M114" s="48"/>
    </row>
    <row r="115" spans="1:13" ht="18" x14ac:dyDescent="0.35">
      <c r="A115" s="48"/>
      <c r="B115" s="48"/>
      <c r="C115" s="48"/>
      <c r="D115" s="48"/>
      <c r="E115" s="48"/>
      <c r="F115" s="48"/>
      <c r="G115" s="48"/>
      <c r="H115" s="48"/>
      <c r="I115" s="48"/>
      <c r="J115" s="48"/>
      <c r="K115" s="48"/>
      <c r="L115" s="48"/>
      <c r="M115" s="48"/>
    </row>
  </sheetData>
  <mergeCells count="3">
    <mergeCell ref="B5:D5"/>
    <mergeCell ref="F5:H5"/>
    <mergeCell ref="J5:L5"/>
  </mergeCells>
  <hyperlinks>
    <hyperlink ref="B1" location="Innhold!A1" display="Tilbake" xr:uid="{00000000-0004-0000-0400-000000000000}"/>
  </hyperlinks>
  <pageMargins left="0.7" right="0.7" top="0.78740157499999996" bottom="0.78740157499999996"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dimension ref="A1:K92"/>
  <sheetViews>
    <sheetView showGridLines="0" zoomScale="70" zoomScaleNormal="70" workbookViewId="0">
      <pane xSplit="1" ySplit="7" topLeftCell="B8" activePane="bottomRight" state="frozen"/>
      <selection pane="topRight" activeCell="H73" sqref="H73"/>
      <selection pane="bottomLeft" activeCell="H73" sqref="H73"/>
      <selection pane="bottomRight" activeCell="C34" sqref="C34"/>
    </sheetView>
  </sheetViews>
  <sheetFormatPr baseColWidth="10" defaultColWidth="11.44140625" defaultRowHeight="17.399999999999999" x14ac:dyDescent="0.3"/>
  <cols>
    <col min="1" max="1" width="35.6640625" style="53" customWidth="1"/>
    <col min="2" max="2" width="18.33203125" style="53" customWidth="1"/>
    <col min="3" max="3" width="17.6640625" style="53" customWidth="1"/>
    <col min="4" max="4" width="11.6640625" style="53" customWidth="1"/>
    <col min="5" max="5" width="4.6640625" style="53" customWidth="1"/>
    <col min="6" max="7" width="13" style="53" customWidth="1"/>
    <col min="8" max="8" width="11.6640625" style="53" customWidth="1"/>
    <col min="9" max="9" width="12.44140625" style="53" customWidth="1"/>
    <col min="10" max="10" width="11.44140625" style="53"/>
    <col min="11" max="12" width="17.33203125" style="53" bestFit="1" customWidth="1"/>
    <col min="13" max="16384" width="11.44140625" style="53"/>
  </cols>
  <sheetData>
    <row r="1" spans="1:11" ht="18.75" customHeight="1" x14ac:dyDescent="0.35">
      <c r="A1" s="52" t="s">
        <v>78</v>
      </c>
      <c r="B1" s="47" t="s">
        <v>44</v>
      </c>
      <c r="C1" s="52"/>
      <c r="D1" s="52"/>
      <c r="E1" s="52"/>
      <c r="F1" s="48"/>
      <c r="G1" s="48"/>
      <c r="H1" s="48"/>
      <c r="I1" s="48"/>
      <c r="J1" s="48"/>
    </row>
    <row r="2" spans="1:11" ht="20.100000000000001" customHeight="1" x14ac:dyDescent="0.35">
      <c r="A2" s="52" t="s">
        <v>151</v>
      </c>
      <c r="B2" s="52"/>
      <c r="C2" s="638"/>
      <c r="D2" s="52"/>
      <c r="E2" s="52"/>
      <c r="F2" s="48"/>
      <c r="G2" s="48"/>
      <c r="H2" s="48"/>
      <c r="I2" s="48"/>
      <c r="J2" s="48"/>
    </row>
    <row r="3" spans="1:11" ht="20.100000000000001" customHeight="1" x14ac:dyDescent="0.35">
      <c r="A3" s="49"/>
      <c r="B3" s="49"/>
      <c r="C3" s="49"/>
      <c r="D3" s="49"/>
      <c r="E3" s="49"/>
      <c r="F3" s="48"/>
      <c r="G3" s="48"/>
      <c r="H3" s="48"/>
      <c r="I3" s="48"/>
      <c r="J3" s="48"/>
    </row>
    <row r="4" spans="1:11" ht="20.100000000000001" customHeight="1" x14ac:dyDescent="0.35">
      <c r="A4" s="208"/>
      <c r="B4" s="762" t="s">
        <v>152</v>
      </c>
      <c r="C4" s="762"/>
      <c r="D4" s="763"/>
      <c r="E4" s="61"/>
      <c r="F4" s="764" t="s">
        <v>152</v>
      </c>
      <c r="G4" s="762"/>
      <c r="H4" s="763"/>
      <c r="I4" s="48"/>
      <c r="J4" s="48"/>
    </row>
    <row r="5" spans="1:11" ht="18.75" customHeight="1" x14ac:dyDescent="0.35">
      <c r="A5" s="639" t="s">
        <v>235</v>
      </c>
      <c r="B5" s="765" t="s">
        <v>153</v>
      </c>
      <c r="C5" s="766"/>
      <c r="D5" s="767"/>
      <c r="E5" s="640"/>
      <c r="F5" s="768" t="s">
        <v>154</v>
      </c>
      <c r="G5" s="769"/>
      <c r="H5" s="770"/>
      <c r="I5" s="48"/>
      <c r="J5" s="48"/>
    </row>
    <row r="6" spans="1:11" ht="18.75" customHeight="1" x14ac:dyDescent="0.35">
      <c r="A6" s="90"/>
      <c r="B6" s="88"/>
      <c r="C6" s="144"/>
      <c r="D6" s="209" t="s">
        <v>85</v>
      </c>
      <c r="E6" s="209"/>
      <c r="F6" s="91"/>
      <c r="G6" s="92"/>
      <c r="H6" s="66" t="s">
        <v>85</v>
      </c>
      <c r="I6" s="72"/>
      <c r="J6" s="48"/>
    </row>
    <row r="7" spans="1:11" ht="18.75" customHeight="1" x14ac:dyDescent="0.35">
      <c r="A7" s="94"/>
      <c r="B7" s="69">
        <v>2024</v>
      </c>
      <c r="C7" s="69">
        <v>2025</v>
      </c>
      <c r="D7" s="210" t="s">
        <v>88</v>
      </c>
      <c r="E7" s="209"/>
      <c r="F7" s="69">
        <v>2024</v>
      </c>
      <c r="G7" s="95">
        <v>2025</v>
      </c>
      <c r="H7" s="211" t="s">
        <v>88</v>
      </c>
      <c r="I7" s="72"/>
      <c r="J7" s="48"/>
    </row>
    <row r="8" spans="1:11" ht="18.75" customHeight="1" x14ac:dyDescent="0.35">
      <c r="A8" s="73" t="s">
        <v>155</v>
      </c>
      <c r="B8" s="78">
        <f>SUM(B9:B14)</f>
        <v>172162.31500630997</v>
      </c>
      <c r="C8" s="78">
        <f>SUM(C9:C14)</f>
        <v>163622.66255703001</v>
      </c>
      <c r="D8" s="212">
        <f t="shared" ref="D8:D38" si="0">IF(B8=0, "    ---- ", IF(ABS(ROUND(100/B8*C8-100,1))&lt;999,ROUND(100/B8*C8-100,1),IF(ROUND(100/B8*C8-100,1)&gt;999,999,-999)))</f>
        <v>-5</v>
      </c>
      <c r="E8" s="213"/>
      <c r="F8" s="212">
        <f>SUM(F9:F14)</f>
        <v>100</v>
      </c>
      <c r="G8" s="212">
        <f>SUM(G9:G14)</f>
        <v>100.00000000000001</v>
      </c>
      <c r="H8" s="213">
        <f t="shared" ref="H8:H38" si="1">IF(F8=0, "    ---- ", IF(ABS(ROUND(100/F8*G8-100,1))&lt;999,ROUND(100/F8*G8-100,1),IF(ROUND(100/F8*G8-100,1)&gt;999,999,-999)))</f>
        <v>0</v>
      </c>
      <c r="I8" s="76"/>
      <c r="J8" s="48"/>
    </row>
    <row r="9" spans="1:11" ht="18.75" customHeight="1" x14ac:dyDescent="0.35">
      <c r="A9" s="58" t="s">
        <v>156</v>
      </c>
      <c r="B9" s="76">
        <f>'Tabell 6'!AI21</f>
        <v>3918.3338349000001</v>
      </c>
      <c r="C9" s="76">
        <f>'Tabell 6'!AJ21</f>
        <v>5802.5744607699999</v>
      </c>
      <c r="D9" s="214">
        <f t="shared" si="0"/>
        <v>48.1</v>
      </c>
      <c r="E9" s="214"/>
      <c r="F9" s="214">
        <f>'Tabell 6'!AI21/'Tabell 6'!AI29*100</f>
        <v>2.2759532681448826</v>
      </c>
      <c r="G9" s="214">
        <f>'Tabell 6'!AJ21/'Tabell 6'!AJ29*100</f>
        <v>3.5463146547609417</v>
      </c>
      <c r="H9" s="215">
        <f t="shared" si="1"/>
        <v>55.8</v>
      </c>
      <c r="I9" s="76"/>
      <c r="J9" s="51"/>
    </row>
    <row r="10" spans="1:11" ht="18.75" customHeight="1" x14ac:dyDescent="0.35">
      <c r="A10" s="77" t="s">
        <v>157</v>
      </c>
      <c r="B10" s="75">
        <f>'Tabell 6'!AI17+'Tabell 6'!AI22</f>
        <v>76530.216971049987</v>
      </c>
      <c r="C10" s="75">
        <f>'Tabell 6'!AJ17+'Tabell 6'!AJ22</f>
        <v>69764.85380615</v>
      </c>
      <c r="D10" s="214">
        <f t="shared" si="0"/>
        <v>-8.8000000000000007</v>
      </c>
      <c r="E10" s="214"/>
      <c r="F10" s="214">
        <f>('Tabell 6'!AI17+'Tabell 6'!AI22)/'Tabell 6'!AI29*100</f>
        <v>44.45236285783276</v>
      </c>
      <c r="G10" s="214">
        <f>('Tabell 6'!AJ17+'Tabell 6'!AJ22)/'Tabell 6'!AJ29*100</f>
        <v>42.63764732579984</v>
      </c>
      <c r="H10" s="215">
        <f t="shared" si="1"/>
        <v>-4.0999999999999996</v>
      </c>
      <c r="I10" s="76"/>
      <c r="J10" s="48"/>
    </row>
    <row r="11" spans="1:11" ht="18.75" customHeight="1" x14ac:dyDescent="0.35">
      <c r="A11" s="58" t="s">
        <v>158</v>
      </c>
      <c r="B11" s="75">
        <f>'Tabell 6'!AI14</f>
        <v>1348.1865066300002</v>
      </c>
      <c r="C11" s="75">
        <f>'Tabell 6'!AJ14</f>
        <v>1404.3456136300001</v>
      </c>
      <c r="D11" s="214">
        <f t="shared" si="0"/>
        <v>4.2</v>
      </c>
      <c r="E11" s="214"/>
      <c r="F11" s="214">
        <f>'Tabell 6'!AI14/'Tabell 6'!AI29*100</f>
        <v>0.78309036828448031</v>
      </c>
      <c r="G11" s="214">
        <f>'Tabell 6'!AJ14/'Tabell 6'!AJ29*100</f>
        <v>0.85828307135664728</v>
      </c>
      <c r="H11" s="215">
        <f t="shared" si="1"/>
        <v>9.6</v>
      </c>
      <c r="I11" s="76"/>
      <c r="J11" s="48"/>
    </row>
    <row r="12" spans="1:11" ht="18.75" customHeight="1" x14ac:dyDescent="0.35">
      <c r="A12" s="77" t="s">
        <v>159</v>
      </c>
      <c r="B12" s="75">
        <f>'Tabell 6'!AI15</f>
        <v>27219.880706240001</v>
      </c>
      <c r="C12" s="75">
        <f>'Tabell 6'!AJ15</f>
        <v>28854.869790290002</v>
      </c>
      <c r="D12" s="214">
        <f t="shared" si="0"/>
        <v>6</v>
      </c>
      <c r="E12" s="214"/>
      <c r="F12" s="214">
        <f>'Tabell 6'!AI15/'Tabell 6'!AI29*100</f>
        <v>15.81059171122458</v>
      </c>
      <c r="G12" s="214">
        <f>'Tabell 6'!AJ15/'Tabell 6'!AJ29*100</f>
        <v>17.635008096896573</v>
      </c>
      <c r="H12" s="215">
        <f t="shared" si="1"/>
        <v>11.5</v>
      </c>
      <c r="I12" s="76"/>
      <c r="J12" s="48"/>
      <c r="K12" s="102"/>
    </row>
    <row r="13" spans="1:11" ht="18.75" customHeight="1" x14ac:dyDescent="0.35">
      <c r="A13" s="58" t="s">
        <v>160</v>
      </c>
      <c r="B13" s="75">
        <f>'Tabell 6'!AI19+'Tabell 6'!AI23</f>
        <v>35584.42878088</v>
      </c>
      <c r="C13" s="75">
        <f>'Tabell 6'!AJ19+'Tabell 6'!AJ23</f>
        <v>35019.446852700006</v>
      </c>
      <c r="D13" s="214">
        <f t="shared" si="0"/>
        <v>-1.6</v>
      </c>
      <c r="E13" s="214"/>
      <c r="F13" s="214">
        <f>('Tabell 6'!AI19+'Tabell 6'!AI23)/'Tabell 6'!AI29*100</f>
        <v>20.669116106841255</v>
      </c>
      <c r="G13" s="214">
        <f>('Tabell 6'!AJ19+'Tabell 6'!AJ23)/'Tabell 6'!AJ29*100</f>
        <v>21.40256508813021</v>
      </c>
      <c r="H13" s="215">
        <f t="shared" si="1"/>
        <v>3.5</v>
      </c>
      <c r="I13" s="76"/>
      <c r="J13" s="48"/>
    </row>
    <row r="14" spans="1:11" ht="18.75" customHeight="1" x14ac:dyDescent="0.35">
      <c r="A14" s="58" t="s">
        <v>161</v>
      </c>
      <c r="B14" s="133">
        <f>'Tabell 6'!AI24+'Tabell 6'!AI25+'Tabell 6'!AI26+'Tabell 6'!AI28</f>
        <v>27561.268206610002</v>
      </c>
      <c r="C14" s="133">
        <f>'Tabell 6'!AJ24+'Tabell 6'!AJ25+'Tabell 6'!AJ26+'Tabell 6'!AJ28</f>
        <v>22776.572033490007</v>
      </c>
      <c r="D14" s="214">
        <f t="shared" si="0"/>
        <v>-17.399999999999999</v>
      </c>
      <c r="E14" s="214"/>
      <c r="F14" s="214">
        <f>('Tabell 6'!AI24+'Tabell 6'!AI25+'Tabell 6'!AI26+'Tabell 6'!AI28)/'Tabell 6'!AI29*100</f>
        <v>16.008885687672034</v>
      </c>
      <c r="G14" s="214">
        <f>('Tabell 6'!AJ24+'Tabell 6'!AJ25+'Tabell 6'!AJ26+'Tabell 6'!AJ28)/'Tabell 6'!AJ29*100</f>
        <v>13.920181763055792</v>
      </c>
      <c r="H14" s="215">
        <f t="shared" si="1"/>
        <v>-13</v>
      </c>
      <c r="I14" s="76"/>
      <c r="J14" s="48"/>
    </row>
    <row r="15" spans="1:11" ht="18.75" customHeight="1" x14ac:dyDescent="0.35">
      <c r="A15" s="77"/>
      <c r="B15" s="75"/>
      <c r="C15" s="133"/>
      <c r="D15" s="215"/>
      <c r="E15" s="215"/>
      <c r="F15" s="215"/>
      <c r="G15" s="214"/>
      <c r="H15" s="215"/>
      <c r="I15" s="76"/>
      <c r="J15" s="48"/>
    </row>
    <row r="16" spans="1:11" s="102" customFormat="1" ht="18.75" customHeight="1" x14ac:dyDescent="0.3">
      <c r="A16" s="73" t="s">
        <v>162</v>
      </c>
      <c r="B16" s="78">
        <f>SUM(B17:B22)</f>
        <v>1447074.18594156</v>
      </c>
      <c r="C16" s="78">
        <f>SUM(C17:C22)</f>
        <v>1548284.3848734698</v>
      </c>
      <c r="D16" s="212">
        <f t="shared" si="0"/>
        <v>7</v>
      </c>
      <c r="E16" s="212"/>
      <c r="F16" s="212">
        <f>SUM(F17:F22)</f>
        <v>99.999999999999986</v>
      </c>
      <c r="G16" s="212">
        <f>SUM(G17:G22)</f>
        <v>100</v>
      </c>
      <c r="H16" s="213">
        <f t="shared" si="1"/>
        <v>0</v>
      </c>
      <c r="I16" s="79"/>
      <c r="J16" s="49"/>
    </row>
    <row r="17" spans="1:10" ht="18.75" customHeight="1" x14ac:dyDescent="0.35">
      <c r="A17" s="58" t="s">
        <v>156</v>
      </c>
      <c r="B17" s="75">
        <f>'Tabell 6'!AI40</f>
        <v>382667.61946574994</v>
      </c>
      <c r="C17" s="75">
        <f>'Tabell 6'!AJ40</f>
        <v>427204.04052977002</v>
      </c>
      <c r="D17" s="214">
        <f t="shared" si="0"/>
        <v>11.6</v>
      </c>
      <c r="E17" s="214"/>
      <c r="F17" s="214">
        <f>'Tabell 6'!AI40/('Tabell 6'!AI45+'Tabell 6'!AI46)*100</f>
        <v>26.444229548380871</v>
      </c>
      <c r="G17" s="214">
        <f>'Tabell 6'!AJ40/('Tabell 6'!AJ45+'Tabell 6'!AJ46)*100</f>
        <v>27.592091265887326</v>
      </c>
      <c r="H17" s="215">
        <f t="shared" si="1"/>
        <v>4.3</v>
      </c>
      <c r="I17" s="76"/>
      <c r="J17" s="48"/>
    </row>
    <row r="18" spans="1:10" ht="18.75" customHeight="1" x14ac:dyDescent="0.35">
      <c r="A18" s="77" t="s">
        <v>157</v>
      </c>
      <c r="B18" s="75">
        <f>'Tabell 6'!AI36+'Tabell 6'!AI41</f>
        <v>387057.26470446994</v>
      </c>
      <c r="C18" s="75">
        <f>'Tabell 6'!AJ36+'Tabell 6'!AJ41</f>
        <v>413101.24596211</v>
      </c>
      <c r="D18" s="214">
        <f t="shared" si="0"/>
        <v>6.7</v>
      </c>
      <c r="E18" s="214"/>
      <c r="F18" s="214">
        <f>('Tabell 6'!AI36+'Tabell 6'!AI41)/('Tabell 6'!AI45+'Tabell 6'!AI46)*100</f>
        <v>26.747575795682199</v>
      </c>
      <c r="G18" s="214">
        <f>('Tabell 6'!AJ36+'Tabell 6'!AJ41)/('Tabell 6'!AJ45+'Tabell 6'!AJ46)*100</f>
        <v>26.68122536131305</v>
      </c>
      <c r="H18" s="215">
        <f t="shared" si="1"/>
        <v>-0.2</v>
      </c>
      <c r="I18" s="76"/>
      <c r="J18" s="48"/>
    </row>
    <row r="19" spans="1:10" ht="18.75" customHeight="1" x14ac:dyDescent="0.35">
      <c r="A19" s="58" t="s">
        <v>158</v>
      </c>
      <c r="B19" s="75">
        <f>'Tabell 6'!AI33</f>
        <v>14.226000000000001</v>
      </c>
      <c r="C19" s="75">
        <f>'Tabell 6'!AJ33</f>
        <v>14.22555</v>
      </c>
      <c r="D19" s="214">
        <f t="shared" si="0"/>
        <v>0</v>
      </c>
      <c r="E19" s="214"/>
      <c r="F19" s="214">
        <f>'Tabell 6'!AI33/('Tabell 6'!AI45+'Tabell 6'!AI46)*100</f>
        <v>9.8308712422671301E-4</v>
      </c>
      <c r="G19" s="214">
        <f>'Tabell 6'!AJ33/('Tabell 6'!AJ45+'Tabell 6'!AJ46)*100</f>
        <v>9.1879438551352118E-4</v>
      </c>
      <c r="H19" s="215">
        <f t="shared" si="1"/>
        <v>-6.5</v>
      </c>
      <c r="I19" s="76"/>
      <c r="J19" s="48"/>
    </row>
    <row r="20" spans="1:10" ht="18.75" customHeight="1" x14ac:dyDescent="0.35">
      <c r="A20" s="77" t="s">
        <v>159</v>
      </c>
      <c r="B20" s="75">
        <f>'Tabell 6'!AI34</f>
        <v>168918.82390265001</v>
      </c>
      <c r="C20" s="75">
        <f>'Tabell 6'!AJ34</f>
        <v>181711.92005494999</v>
      </c>
      <c r="D20" s="214">
        <f t="shared" si="0"/>
        <v>7.6</v>
      </c>
      <c r="E20" s="214"/>
      <c r="F20" s="214">
        <f>'Tabell 6'!AI34/('Tabell 6'!AI45+'Tabell 6'!AI46)*100</f>
        <v>11.673128132870431</v>
      </c>
      <c r="G20" s="214">
        <f>'Tabell 6'!AJ34/('Tabell 6'!AJ45+'Tabell 6'!AJ46)*100</f>
        <v>11.736340030956264</v>
      </c>
      <c r="H20" s="215">
        <f t="shared" si="1"/>
        <v>0.5</v>
      </c>
      <c r="I20" s="76"/>
      <c r="J20" s="48"/>
    </row>
    <row r="21" spans="1:10" ht="18.75" customHeight="1" x14ac:dyDescent="0.35">
      <c r="A21" s="58" t="s">
        <v>160</v>
      </c>
      <c r="B21" s="75">
        <f>'Tabell 6'!AI38+'Tabell 6'!AI42</f>
        <v>502448.36481369997</v>
      </c>
      <c r="C21" s="75">
        <f>'Tabell 6'!AJ38+'Tabell 6'!AJ42</f>
        <v>514367.25679351005</v>
      </c>
      <c r="D21" s="214">
        <f t="shared" si="0"/>
        <v>2.4</v>
      </c>
      <c r="E21" s="214"/>
      <c r="F21" s="214">
        <f>('Tabell 6'!AI38+'Tabell 6'!AI42)/('Tabell 6'!AI45+'Tabell 6'!AI46)*100</f>
        <v>34.721672855132482</v>
      </c>
      <c r="G21" s="214">
        <f>('Tabell 6'!AJ38+'Tabell 6'!AJ42)/('Tabell 6'!AJ45+'Tabell 6'!AJ46)*100</f>
        <v>33.22175575874877</v>
      </c>
      <c r="H21" s="215">
        <f t="shared" si="1"/>
        <v>-4.3</v>
      </c>
      <c r="I21" s="76"/>
      <c r="J21" s="48"/>
    </row>
    <row r="22" spans="1:10" ht="18.75" customHeight="1" x14ac:dyDescent="0.35">
      <c r="A22" s="77" t="s">
        <v>161</v>
      </c>
      <c r="B22" s="133">
        <f>'Tabell 6'!AI43+'Tabell 6'!AI44+'Tabell 6'!AI46</f>
        <v>5967.8870549900003</v>
      </c>
      <c r="C22" s="133">
        <f>'Tabell 6'!AJ43+'Tabell 6'!AJ44+'Tabell 6'!AJ46</f>
        <v>11885.695983129994</v>
      </c>
      <c r="D22" s="214">
        <f t="shared" si="0"/>
        <v>99.2</v>
      </c>
      <c r="E22" s="214"/>
      <c r="F22" s="215">
        <f>('Tabell 6'!AI43+'Tabell 6'!AI44+'Tabell 6'!AI46)/('Tabell 6'!AI45+'Tabell 6'!AI46)*100</f>
        <v>0.41241058080978121</v>
      </c>
      <c r="G22" s="215">
        <f>('Tabell 6'!AJ43+'Tabell 6'!AJ44+'Tabell 6'!AJ46)/('Tabell 6'!AJ45+'Tabell 6'!AJ46)*100</f>
        <v>0.76766878870907973</v>
      </c>
      <c r="H22" s="215">
        <f t="shared" si="1"/>
        <v>86.1</v>
      </c>
      <c r="I22" s="76"/>
      <c r="J22" s="48"/>
    </row>
    <row r="23" spans="1:10" ht="18.75" customHeight="1" x14ac:dyDescent="0.35">
      <c r="A23" s="58"/>
      <c r="B23" s="133"/>
      <c r="C23" s="133"/>
      <c r="D23" s="215"/>
      <c r="E23" s="214"/>
      <c r="F23" s="214"/>
      <c r="G23" s="215"/>
      <c r="H23" s="215"/>
      <c r="I23" s="136"/>
      <c r="J23" s="48"/>
    </row>
    <row r="24" spans="1:10" ht="18.75" customHeight="1" x14ac:dyDescent="0.35">
      <c r="A24" s="103" t="s">
        <v>163</v>
      </c>
      <c r="B24" s="78">
        <f>SUM(B25:B30)</f>
        <v>801156.03982974018</v>
      </c>
      <c r="C24" s="78">
        <f>SUM(C25:C30)</f>
        <v>936209.69961295975</v>
      </c>
      <c r="D24" s="212">
        <f t="shared" si="0"/>
        <v>16.899999999999999</v>
      </c>
      <c r="E24" s="212"/>
      <c r="F24" s="213">
        <f>SUM(F25:F30)</f>
        <v>99.999999999999986</v>
      </c>
      <c r="G24" s="213">
        <f>SUM(G25:G30)</f>
        <v>100.00000000000001</v>
      </c>
      <c r="H24" s="215">
        <f t="shared" si="1"/>
        <v>0</v>
      </c>
      <c r="I24" s="136"/>
      <c r="J24" s="48"/>
    </row>
    <row r="25" spans="1:10" ht="18.75" customHeight="1" x14ac:dyDescent="0.35">
      <c r="A25" s="77" t="s">
        <v>156</v>
      </c>
      <c r="B25" s="75">
        <f>'Tabell 6'!AI55</f>
        <v>547922.12222154008</v>
      </c>
      <c r="C25" s="75">
        <f>'Tabell 6'!AJ55</f>
        <v>648151.20037418976</v>
      </c>
      <c r="D25" s="214">
        <f t="shared" si="0"/>
        <v>18.3</v>
      </c>
      <c r="E25" s="214"/>
      <c r="F25" s="214">
        <f>'Tabell 6'!AI55/('Tabell 6'!AI60+'Tabell 6'!AI61)*100</f>
        <v>68.391436247298756</v>
      </c>
      <c r="G25" s="214">
        <f>'Tabell 6'!AJ55/('Tabell 6'!AJ60+'Tabell 6'!AJ61)*100</f>
        <v>69.231412646348716</v>
      </c>
      <c r="H25" s="215">
        <f t="shared" si="1"/>
        <v>1.2</v>
      </c>
      <c r="I25" s="136"/>
      <c r="J25" s="48"/>
    </row>
    <row r="26" spans="1:10" ht="18.75" customHeight="1" x14ac:dyDescent="0.35">
      <c r="A26" s="77" t="s">
        <v>157</v>
      </c>
      <c r="B26" s="75">
        <f>'Tabell 6'!AI51+'Tabell 6'!AI56</f>
        <v>227879.04150582</v>
      </c>
      <c r="C26" s="75">
        <f>'Tabell 6'!AJ51+'Tabell 6'!AJ56</f>
        <v>255485.11523232993</v>
      </c>
      <c r="D26" s="214">
        <f t="shared" si="0"/>
        <v>12.1</v>
      </c>
      <c r="E26" s="214"/>
      <c r="F26" s="214">
        <f>('Tabell 6'!AI51+'Tabell 6'!AI56)/('Tabell 6'!AI60+'Tabell 6'!AI61)*100</f>
        <v>28.44377751358504</v>
      </c>
      <c r="G26" s="214">
        <f>('Tabell 6'!AJ51+'Tabell 6'!AJ56)/('Tabell 6'!AJ60+'Tabell 6'!AJ61)*100</f>
        <v>27.289304451550823</v>
      </c>
      <c r="H26" s="215">
        <f t="shared" si="1"/>
        <v>-4.0999999999999996</v>
      </c>
      <c r="I26" s="136"/>
      <c r="J26" s="48"/>
    </row>
    <row r="27" spans="1:10" ht="18.75" customHeight="1" x14ac:dyDescent="0.35">
      <c r="A27" s="77" t="s">
        <v>158</v>
      </c>
      <c r="B27" s="75">
        <f>'Tabell 6'!AI48</f>
        <v>0</v>
      </c>
      <c r="C27" s="75">
        <f>'Tabell 6'!AJ48</f>
        <v>0</v>
      </c>
      <c r="D27" s="214" t="str">
        <f t="shared" si="0"/>
        <v xml:space="preserve">    ---- </v>
      </c>
      <c r="E27" s="214"/>
      <c r="F27" s="214">
        <f>'Tabell 6'!AI48/('Tabell 6'!AI60+'Tabell 6'!AI61)*100</f>
        <v>0</v>
      </c>
      <c r="G27" s="214">
        <f>'Tabell 6'!AJ48/('Tabell 6'!AJ60+'Tabell 6'!AJ61)*100</f>
        <v>0</v>
      </c>
      <c r="H27" s="215" t="str">
        <f t="shared" si="1"/>
        <v xml:space="preserve">    ---- </v>
      </c>
      <c r="I27" s="136"/>
      <c r="J27" s="48"/>
    </row>
    <row r="28" spans="1:10" ht="18.75" customHeight="1" x14ac:dyDescent="0.35">
      <c r="A28" s="77" t="s">
        <v>159</v>
      </c>
      <c r="B28" s="75">
        <f>'Tabell 6'!AI49</f>
        <v>21029.648669720002</v>
      </c>
      <c r="C28" s="75">
        <f>'Tabell 6'!AJ49</f>
        <v>24845.512874860004</v>
      </c>
      <c r="D28" s="214">
        <f t="shared" si="0"/>
        <v>18.100000000000001</v>
      </c>
      <c r="E28" s="214"/>
      <c r="F28" s="214">
        <f>'Tabell 6'!AI49/('Tabell 6'!AI60+'Tabell 6'!AI61)*100</f>
        <v>2.6249129538097447</v>
      </c>
      <c r="G28" s="214">
        <f>'Tabell 6'!AJ49/('Tabell 6'!AJ60+'Tabell 6'!AJ61)*100</f>
        <v>2.6538405749407894</v>
      </c>
      <c r="H28" s="215">
        <f t="shared" si="1"/>
        <v>1.1000000000000001</v>
      </c>
      <c r="I28" s="136"/>
      <c r="J28" s="48"/>
    </row>
    <row r="29" spans="1:10" ht="18.75" customHeight="1" x14ac:dyDescent="0.35">
      <c r="A29" s="77" t="s">
        <v>160</v>
      </c>
      <c r="B29" s="75">
        <f>'Tabell 6'!AI53+'Tabell 6'!AI57</f>
        <v>3710.7125382499999</v>
      </c>
      <c r="C29" s="75">
        <f>'Tabell 6'!AJ53+'Tabell 6'!AJ57</f>
        <v>5801.6928022299971</v>
      </c>
      <c r="D29" s="214">
        <f t="shared" si="0"/>
        <v>56.3</v>
      </c>
      <c r="E29" s="214"/>
      <c r="F29" s="214">
        <f>('Tabell 6'!AI53+'Tabell 6'!AI57)/('Tabell 6'!AI60+'Tabell 6'!AI61)*100</f>
        <v>0.46316976391248232</v>
      </c>
      <c r="G29" s="214">
        <f>('Tabell 6'!AJ53+'Tabell 6'!AJ57)/('Tabell 6'!AJ60+'Tabell 6'!AJ61)*100</f>
        <v>0.61970013818789615</v>
      </c>
      <c r="H29" s="215">
        <f t="shared" si="1"/>
        <v>33.799999999999997</v>
      </c>
      <c r="I29" s="136"/>
      <c r="J29" s="48"/>
    </row>
    <row r="30" spans="1:10" ht="18.75" customHeight="1" x14ac:dyDescent="0.35">
      <c r="A30" s="58" t="s">
        <v>161</v>
      </c>
      <c r="B30" s="133">
        <f>'Tabell 6'!AI58+'Tabell 6'!AI59+'Tabell 6'!AI61</f>
        <v>614.5148944099999</v>
      </c>
      <c r="C30" s="133">
        <f>'Tabell 6'!AJ58+'Tabell 6'!AJ59+'Tabell 6'!AJ61</f>
        <v>1926.178329350045</v>
      </c>
      <c r="D30" s="215">
        <f t="shared" si="0"/>
        <v>213.4</v>
      </c>
      <c r="E30" s="215"/>
      <c r="F30" s="215">
        <f>('Tabell 6'!AI58+'Tabell 6'!AI59+'Tabell 6'!AI61)/('Tabell 6'!AI60+'Tabell 6'!AI61)*100</f>
        <v>7.6703521393984037E-2</v>
      </c>
      <c r="G30" s="215">
        <f>('Tabell 6'!AJ58+'Tabell 6'!AJ59+'Tabell 6'!AJ61)/('Tabell 6'!AJ60+'Tabell 6'!AJ61)*100</f>
        <v>0.20574218897180307</v>
      </c>
      <c r="H30" s="215">
        <f t="shared" si="1"/>
        <v>168.2</v>
      </c>
      <c r="I30" s="136"/>
      <c r="J30" s="48"/>
    </row>
    <row r="31" spans="1:10" ht="18.75" customHeight="1" x14ac:dyDescent="0.35">
      <c r="A31" s="77"/>
      <c r="B31" s="133"/>
      <c r="C31" s="133"/>
      <c r="D31" s="214"/>
      <c r="E31" s="214"/>
      <c r="F31" s="214"/>
      <c r="G31" s="215"/>
      <c r="H31" s="215"/>
      <c r="I31" s="136"/>
      <c r="J31" s="48"/>
    </row>
    <row r="32" spans="1:10" ht="18.75" customHeight="1" x14ac:dyDescent="0.35">
      <c r="A32" s="103" t="s">
        <v>121</v>
      </c>
      <c r="B32" s="78">
        <f>SUM(B33:B38)</f>
        <v>2420392.5407776097</v>
      </c>
      <c r="C32" s="78">
        <f>SUM(C33:C38)</f>
        <v>2648116.7470434601</v>
      </c>
      <c r="D32" s="212">
        <f t="shared" si="0"/>
        <v>9.4</v>
      </c>
      <c r="E32" s="212"/>
      <c r="F32" s="212">
        <f>SUM(F33:F38)</f>
        <v>100</v>
      </c>
      <c r="G32" s="212">
        <f>SUM(G33:G38)</f>
        <v>100</v>
      </c>
      <c r="H32" s="213">
        <f t="shared" si="1"/>
        <v>0</v>
      </c>
      <c r="I32" s="136"/>
      <c r="J32" s="48"/>
    </row>
    <row r="33" spans="1:10" ht="18.75" customHeight="1" x14ac:dyDescent="0.35">
      <c r="A33" s="77" t="s">
        <v>156</v>
      </c>
      <c r="B33" s="75">
        <f t="shared" ref="B33:C38" si="2">B9+B17+B25</f>
        <v>934508.07552218996</v>
      </c>
      <c r="C33" s="75">
        <f t="shared" si="2"/>
        <v>1081157.8153647298</v>
      </c>
      <c r="D33" s="214">
        <f t="shared" si="0"/>
        <v>15.7</v>
      </c>
      <c r="E33" s="214"/>
      <c r="F33" s="214">
        <f>B33/B32*100</f>
        <v>38.609773405678929</v>
      </c>
      <c r="G33" s="214">
        <f>C33/C32*100</f>
        <v>40.827422604075473</v>
      </c>
      <c r="H33" s="215">
        <f t="shared" si="1"/>
        <v>5.7</v>
      </c>
      <c r="I33" s="136"/>
      <c r="J33" s="48"/>
    </row>
    <row r="34" spans="1:10" ht="18.75" customHeight="1" x14ac:dyDescent="0.35">
      <c r="A34" s="77" t="s">
        <v>157</v>
      </c>
      <c r="B34" s="75">
        <f t="shared" si="2"/>
        <v>691466.52318133996</v>
      </c>
      <c r="C34" s="75">
        <f t="shared" si="2"/>
        <v>738351.21500058996</v>
      </c>
      <c r="D34" s="214">
        <f t="shared" si="0"/>
        <v>6.8</v>
      </c>
      <c r="E34" s="214"/>
      <c r="F34" s="214">
        <f>B34/B32*100</f>
        <v>28.568362839161189</v>
      </c>
      <c r="G34" s="214">
        <f>C34/C32*100</f>
        <v>27.882124752427778</v>
      </c>
      <c r="H34" s="215">
        <f t="shared" si="1"/>
        <v>-2.4</v>
      </c>
      <c r="I34" s="136"/>
      <c r="J34" s="48"/>
    </row>
    <row r="35" spans="1:10" ht="18.75" customHeight="1" x14ac:dyDescent="0.35">
      <c r="A35" s="77" t="s">
        <v>158</v>
      </c>
      <c r="B35" s="75">
        <f t="shared" si="2"/>
        <v>1362.4125066300003</v>
      </c>
      <c r="C35" s="75">
        <f t="shared" si="2"/>
        <v>1418.5711636300002</v>
      </c>
      <c r="D35" s="214">
        <f t="shared" si="0"/>
        <v>4.0999999999999996</v>
      </c>
      <c r="E35" s="214"/>
      <c r="F35" s="214">
        <f>B35/B32*100</f>
        <v>5.6288907013086899E-2</v>
      </c>
      <c r="G35" s="214">
        <f>C35/C32*100</f>
        <v>5.3569056772658941E-2</v>
      </c>
      <c r="H35" s="215">
        <f t="shared" si="1"/>
        <v>-4.8</v>
      </c>
      <c r="I35" s="136"/>
      <c r="J35" s="48"/>
    </row>
    <row r="36" spans="1:10" ht="18.75" customHeight="1" x14ac:dyDescent="0.35">
      <c r="A36" s="77" t="s">
        <v>159</v>
      </c>
      <c r="B36" s="75">
        <f t="shared" si="2"/>
        <v>217168.35327860998</v>
      </c>
      <c r="C36" s="75">
        <f t="shared" si="2"/>
        <v>235412.30272010001</v>
      </c>
      <c r="D36" s="214">
        <f t="shared" si="0"/>
        <v>8.4</v>
      </c>
      <c r="E36" s="214"/>
      <c r="F36" s="214">
        <f>B36/B32*100</f>
        <v>8.9724435032690764</v>
      </c>
      <c r="G36" s="214">
        <f>C36/C32*100</f>
        <v>8.8898007605945057</v>
      </c>
      <c r="H36" s="215">
        <f t="shared" si="1"/>
        <v>-0.9</v>
      </c>
      <c r="I36" s="136"/>
      <c r="J36" s="48"/>
    </row>
    <row r="37" spans="1:10" ht="18.75" customHeight="1" x14ac:dyDescent="0.35">
      <c r="A37" s="77" t="s">
        <v>160</v>
      </c>
      <c r="B37" s="75">
        <f t="shared" si="2"/>
        <v>541743.50613282993</v>
      </c>
      <c r="C37" s="75">
        <f t="shared" si="2"/>
        <v>555188.39644844003</v>
      </c>
      <c r="D37" s="214">
        <f t="shared" si="0"/>
        <v>2.5</v>
      </c>
      <c r="E37" s="214"/>
      <c r="F37" s="214">
        <f>B37/B32*100</f>
        <v>22.382464703794771</v>
      </c>
      <c r="G37" s="214">
        <f>C37/C32*100</f>
        <v>20.965404832256379</v>
      </c>
      <c r="H37" s="215">
        <f t="shared" si="1"/>
        <v>-6.3</v>
      </c>
      <c r="I37" s="136"/>
      <c r="J37" s="48"/>
    </row>
    <row r="38" spans="1:10" ht="18.75" customHeight="1" x14ac:dyDescent="0.35">
      <c r="A38" s="216" t="s">
        <v>161</v>
      </c>
      <c r="B38" s="217">
        <f t="shared" si="2"/>
        <v>34143.670156010005</v>
      </c>
      <c r="C38" s="217">
        <f t="shared" si="2"/>
        <v>36588.446345970049</v>
      </c>
      <c r="D38" s="218">
        <f t="shared" si="0"/>
        <v>7.2</v>
      </c>
      <c r="E38" s="214"/>
      <c r="F38" s="218">
        <f>B38/B32*100</f>
        <v>1.4106666410829594</v>
      </c>
      <c r="G38" s="218">
        <f>C38/C32*100</f>
        <v>1.3816779938731898</v>
      </c>
      <c r="H38" s="219">
        <f t="shared" si="1"/>
        <v>-2.1</v>
      </c>
      <c r="I38" s="136"/>
      <c r="J38" s="48"/>
    </row>
    <row r="39" spans="1:10" ht="18.75" customHeight="1" x14ac:dyDescent="0.35">
      <c r="A39" s="48"/>
      <c r="B39" s="48"/>
      <c r="C39" s="48"/>
      <c r="D39" s="48"/>
      <c r="E39" s="48"/>
      <c r="F39" s="136"/>
      <c r="G39" s="136"/>
      <c r="H39" s="136"/>
      <c r="I39" s="136"/>
      <c r="J39" s="48"/>
    </row>
    <row r="40" spans="1:10" ht="18.75" customHeight="1" x14ac:dyDescent="0.35">
      <c r="A40" s="48" t="s">
        <v>164</v>
      </c>
      <c r="B40" s="48"/>
      <c r="C40" s="48"/>
      <c r="D40" s="48"/>
      <c r="E40" s="48"/>
      <c r="F40" s="136"/>
      <c r="G40" s="136"/>
      <c r="H40" s="136"/>
      <c r="I40" s="136"/>
      <c r="J40" s="48"/>
    </row>
    <row r="41" spans="1:10" ht="18" x14ac:dyDescent="0.35">
      <c r="A41" s="48" t="s">
        <v>122</v>
      </c>
      <c r="B41" s="48"/>
      <c r="C41" s="48"/>
      <c r="D41" s="48"/>
      <c r="E41" s="48"/>
      <c r="F41" s="48"/>
      <c r="G41" s="48"/>
      <c r="H41" s="48"/>
      <c r="I41" s="48"/>
      <c r="J41" s="48"/>
    </row>
    <row r="42" spans="1:10" ht="18" x14ac:dyDescent="0.35">
      <c r="A42" s="48"/>
      <c r="B42" s="48"/>
      <c r="C42" s="48"/>
      <c r="D42" s="48"/>
      <c r="E42" s="48"/>
      <c r="G42" s="48"/>
      <c r="H42" s="48"/>
      <c r="I42" s="48"/>
      <c r="J42" s="48"/>
    </row>
    <row r="43" spans="1:10" ht="18" x14ac:dyDescent="0.35">
      <c r="A43" s="48"/>
      <c r="B43" s="48"/>
      <c r="C43" s="48"/>
      <c r="D43" s="48"/>
      <c r="E43" s="48"/>
      <c r="F43" s="48"/>
      <c r="G43" s="48"/>
      <c r="H43" s="48"/>
      <c r="I43" s="48"/>
      <c r="J43" s="48"/>
    </row>
    <row r="44" spans="1:10" ht="18" x14ac:dyDescent="0.35">
      <c r="A44" s="48"/>
      <c r="B44" s="48"/>
      <c r="C44" s="48"/>
      <c r="D44" s="48"/>
      <c r="E44" s="48"/>
      <c r="F44" s="48"/>
      <c r="G44" s="48"/>
      <c r="H44" s="48"/>
      <c r="I44" s="48"/>
      <c r="J44" s="48"/>
    </row>
    <row r="45" spans="1:10" ht="18" x14ac:dyDescent="0.35">
      <c r="A45" s="48"/>
      <c r="B45" s="48"/>
      <c r="C45" s="48"/>
      <c r="D45" s="48"/>
      <c r="E45" s="48"/>
      <c r="F45" s="48"/>
      <c r="G45" s="48"/>
      <c r="H45" s="48"/>
      <c r="I45" s="48"/>
      <c r="J45" s="48"/>
    </row>
    <row r="46" spans="1:10" ht="18" x14ac:dyDescent="0.35">
      <c r="A46" s="48"/>
      <c r="B46" s="48"/>
      <c r="C46" s="48"/>
      <c r="D46" s="48"/>
      <c r="E46" s="48"/>
      <c r="F46" s="48"/>
      <c r="G46" s="48"/>
      <c r="H46" s="48"/>
      <c r="I46" s="48"/>
      <c r="J46" s="48"/>
    </row>
    <row r="47" spans="1:10" ht="18" x14ac:dyDescent="0.35">
      <c r="A47" s="48"/>
      <c r="B47" s="48"/>
      <c r="C47" s="48"/>
      <c r="D47" s="48"/>
      <c r="E47" s="48"/>
      <c r="F47" s="48"/>
      <c r="G47" s="48"/>
      <c r="H47" s="48"/>
      <c r="I47" s="48"/>
      <c r="J47" s="48"/>
    </row>
    <row r="48" spans="1:10" ht="18" x14ac:dyDescent="0.35">
      <c r="A48" s="48"/>
      <c r="B48" s="48"/>
      <c r="C48" s="48"/>
      <c r="D48" s="48"/>
      <c r="E48" s="48"/>
      <c r="F48" s="48"/>
      <c r="G48" s="48"/>
      <c r="H48" s="48"/>
      <c r="I48" s="48"/>
      <c r="J48" s="48"/>
    </row>
    <row r="49" spans="1:10" ht="18" x14ac:dyDescent="0.35">
      <c r="A49" s="48"/>
      <c r="B49" s="48"/>
      <c r="C49" s="48"/>
      <c r="D49" s="48"/>
      <c r="E49" s="48"/>
      <c r="F49" s="48"/>
      <c r="G49" s="48"/>
      <c r="H49" s="48"/>
      <c r="I49" s="48"/>
      <c r="J49" s="48"/>
    </row>
    <row r="50" spans="1:10" ht="18" x14ac:dyDescent="0.35">
      <c r="A50" s="48"/>
      <c r="B50" s="48"/>
      <c r="C50" s="48"/>
      <c r="D50" s="48"/>
      <c r="E50" s="48"/>
      <c r="F50" s="48"/>
      <c r="G50" s="48"/>
      <c r="H50" s="48"/>
      <c r="I50" s="48"/>
      <c r="J50" s="48"/>
    </row>
    <row r="51" spans="1:10" ht="18" x14ac:dyDescent="0.35">
      <c r="A51" s="48"/>
      <c r="B51" s="48"/>
      <c r="C51" s="48"/>
      <c r="D51" s="48"/>
      <c r="E51" s="48"/>
      <c r="F51" s="48"/>
      <c r="G51" s="48"/>
      <c r="H51" s="48"/>
      <c r="I51" s="48"/>
      <c r="J51" s="48"/>
    </row>
    <row r="52" spans="1:10" ht="18" x14ac:dyDescent="0.35">
      <c r="A52" s="48"/>
      <c r="B52" s="48"/>
      <c r="C52" s="48"/>
      <c r="D52" s="48"/>
      <c r="E52" s="48"/>
      <c r="F52" s="48"/>
      <c r="G52" s="48"/>
      <c r="H52" s="48"/>
      <c r="I52" s="48"/>
      <c r="J52" s="48"/>
    </row>
    <row r="53" spans="1:10" ht="18" x14ac:dyDescent="0.35">
      <c r="A53" s="48"/>
      <c r="B53" s="48"/>
      <c r="C53" s="48"/>
      <c r="D53" s="48"/>
      <c r="E53" s="48"/>
      <c r="F53" s="48"/>
      <c r="G53" s="48"/>
      <c r="H53" s="48"/>
      <c r="I53" s="48"/>
      <c r="J53" s="48"/>
    </row>
    <row r="54" spans="1:10" ht="18" x14ac:dyDescent="0.35">
      <c r="A54" s="48"/>
      <c r="B54" s="48"/>
      <c r="C54" s="48"/>
      <c r="D54" s="48"/>
      <c r="E54" s="48"/>
      <c r="F54" s="48"/>
      <c r="G54" s="48"/>
      <c r="H54" s="48"/>
      <c r="I54" s="48"/>
      <c r="J54" s="48"/>
    </row>
    <row r="55" spans="1:10" ht="18" x14ac:dyDescent="0.35">
      <c r="A55" s="48"/>
      <c r="B55" s="48"/>
      <c r="C55" s="48"/>
      <c r="D55" s="48"/>
      <c r="E55" s="48"/>
      <c r="F55" s="48"/>
      <c r="G55" s="48"/>
      <c r="H55" s="48"/>
      <c r="I55" s="48"/>
      <c r="J55" s="48"/>
    </row>
    <row r="56" spans="1:10" ht="18" x14ac:dyDescent="0.35">
      <c r="A56" s="48"/>
      <c r="B56" s="48"/>
      <c r="C56" s="48"/>
      <c r="D56" s="48"/>
      <c r="E56" s="48"/>
      <c r="F56" s="48"/>
      <c r="G56" s="48"/>
      <c r="H56" s="48"/>
      <c r="I56" s="48"/>
      <c r="J56" s="48"/>
    </row>
    <row r="57" spans="1:10" ht="18" x14ac:dyDescent="0.35">
      <c r="A57" s="48"/>
      <c r="B57" s="48"/>
      <c r="C57" s="48"/>
      <c r="D57" s="48"/>
      <c r="E57" s="48"/>
      <c r="F57" s="48"/>
      <c r="G57" s="48"/>
      <c r="H57" s="48"/>
      <c r="I57" s="48"/>
      <c r="J57" s="48"/>
    </row>
    <row r="58" spans="1:10" ht="18" x14ac:dyDescent="0.35">
      <c r="A58" s="48"/>
      <c r="B58" s="48"/>
      <c r="C58" s="48"/>
      <c r="D58" s="48"/>
      <c r="E58" s="48"/>
      <c r="F58" s="48"/>
      <c r="G58" s="48"/>
      <c r="H58" s="48"/>
      <c r="I58" s="48"/>
      <c r="J58" s="48"/>
    </row>
    <row r="59" spans="1:10" ht="18" x14ac:dyDescent="0.35">
      <c r="A59" s="48"/>
      <c r="B59" s="48"/>
      <c r="C59" s="48"/>
      <c r="D59" s="48"/>
      <c r="E59" s="48"/>
      <c r="F59" s="48"/>
      <c r="G59" s="48"/>
      <c r="H59" s="48"/>
      <c r="I59" s="48"/>
      <c r="J59" s="48"/>
    </row>
    <row r="60" spans="1:10" ht="18" x14ac:dyDescent="0.35">
      <c r="A60" s="48"/>
      <c r="B60" s="48"/>
      <c r="C60" s="48"/>
      <c r="D60" s="48"/>
      <c r="E60" s="48"/>
      <c r="F60" s="48"/>
      <c r="G60" s="48"/>
      <c r="H60" s="48"/>
      <c r="I60" s="48"/>
      <c r="J60" s="48"/>
    </row>
    <row r="61" spans="1:10" ht="18" x14ac:dyDescent="0.35">
      <c r="A61" s="48"/>
      <c r="B61" s="48"/>
      <c r="C61" s="48"/>
      <c r="D61" s="48"/>
      <c r="E61" s="48"/>
      <c r="F61" s="48"/>
      <c r="G61" s="48"/>
      <c r="H61" s="48"/>
      <c r="I61" s="48"/>
      <c r="J61" s="48"/>
    </row>
    <row r="62" spans="1:10" ht="18" x14ac:dyDescent="0.35">
      <c r="A62" s="48"/>
      <c r="B62" s="48"/>
      <c r="C62" s="48"/>
      <c r="D62" s="48"/>
      <c r="E62" s="48"/>
      <c r="F62" s="48"/>
      <c r="G62" s="48"/>
      <c r="H62" s="48"/>
      <c r="I62" s="48"/>
      <c r="J62" s="48"/>
    </row>
    <row r="63" spans="1:10" ht="18" x14ac:dyDescent="0.35">
      <c r="A63" s="48"/>
      <c r="B63" s="48"/>
      <c r="C63" s="48"/>
      <c r="D63" s="48"/>
      <c r="E63" s="48"/>
      <c r="F63" s="48"/>
      <c r="G63" s="48"/>
      <c r="H63" s="48"/>
      <c r="I63" s="48"/>
      <c r="J63" s="48"/>
    </row>
    <row r="64" spans="1:10" ht="18" x14ac:dyDescent="0.35">
      <c r="A64" s="48"/>
      <c r="B64" s="48"/>
      <c r="C64" s="48"/>
      <c r="D64" s="48"/>
      <c r="E64" s="48"/>
      <c r="F64" s="48"/>
      <c r="G64" s="48"/>
      <c r="H64" s="48"/>
      <c r="I64" s="48"/>
      <c r="J64" s="48"/>
    </row>
    <row r="65" spans="1:10" ht="18" x14ac:dyDescent="0.35">
      <c r="A65" s="48"/>
      <c r="B65" s="48"/>
      <c r="C65" s="48"/>
      <c r="D65" s="48"/>
      <c r="E65" s="48"/>
      <c r="F65" s="48"/>
      <c r="G65" s="48"/>
      <c r="H65" s="48"/>
      <c r="I65" s="48"/>
      <c r="J65" s="48"/>
    </row>
    <row r="66" spans="1:10" ht="18" x14ac:dyDescent="0.35">
      <c r="A66" s="48"/>
      <c r="B66" s="48"/>
      <c r="C66" s="48"/>
      <c r="D66" s="48"/>
      <c r="E66" s="48"/>
      <c r="F66" s="48"/>
      <c r="G66" s="48"/>
      <c r="H66" s="48"/>
      <c r="I66" s="48"/>
      <c r="J66" s="48"/>
    </row>
    <row r="67" spans="1:10" ht="18" x14ac:dyDescent="0.35">
      <c r="A67" s="48"/>
      <c r="B67" s="48"/>
      <c r="C67" s="48"/>
      <c r="D67" s="48"/>
      <c r="E67" s="48"/>
      <c r="F67" s="48"/>
      <c r="G67" s="48"/>
      <c r="H67" s="48"/>
      <c r="I67" s="48"/>
      <c r="J67" s="48"/>
    </row>
    <row r="68" spans="1:10" ht="18" x14ac:dyDescent="0.35">
      <c r="A68" s="48"/>
      <c r="B68" s="48"/>
      <c r="C68" s="48"/>
      <c r="D68" s="48"/>
      <c r="E68" s="48"/>
      <c r="F68" s="48"/>
      <c r="G68" s="48"/>
      <c r="H68" s="48"/>
      <c r="I68" s="48"/>
      <c r="J68" s="48"/>
    </row>
    <row r="69" spans="1:10" ht="18" x14ac:dyDescent="0.35">
      <c r="A69" s="48"/>
      <c r="B69" s="48"/>
      <c r="C69" s="48"/>
      <c r="D69" s="48"/>
      <c r="E69" s="48"/>
      <c r="F69" s="48"/>
      <c r="G69" s="48"/>
      <c r="H69" s="48"/>
      <c r="I69" s="48"/>
      <c r="J69" s="48"/>
    </row>
    <row r="70" spans="1:10" ht="18" x14ac:dyDescent="0.35">
      <c r="A70" s="48"/>
      <c r="B70" s="48"/>
      <c r="C70" s="48"/>
      <c r="D70" s="48"/>
      <c r="E70" s="48"/>
      <c r="F70" s="48"/>
      <c r="G70" s="48"/>
      <c r="H70" s="48"/>
      <c r="I70" s="48"/>
      <c r="J70" s="48"/>
    </row>
    <row r="71" spans="1:10" ht="18" x14ac:dyDescent="0.35">
      <c r="A71" s="48"/>
      <c r="B71" s="48"/>
      <c r="C71" s="48"/>
      <c r="D71" s="48"/>
      <c r="E71" s="48"/>
      <c r="F71" s="48"/>
      <c r="G71" s="48"/>
      <c r="H71" s="48"/>
      <c r="I71" s="48"/>
      <c r="J71" s="48"/>
    </row>
    <row r="72" spans="1:10" ht="18" x14ac:dyDescent="0.35">
      <c r="A72" s="48"/>
      <c r="B72" s="48"/>
      <c r="C72" s="48"/>
      <c r="D72" s="48"/>
      <c r="E72" s="48"/>
      <c r="F72" s="48"/>
      <c r="G72" s="48"/>
      <c r="H72" s="48"/>
      <c r="I72" s="48"/>
      <c r="J72" s="48"/>
    </row>
    <row r="73" spans="1:10" ht="18" x14ac:dyDescent="0.35">
      <c r="A73" s="48"/>
      <c r="B73" s="48"/>
      <c r="C73" s="48"/>
      <c r="D73" s="48"/>
      <c r="E73" s="48"/>
      <c r="F73" s="48"/>
      <c r="G73" s="48"/>
      <c r="H73" s="48"/>
      <c r="I73" s="48"/>
      <c r="J73" s="48"/>
    </row>
    <row r="74" spans="1:10" ht="18" x14ac:dyDescent="0.35">
      <c r="A74" s="48"/>
      <c r="B74" s="48"/>
      <c r="C74" s="48"/>
      <c r="D74" s="48"/>
      <c r="E74" s="48"/>
      <c r="F74" s="48"/>
      <c r="G74" s="48"/>
      <c r="H74" s="48"/>
      <c r="I74" s="48"/>
      <c r="J74" s="48"/>
    </row>
    <row r="75" spans="1:10" ht="18" x14ac:dyDescent="0.35">
      <c r="A75" s="48"/>
      <c r="B75" s="48"/>
      <c r="C75" s="48"/>
      <c r="D75" s="48"/>
      <c r="E75" s="48"/>
      <c r="F75" s="48"/>
      <c r="G75" s="48"/>
      <c r="H75" s="48"/>
      <c r="I75" s="48"/>
      <c r="J75" s="48"/>
    </row>
    <row r="76" spans="1:10" ht="18" x14ac:dyDescent="0.35">
      <c r="A76" s="48"/>
      <c r="B76" s="48"/>
      <c r="C76" s="48"/>
      <c r="D76" s="48"/>
      <c r="E76" s="48"/>
      <c r="F76" s="48"/>
      <c r="G76" s="48"/>
      <c r="H76" s="48"/>
      <c r="I76" s="48"/>
      <c r="J76" s="48"/>
    </row>
    <row r="77" spans="1:10" ht="18" x14ac:dyDescent="0.35">
      <c r="A77" s="48"/>
      <c r="B77" s="48"/>
      <c r="C77" s="48"/>
      <c r="D77" s="48"/>
      <c r="E77" s="48"/>
      <c r="F77" s="48"/>
      <c r="G77" s="48"/>
      <c r="H77" s="48"/>
      <c r="I77" s="48"/>
      <c r="J77" s="48"/>
    </row>
    <row r="78" spans="1:10" ht="18" x14ac:dyDescent="0.35">
      <c r="A78" s="48"/>
      <c r="B78" s="48"/>
      <c r="C78" s="48"/>
      <c r="D78" s="48"/>
      <c r="E78" s="48"/>
      <c r="F78" s="48"/>
      <c r="G78" s="48"/>
      <c r="H78" s="48"/>
      <c r="I78" s="48"/>
      <c r="J78" s="48"/>
    </row>
    <row r="79" spans="1:10" ht="18" x14ac:dyDescent="0.35">
      <c r="A79" s="48"/>
      <c r="B79" s="48"/>
      <c r="C79" s="48"/>
      <c r="D79" s="48"/>
      <c r="E79" s="48"/>
      <c r="F79" s="48"/>
      <c r="G79" s="48"/>
      <c r="H79" s="48"/>
      <c r="I79" s="48"/>
      <c r="J79" s="48"/>
    </row>
    <row r="80" spans="1:10" ht="18" x14ac:dyDescent="0.35">
      <c r="A80" s="48"/>
      <c r="B80" s="48"/>
      <c r="C80" s="48"/>
      <c r="D80" s="48"/>
      <c r="E80" s="48"/>
      <c r="F80" s="48"/>
      <c r="G80" s="48"/>
      <c r="H80" s="48"/>
      <c r="I80" s="48"/>
      <c r="J80" s="48"/>
    </row>
    <row r="81" spans="1:10" ht="18" x14ac:dyDescent="0.35">
      <c r="A81" s="48"/>
      <c r="B81" s="48"/>
      <c r="C81" s="48"/>
      <c r="D81" s="48"/>
      <c r="E81" s="48"/>
      <c r="F81" s="48"/>
      <c r="G81" s="48"/>
      <c r="H81" s="48"/>
      <c r="I81" s="48"/>
      <c r="J81" s="48"/>
    </row>
    <row r="82" spans="1:10" ht="18" x14ac:dyDescent="0.35">
      <c r="A82" s="48"/>
      <c r="B82" s="48"/>
      <c r="C82" s="48"/>
      <c r="D82" s="48"/>
      <c r="E82" s="48"/>
      <c r="F82" s="48"/>
      <c r="G82" s="48"/>
      <c r="H82" s="48"/>
      <c r="I82" s="48"/>
      <c r="J82" s="48"/>
    </row>
    <row r="83" spans="1:10" ht="18" x14ac:dyDescent="0.35">
      <c r="A83" s="48"/>
      <c r="B83" s="48"/>
      <c r="C83" s="48"/>
      <c r="D83" s="48"/>
      <c r="E83" s="48"/>
      <c r="F83" s="48"/>
      <c r="G83" s="48"/>
      <c r="H83" s="48"/>
      <c r="I83" s="48"/>
      <c r="J83" s="48"/>
    </row>
    <row r="84" spans="1:10" ht="18" x14ac:dyDescent="0.35">
      <c r="A84" s="48"/>
      <c r="B84" s="48"/>
      <c r="C84" s="48"/>
      <c r="D84" s="48"/>
      <c r="E84" s="48"/>
      <c r="F84" s="48"/>
      <c r="G84" s="48"/>
      <c r="H84" s="48"/>
      <c r="I84" s="48"/>
      <c r="J84" s="48"/>
    </row>
    <row r="85" spans="1:10" ht="18" x14ac:dyDescent="0.35">
      <c r="A85" s="48"/>
      <c r="B85" s="48"/>
      <c r="C85" s="48"/>
      <c r="D85" s="48"/>
      <c r="E85" s="48"/>
      <c r="F85" s="48"/>
      <c r="G85" s="48"/>
      <c r="H85" s="48"/>
      <c r="I85" s="48"/>
      <c r="J85" s="48"/>
    </row>
    <row r="86" spans="1:10" ht="18" x14ac:dyDescent="0.35">
      <c r="A86" s="48"/>
      <c r="B86" s="48"/>
      <c r="C86" s="48"/>
      <c r="D86" s="48"/>
      <c r="E86" s="48"/>
      <c r="F86" s="48"/>
      <c r="G86" s="48"/>
      <c r="H86" s="48"/>
      <c r="I86" s="48"/>
      <c r="J86" s="48"/>
    </row>
    <row r="87" spans="1:10" ht="18" x14ac:dyDescent="0.35">
      <c r="A87" s="48"/>
      <c r="B87" s="48"/>
      <c r="C87" s="48"/>
      <c r="D87" s="48"/>
      <c r="E87" s="48"/>
      <c r="F87" s="48"/>
      <c r="G87" s="48"/>
      <c r="H87" s="48"/>
      <c r="I87" s="48"/>
      <c r="J87" s="48"/>
    </row>
    <row r="88" spans="1:10" ht="18" x14ac:dyDescent="0.35">
      <c r="A88" s="48"/>
      <c r="B88" s="48"/>
      <c r="C88" s="48"/>
      <c r="D88" s="48"/>
      <c r="E88" s="48"/>
      <c r="F88" s="48"/>
      <c r="G88" s="48"/>
      <c r="H88" s="48"/>
      <c r="I88" s="48"/>
      <c r="J88" s="48"/>
    </row>
    <row r="89" spans="1:10" ht="18" x14ac:dyDescent="0.35">
      <c r="A89" s="48"/>
      <c r="B89" s="48"/>
      <c r="C89" s="48"/>
      <c r="D89" s="48"/>
      <c r="E89" s="48"/>
      <c r="F89" s="48"/>
      <c r="G89" s="48"/>
      <c r="H89" s="48"/>
      <c r="I89" s="48"/>
      <c r="J89" s="48"/>
    </row>
    <row r="90" spans="1:10" ht="18" x14ac:dyDescent="0.35">
      <c r="A90" s="48"/>
      <c r="B90" s="48"/>
      <c r="C90" s="48"/>
      <c r="D90" s="48"/>
      <c r="E90" s="48"/>
      <c r="F90" s="48"/>
      <c r="G90" s="48"/>
      <c r="H90" s="48"/>
      <c r="I90" s="48"/>
      <c r="J90" s="48"/>
    </row>
    <row r="91" spans="1:10" ht="18" x14ac:dyDescent="0.35">
      <c r="A91" s="48"/>
      <c r="B91" s="48"/>
      <c r="C91" s="48"/>
      <c r="D91" s="48"/>
      <c r="E91" s="48"/>
      <c r="F91" s="48"/>
      <c r="G91" s="48"/>
      <c r="H91" s="48"/>
      <c r="I91" s="48"/>
      <c r="J91" s="48"/>
    </row>
    <row r="92" spans="1:10" ht="18" x14ac:dyDescent="0.35">
      <c r="A92" s="48"/>
      <c r="B92" s="48"/>
      <c r="C92" s="48"/>
      <c r="D92" s="48"/>
      <c r="E92" s="48"/>
      <c r="F92" s="48"/>
      <c r="G92" s="48"/>
      <c r="H92" s="48"/>
      <c r="I92" s="48"/>
      <c r="J92" s="48"/>
    </row>
  </sheetData>
  <mergeCells count="4">
    <mergeCell ref="B4:D4"/>
    <mergeCell ref="F4:H4"/>
    <mergeCell ref="B5:D5"/>
    <mergeCell ref="F5:H5"/>
  </mergeCells>
  <hyperlinks>
    <hyperlink ref="B1" location="Innhold!A1" display="Tilbake" xr:uid="{F3E75261-2AE4-411B-B0FA-C74A0CB898BF}"/>
  </hyperlinks>
  <pageMargins left="0.70866141732283472" right="0.70866141732283472" top="0.74803149606299213" bottom="0.74803149606299213"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M303"/>
  <sheetViews>
    <sheetView showGridLines="0" showZeros="0" zoomScaleNormal="100" zoomScaleSheetLayoutView="80" workbookViewId="0">
      <pane xSplit="1" ySplit="1" topLeftCell="B2" activePane="bottomRight" state="frozen"/>
      <selection pane="topRight" activeCell="J44" sqref="J44"/>
      <selection pane="bottomLeft" activeCell="J44" sqref="J44"/>
      <selection pane="bottomRight"/>
    </sheetView>
  </sheetViews>
  <sheetFormatPr baseColWidth="10" defaultColWidth="11.44140625" defaultRowHeight="13.2" x14ac:dyDescent="0.25"/>
  <cols>
    <col min="1" max="1" width="57.33203125" style="1" customWidth="1"/>
    <col min="2" max="2" width="10.6640625" style="1" customWidth="1"/>
    <col min="3" max="3" width="12.33203125" style="1" bestFit="1" customWidth="1"/>
    <col min="4" max="4" width="8.6640625" style="1" customWidth="1"/>
    <col min="5" max="6" width="10.6640625" style="1" customWidth="1"/>
    <col min="7" max="7" width="8.6640625" style="1" customWidth="1"/>
    <col min="8" max="9" width="12.33203125" style="1" bestFit="1" customWidth="1"/>
    <col min="10" max="10" width="8.6640625" style="1" customWidth="1"/>
    <col min="11" max="16384" width="11.44140625" style="1"/>
  </cols>
  <sheetData>
    <row r="1" spans="1:13" ht="15.75" customHeight="1" x14ac:dyDescent="0.25">
      <c r="A1" s="289">
        <v>4</v>
      </c>
    </row>
    <row r="2" spans="1:13" ht="15.75" customHeight="1" x14ac:dyDescent="0.3">
      <c r="A2" s="110" t="s">
        <v>165</v>
      </c>
      <c r="B2" s="774"/>
      <c r="C2" s="774"/>
      <c r="D2" s="774"/>
      <c r="E2" s="774"/>
      <c r="F2" s="774"/>
      <c r="G2" s="774"/>
      <c r="H2" s="774"/>
      <c r="I2" s="774"/>
      <c r="J2" s="774"/>
    </row>
    <row r="3" spans="1:13" ht="15.75" customHeight="1" x14ac:dyDescent="0.3">
      <c r="A3" s="122"/>
      <c r="B3" s="244"/>
      <c r="C3" s="244"/>
      <c r="D3" s="244"/>
      <c r="E3" s="244"/>
      <c r="F3" s="244"/>
      <c r="G3" s="244"/>
      <c r="H3" s="244"/>
      <c r="I3" s="244"/>
      <c r="J3" s="244"/>
    </row>
    <row r="4" spans="1:13" ht="15.75" customHeight="1" x14ac:dyDescent="0.25">
      <c r="A4" s="108"/>
      <c r="B4" s="771" t="s">
        <v>46</v>
      </c>
      <c r="C4" s="772"/>
      <c r="D4" s="772"/>
      <c r="E4" s="771" t="s">
        <v>70</v>
      </c>
      <c r="F4" s="772"/>
      <c r="G4" s="772"/>
      <c r="H4" s="771" t="s">
        <v>121</v>
      </c>
      <c r="I4" s="772"/>
      <c r="J4" s="773"/>
    </row>
    <row r="5" spans="1:13" ht="15.75" customHeight="1" x14ac:dyDescent="0.25">
      <c r="A5" s="117"/>
      <c r="B5" s="17" t="s">
        <v>491</v>
      </c>
      <c r="C5" s="17" t="s">
        <v>492</v>
      </c>
      <c r="D5" s="198" t="s">
        <v>166</v>
      </c>
      <c r="E5" s="17" t="s">
        <v>491</v>
      </c>
      <c r="F5" s="17" t="s">
        <v>492</v>
      </c>
      <c r="G5" s="198" t="s">
        <v>166</v>
      </c>
      <c r="H5" s="17" t="s">
        <v>491</v>
      </c>
      <c r="I5" s="17" t="s">
        <v>492</v>
      </c>
      <c r="J5" s="198" t="s">
        <v>166</v>
      </c>
    </row>
    <row r="6" spans="1:13" ht="15.75" customHeight="1" x14ac:dyDescent="0.25">
      <c r="A6" s="736"/>
      <c r="B6" s="12"/>
      <c r="C6" s="12"/>
      <c r="D6" s="14" t="s">
        <v>167</v>
      </c>
      <c r="E6" s="13"/>
      <c r="F6" s="13"/>
      <c r="G6" s="12" t="s">
        <v>167</v>
      </c>
      <c r="H6" s="13"/>
      <c r="I6" s="13"/>
      <c r="J6" s="12" t="s">
        <v>167</v>
      </c>
      <c r="M6" s="274"/>
    </row>
    <row r="7" spans="1:13" s="35" customFormat="1" ht="15.75" customHeight="1" x14ac:dyDescent="0.25">
      <c r="A7" s="11" t="s">
        <v>168</v>
      </c>
      <c r="B7" s="183">
        <f>'Fremtind Livsforsikring'!B7+'DNB Livsforsikring'!B7+'Frende Livsforsikring'!B7+'Frende Skadeforsikring'!B7+'Gjensidige Forsikring'!B7+'Gjensidige Pensjon'!B7+'If Skadeforsikring NUF'!B7+KLP!B7+'KLP Skadeforsikring AS'!B7+'Landkreditt Forsikring'!B7+'Nordea Liv '!B7+'Oslo Pensjonsforsikring'!B7+'Protector Forsikring'!B7+'Sparebank 1 Fors.'!B7+'Storebrand Livsforsikring'!B7+'Telenor Forsikring'!B7+'Tryg Forsikring'!B7+'WaterCircles F'!B7+'Euro Accident'!B7+'Ly Forsikring'!B7+'Youplus Livsforsikring'!B7+'Oslo Forsikring'!B7+'Knif Trygghet Forsikring'!B7</f>
        <v>5541872.3509786185</v>
      </c>
      <c r="C7" s="183">
        <f>'Fremtind Livsforsikring'!C7+'DNB Livsforsikring'!C7+'Frende Livsforsikring'!C7+'Frende Skadeforsikring'!C7+'Gjensidige Forsikring'!C7+'Gjensidige Pensjon'!C7+'If Skadeforsikring NUF'!C7+KLP!C7+'KLP Skadeforsikring AS'!C7+'Landkreditt Forsikring'!C7+'Nordea Liv '!C7+'Oslo Pensjonsforsikring'!C7+'Protector Forsikring'!C7+'Sparebank 1 Fors.'!C7+'Storebrand Livsforsikring'!C7+'Telenor Forsikring'!C7+'Tryg Forsikring'!C7+'WaterCircles F'!C7+'Euro Accident'!C7+'Ly Forsikring'!C7+'Youplus Livsforsikring'!C7+'Oslo Forsikring'!C7+'Knif Trygghet Forsikring'!C7</f>
        <v>5820536.3558266163</v>
      </c>
      <c r="D7" s="119">
        <f t="shared" ref="D7:D12" si="0">IF(B7=0, "    ---- ", IF(ABS(ROUND(100/B7*C7-100,1))&lt;999,ROUND(100/B7*C7-100,1),IF(ROUND(100/B7*C7-100,1)&gt;999,999,-999)))</f>
        <v>5</v>
      </c>
      <c r="E7" s="183">
        <f>'Fremtind Livsforsikring'!F7+'DNB Livsforsikring'!F7+'Frende Livsforsikring'!F7+'Frende Skadeforsikring'!F7+'Gjensidige Forsikring'!F7+'Gjensidige Pensjon'!F7+'If Skadeforsikring NUF'!F7+KLP!F7+'KLP Skadeforsikring AS'!F7+'Landkreditt Forsikring'!F7+'Nordea Liv '!F7+'Oslo Pensjonsforsikring'!F7+'Protector Forsikring'!F7+'Sparebank 1 Fors.'!F7+'Storebrand Livsforsikring'!F7+'Telenor Forsikring'!F7+'Tryg Forsikring'!F7+'WaterCircles F'!F7+'Euro Accident'!F7+'Ly Forsikring'!F7+'Youplus Livsforsikring'!F7+'Oslo Forsikring'!F7+'Knif Trygghet Forsikring'!F7</f>
        <v>14213362.53359</v>
      </c>
      <c r="F7" s="183">
        <f>'Fremtind Livsforsikring'!G7+'DNB Livsforsikring'!G7+'Frende Livsforsikring'!G7+'Frende Skadeforsikring'!G7+'Gjensidige Forsikring'!G7+'Gjensidige Pensjon'!G7+'If Skadeforsikring NUF'!G7+KLP!G7+'KLP Skadeforsikring AS'!G7+'Landkreditt Forsikring'!G7+'Nordea Liv '!G7+'Oslo Pensjonsforsikring'!G7+'Protector Forsikring'!G7+'Sparebank 1 Fors.'!G7+'Storebrand Livsforsikring'!G7+'Telenor Forsikring'!G7+'Tryg Forsikring'!G7+'WaterCircles F'!G7+'Euro Accident'!G7+'Ly Forsikring'!G7+'Youplus Livsforsikring'!G7+'Oslo Forsikring'!G7+'Knif Trygghet Forsikring'!G7</f>
        <v>12010167.335509991</v>
      </c>
      <c r="G7" s="119">
        <f t="shared" ref="G7:G12" si="1">IF(E7=0, "    ---- ", IF(ABS(ROUND(100/E7*F7-100,1))&lt;999,ROUND(100/E7*F7-100,1),IF(ROUND(100/E7*F7-100,1)&gt;999,999,-999)))</f>
        <v>-15.5</v>
      </c>
      <c r="H7" s="224">
        <f t="shared" ref="H7:H12" si="2">B7+E7</f>
        <v>19755234.884568617</v>
      </c>
      <c r="I7" s="225">
        <f t="shared" ref="I7:I12" si="3">C7+F7</f>
        <v>17830703.691336609</v>
      </c>
      <c r="J7" s="127">
        <f t="shared" ref="J7:J12" si="4">IF(H7=0, "    ---- ", IF(ABS(ROUND(100/H7*I7-100,1))&lt;999,ROUND(100/H7*I7-100,1),IF(ROUND(100/H7*I7-100,1)&gt;999,999,-999)))</f>
        <v>-9.6999999999999993</v>
      </c>
    </row>
    <row r="8" spans="1:13" ht="15.75" customHeight="1" x14ac:dyDescent="0.25">
      <c r="A8" s="18" t="s">
        <v>169</v>
      </c>
      <c r="B8" s="36">
        <f>'Fremtind Livsforsikring'!B8+'DNB Livsforsikring'!B8+'Frende Livsforsikring'!B8+'Frende Skadeforsikring'!B8+'Gjensidige Forsikring'!B8+'Gjensidige Pensjon'!B8+'If Skadeforsikring NUF'!B8+KLP!B8+'KLP Skadeforsikring AS'!B8+'Landkreditt Forsikring'!B8+'Nordea Liv '!B8+'Oslo Pensjonsforsikring'!B8+'Protector Forsikring'!B8+'Sparebank 1 Fors.'!B8+'Storebrand Livsforsikring'!B8+'Telenor Forsikring'!B8+'Tryg Forsikring'!B8+'WaterCircles F'!B8+'Euro Accident'!B8+'Ly Forsikring'!B8+'Youplus Livsforsikring'!B8+'Oslo Forsikring'!B8+'Knif Trygghet Forsikring'!B8</f>
        <v>3667991.0370357605</v>
      </c>
      <c r="C8" s="36">
        <f>'Fremtind Livsforsikring'!C8+'DNB Livsforsikring'!C8+'Frende Livsforsikring'!C8+'Frende Skadeforsikring'!C8+'Gjensidige Forsikring'!C8+'Gjensidige Pensjon'!C8+'If Skadeforsikring NUF'!C8+KLP!C8+'KLP Skadeforsikring AS'!C8+'Landkreditt Forsikring'!C8+'Nordea Liv '!C8+'Oslo Pensjonsforsikring'!C8+'Protector Forsikring'!C8+'Sparebank 1 Fors.'!C8+'Storebrand Livsforsikring'!C8+'Telenor Forsikring'!C8+'Tryg Forsikring'!C8+'WaterCircles F'!C8+'Euro Accident'!C8+'Ly Forsikring'!C8+'Youplus Livsforsikring'!C8+'Oslo Forsikring'!C8+'Knif Trygghet Forsikring'!C8</f>
        <v>3933759.661314392</v>
      </c>
      <c r="D8" s="123">
        <f t="shared" si="0"/>
        <v>7.2</v>
      </c>
      <c r="E8" s="140"/>
      <c r="F8" s="140"/>
      <c r="G8" s="132"/>
      <c r="H8" s="141">
        <f t="shared" si="2"/>
        <v>3667991.0370357605</v>
      </c>
      <c r="I8" s="142">
        <f t="shared" si="3"/>
        <v>3933759.661314392</v>
      </c>
      <c r="J8" s="127">
        <f t="shared" si="4"/>
        <v>7.2</v>
      </c>
    </row>
    <row r="9" spans="1:13" ht="15.75" customHeight="1" x14ac:dyDescent="0.25">
      <c r="A9" s="18" t="s">
        <v>170</v>
      </c>
      <c r="B9" s="36">
        <f>'Fremtind Livsforsikring'!B9+'DNB Livsforsikring'!B9+'Frende Livsforsikring'!B9+'Frende Skadeforsikring'!B9+'Gjensidige Forsikring'!B9+'Gjensidige Pensjon'!B9+'If Skadeforsikring NUF'!B9+KLP!B9+'KLP Skadeforsikring AS'!B9+'Landkreditt Forsikring'!B9+'Nordea Liv '!B9+'Oslo Pensjonsforsikring'!B9+'Protector Forsikring'!B9+'Sparebank 1 Fors.'!B9+'Storebrand Livsforsikring'!B9+'Telenor Forsikring'!B9+'Tryg Forsikring'!B9+'WaterCircles F'!B9+'Euro Accident'!B9+'Ly Forsikring'!B9+'Youplus Livsforsikring'!B9+'Oslo Forsikring'!B9+'Knif Trygghet Forsikring'!B9</f>
        <v>1108381.9259172403</v>
      </c>
      <c r="C9" s="36">
        <f>'Fremtind Livsforsikring'!C9+'DNB Livsforsikring'!C9+'Frende Livsforsikring'!C9+'Frende Skadeforsikring'!C9+'Gjensidige Forsikring'!C9+'Gjensidige Pensjon'!C9+'If Skadeforsikring NUF'!C9+KLP!C9+'KLP Skadeforsikring AS'!C9+'Landkreditt Forsikring'!C9+'Nordea Liv '!C9+'Oslo Pensjonsforsikring'!C9+'Protector Forsikring'!C9+'Sparebank 1 Fors.'!C9+'Storebrand Livsforsikring'!C9+'Telenor Forsikring'!C9+'Tryg Forsikring'!C9+'WaterCircles F'!C9+'Euro Accident'!C9+'Ly Forsikring'!C9+'Youplus Livsforsikring'!C9+'Oslo Forsikring'!C9+'Knif Trygghet Forsikring'!C9</f>
        <v>1081402.6934588372</v>
      </c>
      <c r="D9" s="132">
        <f t="shared" si="0"/>
        <v>-2.4</v>
      </c>
      <c r="E9" s="140"/>
      <c r="F9" s="140"/>
      <c r="G9" s="132"/>
      <c r="H9" s="141">
        <f t="shared" si="2"/>
        <v>1108381.9259172403</v>
      </c>
      <c r="I9" s="142">
        <f t="shared" si="3"/>
        <v>1081402.6934588372</v>
      </c>
      <c r="J9" s="127">
        <f t="shared" si="4"/>
        <v>-2.4</v>
      </c>
    </row>
    <row r="10" spans="1:13" s="35" customFormat="1" ht="15.75" customHeight="1" x14ac:dyDescent="0.25">
      <c r="A10" s="10" t="s">
        <v>171</v>
      </c>
      <c r="B10" s="183">
        <f>'Fremtind Livsforsikring'!B10+'DNB Livsforsikring'!B10+'Frende Livsforsikring'!B10+'Frende Skadeforsikring'!B10+'Gjensidige Forsikring'!B10+'Gjensidige Pensjon'!B10+'If Skadeforsikring NUF'!B10+KLP!B10+'KLP Skadeforsikring AS'!B10+'Landkreditt Forsikring'!B10+'Nordea Liv '!B10+'Oslo Pensjonsforsikring'!B10+'Protector Forsikring'!B10+'Sparebank 1 Fors.'!B10+'Storebrand Livsforsikring'!B10+'Telenor Forsikring'!B10+'Tryg Forsikring'!B10+'WaterCircles F'!B10+'Euro Accident'!B10+'Ly Forsikring'!B10+'Youplus Livsforsikring'!B10+'Oslo Forsikring'!B10+'Knif Trygghet Forsikring'!B10</f>
        <v>15310247.794006975</v>
      </c>
      <c r="C10" s="183">
        <f>'Fremtind Livsforsikring'!C10+'DNB Livsforsikring'!C10+'Frende Livsforsikring'!C10+'Frende Skadeforsikring'!C10+'Gjensidige Forsikring'!C10+'Gjensidige Pensjon'!C10+'If Skadeforsikring NUF'!C10+KLP!C10+'KLP Skadeforsikring AS'!C10+'Landkreditt Forsikring'!C10+'Nordea Liv '!C10+'Oslo Pensjonsforsikring'!C10+'Protector Forsikring'!C10+'Sparebank 1 Fors.'!C10+'Storebrand Livsforsikring'!C10+'Telenor Forsikring'!C10+'Tryg Forsikring'!C10+'WaterCircles F'!C10+'Euro Accident'!C10+'Ly Forsikring'!C10+'Youplus Livsforsikring'!C10+'Oslo Forsikring'!C10+'Knif Trygghet Forsikring'!C10</f>
        <v>15536778.070680737</v>
      </c>
      <c r="D10" s="119">
        <f t="shared" si="0"/>
        <v>1.5</v>
      </c>
      <c r="E10" s="183">
        <f>'Fremtind Livsforsikring'!F10+'DNB Livsforsikring'!F10+'Frende Livsforsikring'!F10+'Frende Skadeforsikring'!F10+'Gjensidige Forsikring'!F10+'Gjensidige Pensjon'!F10+'If Skadeforsikring NUF'!F10+KLP!F10+'KLP Skadeforsikring AS'!F10+'Landkreditt Forsikring'!F10+'Nordea Liv '!F10+'Oslo Pensjonsforsikring'!F10+'Protector Forsikring'!F10+'Sparebank 1 Fors.'!F10+'Storebrand Livsforsikring'!F10+'Telenor Forsikring'!F10+'Tryg Forsikring'!F10+'WaterCircles F'!F10+'Euro Accident'!F10+'Ly Forsikring'!F10+'Youplus Livsforsikring'!F10+'Oslo Forsikring'!F10+'Knif Trygghet Forsikring'!F10</f>
        <v>101754611.42249104</v>
      </c>
      <c r="F10" s="183">
        <f>'Fremtind Livsforsikring'!G10+'DNB Livsforsikring'!G10+'Frende Livsforsikring'!G10+'Frende Skadeforsikring'!G10+'Gjensidige Forsikring'!G10+'Gjensidige Pensjon'!G10+'If Skadeforsikring NUF'!G10+KLP!G10+'KLP Skadeforsikring AS'!G10+'Landkreditt Forsikring'!G10+'Nordea Liv '!G10+'Oslo Pensjonsforsikring'!G10+'Protector Forsikring'!G10+'Sparebank 1 Fors.'!G10+'Storebrand Livsforsikring'!G10+'Telenor Forsikring'!G10+'Tryg Forsikring'!G10+'WaterCircles F'!G10+'Euro Accident'!G10+'Ly Forsikring'!G10+'Youplus Livsforsikring'!G10+'Oslo Forsikring'!G10+'Knif Trygghet Forsikring'!G10</f>
        <v>108932409.11146501</v>
      </c>
      <c r="G10" s="119">
        <f t="shared" si="1"/>
        <v>7.1</v>
      </c>
      <c r="H10" s="224">
        <f t="shared" si="2"/>
        <v>117064859.21649802</v>
      </c>
      <c r="I10" s="225">
        <f t="shared" si="3"/>
        <v>124469187.18214574</v>
      </c>
      <c r="J10" s="127">
        <f t="shared" si="4"/>
        <v>6.3</v>
      </c>
    </row>
    <row r="11" spans="1:13" s="35" customFormat="1" ht="15.75" customHeight="1" x14ac:dyDescent="0.25">
      <c r="A11" s="10" t="s">
        <v>172</v>
      </c>
      <c r="B11" s="183">
        <f>'Fremtind Livsforsikring'!B11+'DNB Livsforsikring'!B11+'Frende Livsforsikring'!B11+'Frende Skadeforsikring'!B11+'Gjensidige Forsikring'!B11+'Gjensidige Pensjon'!B11+'If Skadeforsikring NUF'!B11+KLP!B11+'KLP Skadeforsikring AS'!B11+'Landkreditt Forsikring'!B11+'Nordea Liv '!B11+'Oslo Pensjonsforsikring'!B11+'Protector Forsikring'!B11+'Sparebank 1 Fors.'!B11+'Storebrand Livsforsikring'!B11+'Telenor Forsikring'!B11+'Tryg Forsikring'!B11+'WaterCircles F'!B11+'Euro Accident'!B11+'Ly Forsikring'!B11+'Youplus Livsforsikring'!B11+'Oslo Forsikring'!B11+'Knif Trygghet Forsikring'!B11</f>
        <v>1517</v>
      </c>
      <c r="C11" s="183">
        <f>'Fremtind Livsforsikring'!C11+'DNB Livsforsikring'!C11+'Frende Livsforsikring'!C11+'Frende Skadeforsikring'!C11+'Gjensidige Forsikring'!C11+'Gjensidige Pensjon'!C11+'If Skadeforsikring NUF'!C11+KLP!C11+'KLP Skadeforsikring AS'!C11+'Landkreditt Forsikring'!C11+'Nordea Liv '!C11+'Oslo Pensjonsforsikring'!C11+'Protector Forsikring'!C11+'Sparebank 1 Fors.'!C11+'Storebrand Livsforsikring'!C11+'Telenor Forsikring'!C11+'Tryg Forsikring'!C11+'WaterCircles F'!C11+'Euro Accident'!C11+'Ly Forsikring'!C11+'Youplus Livsforsikring'!C11+'Oslo Forsikring'!C11+'Knif Trygghet Forsikring'!C11</f>
        <v>333</v>
      </c>
      <c r="D11" s="127">
        <f t="shared" si="0"/>
        <v>-78</v>
      </c>
      <c r="E11" s="183">
        <f>'Fremtind Livsforsikring'!F11+'DNB Livsforsikring'!F11+'Frende Livsforsikring'!F11+'Frende Skadeforsikring'!F11+'Gjensidige Forsikring'!F11+'Gjensidige Pensjon'!F11+'If Skadeforsikring NUF'!F11+KLP!F11+'KLP Skadeforsikring AS'!F11+'Landkreditt Forsikring'!F11+'Nordea Liv '!F11+'Oslo Pensjonsforsikring'!F11+'Protector Forsikring'!F11+'Sparebank 1 Fors.'!F11+'Storebrand Livsforsikring'!F11+'Telenor Forsikring'!F11+'Tryg Forsikring'!F11+'WaterCircles F'!F11+'Euro Accident'!F11+'Ly Forsikring'!F11+'Youplus Livsforsikring'!F11+'Oslo Forsikring'!F11+'Knif Trygghet Forsikring'!F11</f>
        <v>395869.34132000001</v>
      </c>
      <c r="F11" s="183">
        <f>'Fremtind Livsforsikring'!G11+'DNB Livsforsikring'!G11+'Frende Livsforsikring'!G11+'Frende Skadeforsikring'!G11+'Gjensidige Forsikring'!G11+'Gjensidige Pensjon'!G11+'If Skadeforsikring NUF'!G11+KLP!G11+'KLP Skadeforsikring AS'!G11+'Landkreditt Forsikring'!G11+'Nordea Liv '!G11+'Oslo Pensjonsforsikring'!G11+'Protector Forsikring'!G11+'Sparebank 1 Fors.'!G11+'Storebrand Livsforsikring'!G11+'Telenor Forsikring'!G11+'Tryg Forsikring'!G11+'WaterCircles F'!G11+'Euro Accident'!G11+'Ly Forsikring'!G11+'Youplus Livsforsikring'!G11+'Oslo Forsikring'!G11+'Knif Trygghet Forsikring'!G11</f>
        <v>649680.58482999995</v>
      </c>
      <c r="G11" s="127">
        <f t="shared" si="1"/>
        <v>64.099999999999994</v>
      </c>
      <c r="H11" s="224">
        <f t="shared" si="2"/>
        <v>397386.34132000001</v>
      </c>
      <c r="I11" s="225">
        <f t="shared" si="3"/>
        <v>650013.58482999995</v>
      </c>
      <c r="J11" s="127">
        <f t="shared" si="4"/>
        <v>63.6</v>
      </c>
    </row>
    <row r="12" spans="1:13" s="35" customFormat="1" ht="15.75" customHeight="1" x14ac:dyDescent="0.25">
      <c r="A12" s="33" t="s">
        <v>173</v>
      </c>
      <c r="B12" s="223">
        <f>'Fremtind Livsforsikring'!B12+'DNB Livsforsikring'!B12+'Frende Livsforsikring'!B12+'Frende Skadeforsikring'!B12+'Gjensidige Forsikring'!B12+'Gjensidige Pensjon'!B12+'If Skadeforsikring NUF'!B12+KLP!B12+'KLP Skadeforsikring AS'!B12+'Landkreditt Forsikring'!B12+'Nordea Liv '!B12+'Oslo Pensjonsforsikring'!B12+'Protector Forsikring'!B12+'Sparebank 1 Fors.'!B12+'Storebrand Livsforsikring'!B12+'Telenor Forsikring'!B12+'Tryg Forsikring'!B12+'WaterCircles F'!B12+'Euro Accident'!B12+'Ly Forsikring'!B12+'Youplus Livsforsikring'!B12+'Oslo Forsikring'!B12+'Knif Trygghet Forsikring'!B12</f>
        <v>1579</v>
      </c>
      <c r="C12" s="223">
        <f>'Fremtind Livsforsikring'!C12+'DNB Livsforsikring'!C12+'Frende Livsforsikring'!C12+'Frende Skadeforsikring'!C12+'Gjensidige Forsikring'!C12+'Gjensidige Pensjon'!C12+'If Skadeforsikring NUF'!C12+KLP!C12+'KLP Skadeforsikring AS'!C12+'Landkreditt Forsikring'!C12+'Nordea Liv '!C12+'Oslo Pensjonsforsikring'!C12+'Protector Forsikring'!C12+'Sparebank 1 Fors.'!C12+'Storebrand Livsforsikring'!C12+'Telenor Forsikring'!C12+'Tryg Forsikring'!C12+'WaterCircles F'!C12+'Euro Accident'!C12+'Ly Forsikring'!C12+'Youplus Livsforsikring'!C12+'Oslo Forsikring'!C12+'Knif Trygghet Forsikring'!C12</f>
        <v>342</v>
      </c>
      <c r="D12" s="126">
        <f t="shared" si="0"/>
        <v>-78.3</v>
      </c>
      <c r="E12" s="223">
        <f>'Fremtind Livsforsikring'!F12+'DNB Livsforsikring'!F12+'Frende Livsforsikring'!F12+'Frende Skadeforsikring'!F12+'Gjensidige Forsikring'!F12+'Gjensidige Pensjon'!F12+'If Skadeforsikring NUF'!F12+KLP!F12+'KLP Skadeforsikring AS'!F12+'Landkreditt Forsikring'!F12+'Nordea Liv '!F12+'Oslo Pensjonsforsikring'!F12+'Protector Forsikring'!F12+'Sparebank 1 Fors.'!F12+'Storebrand Livsforsikring'!F12+'Telenor Forsikring'!F12+'Tryg Forsikring'!F12+'WaterCircles F'!F12+'Euro Accident'!F12+'Ly Forsikring'!F12+'Youplus Livsforsikring'!F12+'Oslo Forsikring'!F12+'Knif Trygghet Forsikring'!F12</f>
        <v>390172.69474999997</v>
      </c>
      <c r="F12" s="223">
        <f>'Fremtind Livsforsikring'!G12+'DNB Livsforsikring'!G12+'Frende Livsforsikring'!G12+'Frende Skadeforsikring'!G12+'Gjensidige Forsikring'!G12+'Gjensidige Pensjon'!G12+'If Skadeforsikring NUF'!G12+KLP!G12+'KLP Skadeforsikring AS'!G12+'Landkreditt Forsikring'!G12+'Nordea Liv '!G12+'Oslo Pensjonsforsikring'!G12+'Protector Forsikring'!G12+'Sparebank 1 Fors.'!G12+'Storebrand Livsforsikring'!G12+'Telenor Forsikring'!G12+'Tryg Forsikring'!G12+'WaterCircles F'!G12+'Euro Accident'!G12+'Ly Forsikring'!G12+'Youplus Livsforsikring'!G12+'Oslo Forsikring'!G12+'Knif Trygghet Forsikring'!G12</f>
        <v>639207.28365</v>
      </c>
      <c r="G12" s="125">
        <f t="shared" si="1"/>
        <v>63.8</v>
      </c>
      <c r="H12" s="226">
        <f t="shared" si="2"/>
        <v>391751.69474999997</v>
      </c>
      <c r="I12" s="227">
        <f t="shared" si="3"/>
        <v>639549.28365</v>
      </c>
      <c r="J12" s="125">
        <f t="shared" si="4"/>
        <v>63.3</v>
      </c>
    </row>
    <row r="13" spans="1:13" s="35" customFormat="1" ht="15.75" customHeight="1" x14ac:dyDescent="0.25">
      <c r="A13" s="107"/>
      <c r="B13" s="29"/>
      <c r="C13" s="3"/>
      <c r="D13" s="26"/>
      <c r="E13" s="29"/>
      <c r="F13" s="3"/>
      <c r="G13" s="26"/>
      <c r="H13" s="38"/>
      <c r="I13" s="38"/>
      <c r="J13" s="26"/>
    </row>
    <row r="14" spans="1:13" ht="15.75" customHeight="1" x14ac:dyDescent="0.25">
      <c r="A14" s="114" t="s">
        <v>174</v>
      </c>
    </row>
    <row r="15" spans="1:13" ht="15.75" customHeight="1" x14ac:dyDescent="0.25">
      <c r="A15" s="22"/>
    </row>
    <row r="16" spans="1:13" ht="15.75" customHeight="1" x14ac:dyDescent="0.3">
      <c r="A16" s="115"/>
      <c r="C16" s="24"/>
      <c r="D16" s="24"/>
      <c r="E16" s="24"/>
      <c r="F16" s="24"/>
      <c r="G16" s="24"/>
      <c r="H16" s="24"/>
      <c r="I16" s="24"/>
      <c r="J16" s="24"/>
    </row>
    <row r="17" spans="1:10" ht="15.75" customHeight="1" x14ac:dyDescent="0.3">
      <c r="A17" s="110" t="s">
        <v>175</v>
      </c>
      <c r="B17" s="24"/>
      <c r="C17" s="24"/>
      <c r="D17" s="25"/>
      <c r="E17" s="24"/>
      <c r="F17" s="24"/>
      <c r="G17" s="24"/>
      <c r="H17" s="24"/>
      <c r="I17" s="24"/>
      <c r="J17" s="24"/>
    </row>
    <row r="18" spans="1:10" ht="15.75" customHeight="1" x14ac:dyDescent="0.3">
      <c r="A18" s="22"/>
      <c r="B18" s="774"/>
      <c r="C18" s="774"/>
      <c r="D18" s="774"/>
      <c r="E18" s="774"/>
      <c r="F18" s="774"/>
      <c r="G18" s="774"/>
      <c r="H18" s="774"/>
      <c r="I18" s="774"/>
      <c r="J18" s="774"/>
    </row>
    <row r="19" spans="1:10" ht="15.75" customHeight="1" x14ac:dyDescent="0.25">
      <c r="A19" s="108"/>
      <c r="B19" s="771" t="s">
        <v>46</v>
      </c>
      <c r="C19" s="772"/>
      <c r="D19" s="772"/>
      <c r="E19" s="771" t="s">
        <v>70</v>
      </c>
      <c r="F19" s="772"/>
      <c r="G19" s="773"/>
      <c r="H19" s="772" t="s">
        <v>121</v>
      </c>
      <c r="I19" s="772"/>
      <c r="J19" s="773"/>
    </row>
    <row r="20" spans="1:10" ht="15.75" customHeight="1" x14ac:dyDescent="0.25">
      <c r="A20" s="105" t="s">
        <v>176</v>
      </c>
      <c r="B20" s="17" t="s">
        <v>491</v>
      </c>
      <c r="C20" s="17" t="s">
        <v>492</v>
      </c>
      <c r="D20" s="198" t="s">
        <v>166</v>
      </c>
      <c r="E20" s="17" t="s">
        <v>491</v>
      </c>
      <c r="F20" s="17" t="s">
        <v>492</v>
      </c>
      <c r="G20" s="198" t="s">
        <v>166</v>
      </c>
      <c r="H20" s="17" t="s">
        <v>491</v>
      </c>
      <c r="I20" s="17" t="s">
        <v>492</v>
      </c>
      <c r="J20" s="198" t="s">
        <v>166</v>
      </c>
    </row>
    <row r="21" spans="1:10" ht="15.75" customHeight="1" x14ac:dyDescent="0.25">
      <c r="A21" s="737"/>
      <c r="B21" s="12"/>
      <c r="C21" s="12"/>
      <c r="D21" s="14" t="s">
        <v>167</v>
      </c>
      <c r="E21" s="13"/>
      <c r="F21" s="13"/>
      <c r="G21" s="12" t="s">
        <v>167</v>
      </c>
      <c r="H21" s="13"/>
      <c r="I21" s="13"/>
      <c r="J21" s="12" t="s">
        <v>167</v>
      </c>
    </row>
    <row r="22" spans="1:10" s="35" customFormat="1" ht="15.75" customHeight="1" x14ac:dyDescent="0.25">
      <c r="A22" s="11" t="s">
        <v>168</v>
      </c>
      <c r="B22" s="183">
        <f>'Fremtind Livsforsikring'!B22+'DNB Livsforsikring'!B22+'Frende Livsforsikring'!B22+'Frende Skadeforsikring'!B22+'Gjensidige Forsikring'!B22+'Gjensidige Pensjon'!B22+'If Skadeforsikring NUF'!B22+KLP!B22+'KLP Skadeforsikring AS'!B22+'Landkreditt Forsikring'!B22+'Nordea Liv '!B22+'Oslo Pensjonsforsikring'!B22+'Protector Forsikring'!B22+'Sparebank 1 Fors.'!B22+'Storebrand Livsforsikring'!B22+'Telenor Forsikring'!B22+'Tryg Forsikring'!B22+'WaterCircles F'!B22+'Euro Accident'!B22+'Ly Forsikring'!B22+'Youplus Livsforsikring'!B22+'Oslo Forsikring'!B22+'Knif Trygghet Forsikring'!B22</f>
        <v>2435385.2719447161</v>
      </c>
      <c r="C22" s="183">
        <f>'Fremtind Livsforsikring'!C22+'DNB Livsforsikring'!C22+'Frende Livsforsikring'!C22+'Frende Skadeforsikring'!C22+'Gjensidige Forsikring'!C22+'Gjensidige Pensjon'!C22+'If Skadeforsikring NUF'!C22+KLP!C22+'KLP Skadeforsikring AS'!C22+'Landkreditt Forsikring'!C22+'Nordea Liv '!C22+'Oslo Pensjonsforsikring'!C22+'Protector Forsikring'!C22+'Sparebank 1 Fors.'!C22+'Storebrand Livsforsikring'!C22+'Telenor Forsikring'!C22+'Tryg Forsikring'!C22+'WaterCircles F'!C22+'Euro Accident'!C22+'Ly Forsikring'!C22+'Youplus Livsforsikring'!C22+'Oslo Forsikring'!C22+'Knif Trygghet Forsikring'!C22</f>
        <v>2686815.6970883561</v>
      </c>
      <c r="D22" s="8">
        <f t="shared" ref="D22:D37" si="5">IF(B22=0, "    ---- ", IF(ABS(ROUND(100/B22*C22-100,1))&lt;999,ROUND(100/B22*C22-100,1),IF(ROUND(100/B22*C22-100,1)&gt;999,999,-999)))</f>
        <v>10.3</v>
      </c>
      <c r="E22" s="183">
        <f>'Fremtind Livsforsikring'!F22+'DNB Livsforsikring'!F22+'Frende Livsforsikring'!F22+'Frende Skadeforsikring'!F22+'Gjensidige Forsikring'!F22+'Gjensidige Pensjon'!F22+'If Skadeforsikring NUF'!F22+KLP!F22+'KLP Skadeforsikring AS'!F22+'Landkreditt Forsikring'!F22+'Nordea Liv '!F22+'Oslo Pensjonsforsikring'!F22+'Protector Forsikring'!F22+'Sparebank 1 Fors.'!F22+'Storebrand Livsforsikring'!F22+'Telenor Forsikring'!F22+'Tryg Forsikring'!F22+'WaterCircles F'!F22+'Euro Accident'!F22+'Ly Forsikring'!F22+'Youplus Livsforsikring'!F22+'Oslo Forsikring'!F22+'Knif Trygghet Forsikring'!F22</f>
        <v>1020142.8224500001</v>
      </c>
      <c r="F22" s="183">
        <f>'Fremtind Livsforsikring'!G22+'DNB Livsforsikring'!G22+'Frende Livsforsikring'!G22+'Frende Skadeforsikring'!G22+'Gjensidige Forsikring'!G22+'Gjensidige Pensjon'!G22+'If Skadeforsikring NUF'!G22+KLP!G22+'KLP Skadeforsikring AS'!G22+'Landkreditt Forsikring'!G22+'Nordea Liv '!G22+'Oslo Pensjonsforsikring'!G22+'Protector Forsikring'!G22+'Sparebank 1 Fors.'!G22+'Storebrand Livsforsikring'!G22+'Telenor Forsikring'!G22+'Tryg Forsikring'!G22+'WaterCircles F'!G22+'Euro Accident'!G22+'Ly Forsikring'!G22+'Youplus Livsforsikring'!G22+'Oslo Forsikring'!G22+'Knif Trygghet Forsikring'!G22</f>
        <v>1176475.9043899998</v>
      </c>
      <c r="G22" s="288">
        <f t="shared" ref="G22:G35" si="6">IF(E22=0, "    ---- ", IF(ABS(ROUND(100/E22*F22-100,1))&lt;999,ROUND(100/E22*F22-100,1),IF(ROUND(100/E22*F22-100,1)&gt;999,999,-999)))</f>
        <v>15.3</v>
      </c>
      <c r="H22" s="253">
        <f>SUM(B22,E22)</f>
        <v>3455528.0943947164</v>
      </c>
      <c r="I22" s="183">
        <f t="shared" ref="I22:I37" si="7">SUM(C22,F22)</f>
        <v>3863291.6014783559</v>
      </c>
      <c r="J22" s="21">
        <f t="shared" ref="J22:J37" si="8">IF(H22=0, "    ---- ", IF(ABS(ROUND(100/H22*I22-100,1))&lt;999,ROUND(100/H22*I22-100,1),IF(ROUND(100/H22*I22-100,1)&gt;999,999,-999)))</f>
        <v>11.8</v>
      </c>
    </row>
    <row r="23" spans="1:10" ht="15.75" customHeight="1" x14ac:dyDescent="0.25">
      <c r="A23" s="390" t="s">
        <v>177</v>
      </c>
      <c r="B23" s="36">
        <f>'Fremtind Livsforsikring'!B23+'DNB Livsforsikring'!B23+'Frende Livsforsikring'!B23+'Frende Skadeforsikring'!B23+'Gjensidige Forsikring'!B23+'Gjensidige Pensjon'!B23+'If Skadeforsikring NUF'!B23+KLP!B23+'KLP Skadeforsikring AS'!B23+'Landkreditt Forsikring'!B23+'Nordea Liv '!B23+'Oslo Pensjonsforsikring'!B23+'Protector Forsikring'!B23+'Sparebank 1 Fors.'!B23+'Storebrand Livsforsikring'!B23+'Telenor Forsikring'!B23+'Tryg Forsikring'!B23+'WaterCircles F'!B23+'Euro Accident'!B23+'Ly Forsikring'!B23+'Youplus Livsforsikring'!B23+'Oslo Forsikring'!B23+'Knif Trygghet Forsikring'!B23</f>
        <v>1446553.2543885547</v>
      </c>
      <c r="C23" s="36">
        <f>'Fremtind Livsforsikring'!C23+'DNB Livsforsikring'!C23+'Frende Livsforsikring'!C23+'Frende Skadeforsikring'!C23+'Gjensidige Forsikring'!C23+'Gjensidige Pensjon'!C23+'If Skadeforsikring NUF'!C23+KLP!C23+'KLP Skadeforsikring AS'!C23+'Landkreditt Forsikring'!C23+'Nordea Liv '!C23+'Oslo Pensjonsforsikring'!C23+'Protector Forsikring'!C23+'Sparebank 1 Fors.'!C23+'Storebrand Livsforsikring'!C23+'Telenor Forsikring'!C23+'Tryg Forsikring'!C23+'WaterCircles F'!C23+'Euro Accident'!C23+'Ly Forsikring'!C23+'Youplus Livsforsikring'!C23+'Oslo Forsikring'!C23+'Knif Trygghet Forsikring'!C23</f>
        <v>1620307.9259280269</v>
      </c>
      <c r="D23" s="23">
        <f>IF($A$1=4,IF(B23=0, "    ---- ", IF(ABS(ROUND(100/B23*C23-100,1))&lt;999,ROUND(100/B23*C23-100,1),IF(ROUND(100/B23*C23-100,1)&gt;999,999,-999))),"")</f>
        <v>12</v>
      </c>
      <c r="E23" s="36">
        <f>'Fremtind Livsforsikring'!F23+'DNB Livsforsikring'!F23+'Frende Livsforsikring'!F23+'Frende Skadeforsikring'!F23+'Gjensidige Forsikring'!F23+'Gjensidige Pensjon'!F23+'If Skadeforsikring NUF'!F23+KLP!F23+'KLP Skadeforsikring AS'!F23+'Landkreditt Forsikring'!F23+'Nordea Liv '!F23+'Oslo Pensjonsforsikring'!F23+'Protector Forsikring'!F23+'Sparebank 1 Fors.'!F23+'Storebrand Livsforsikring'!F23+'Telenor Forsikring'!F23+'Tryg Forsikring'!F23+'WaterCircles F'!F23+'Euro Accident'!F23+'Ly Forsikring'!F23+'Youplus Livsforsikring'!F23+'Oslo Forsikring'!F23+'Knif Trygghet Forsikring'!F23</f>
        <v>47774.241179999997</v>
      </c>
      <c r="F23" s="36">
        <f>'Fremtind Livsforsikring'!G23+'DNB Livsforsikring'!G23+'Frende Livsforsikring'!G23+'Frende Skadeforsikring'!G23+'Gjensidige Forsikring'!G23+'Gjensidige Pensjon'!G23+'If Skadeforsikring NUF'!G23+KLP!G23+'KLP Skadeforsikring AS'!G23+'Landkreditt Forsikring'!G23+'Nordea Liv '!G23+'Oslo Pensjonsforsikring'!G23+'Protector Forsikring'!G23+'Sparebank 1 Fors.'!G23+'Storebrand Livsforsikring'!G23+'Telenor Forsikring'!G23+'Tryg Forsikring'!G23+'WaterCircles F'!G23+'Euro Accident'!G23+'Ly Forsikring'!G23+'Youplus Livsforsikring'!G23+'Oslo Forsikring'!G23+'Knif Trygghet Forsikring'!G23</f>
        <v>45207.3174</v>
      </c>
      <c r="G23" s="123">
        <f>IF($A$1=4,IF(E23=0, "    ---- ", IF(ABS(ROUND(100/E23*F23-100,1))&lt;999,ROUND(100/E23*F23-100,1),IF(ROUND(100/E23*F23-100,1)&gt;999,999,-999))),"")</f>
        <v>-5.4</v>
      </c>
      <c r="H23" s="181">
        <f t="shared" ref="H23:H37" si="9">SUM(B23,E23)</f>
        <v>1494327.4955685546</v>
      </c>
      <c r="I23" s="36">
        <f t="shared" si="7"/>
        <v>1665515.243328027</v>
      </c>
      <c r="J23" s="20">
        <f t="shared" si="8"/>
        <v>11.5</v>
      </c>
    </row>
    <row r="24" spans="1:10" ht="15.75" customHeight="1" x14ac:dyDescent="0.25">
      <c r="A24" s="390" t="s">
        <v>178</v>
      </c>
      <c r="B24" s="36">
        <f>'Fremtind Livsforsikring'!B24+'DNB Livsforsikring'!B24+'Frende Livsforsikring'!B24+'Frende Skadeforsikring'!B24+'Gjensidige Forsikring'!B24+'Gjensidige Pensjon'!B24+'If Skadeforsikring NUF'!B24+KLP!B24+'KLP Skadeforsikring AS'!B24+'Landkreditt Forsikring'!B24+'Nordea Liv '!B24+'Oslo Pensjonsforsikring'!B24+'Protector Forsikring'!B24+'Sparebank 1 Fors.'!B24+'Storebrand Livsforsikring'!B24+'Telenor Forsikring'!B24+'Tryg Forsikring'!B24+'WaterCircles F'!B24+'Euro Accident'!B24+'Ly Forsikring'!B24+'Youplus Livsforsikring'!B24+'Oslo Forsikring'!B24+'Knif Trygghet Forsikring'!B24</f>
        <v>11911.987466161359</v>
      </c>
      <c r="C24" s="36">
        <f>'Fremtind Livsforsikring'!C24+'DNB Livsforsikring'!C24+'Frende Livsforsikring'!C24+'Frende Skadeforsikring'!C24+'Gjensidige Forsikring'!C24+'Gjensidige Pensjon'!C24+'If Skadeforsikring NUF'!C24+KLP!C24+'KLP Skadeforsikring AS'!C24+'Landkreditt Forsikring'!C24+'Nordea Liv '!C24+'Oslo Pensjonsforsikring'!C24+'Protector Forsikring'!C24+'Sparebank 1 Fors.'!C24+'Storebrand Livsforsikring'!C24+'Telenor Forsikring'!C24+'Tryg Forsikring'!C24+'WaterCircles F'!C24+'Euro Accident'!C24+'Ly Forsikring'!C24+'Youplus Livsforsikring'!C24+'Oslo Forsikring'!C24+'Knif Trygghet Forsikring'!C24</f>
        <v>12700.41944396401</v>
      </c>
      <c r="D24" s="23">
        <f t="shared" ref="D24:D25" si="10">IF($A$1=4,IF(B24=0, "    ---- ", IF(ABS(ROUND(100/B24*C24-100,1))&lt;999,ROUND(100/B24*C24-100,1),IF(ROUND(100/B24*C24-100,1)&gt;999,999,-999))),"")</f>
        <v>6.6</v>
      </c>
      <c r="E24" s="36">
        <f>'Fremtind Livsforsikring'!F24+'DNB Livsforsikring'!F24+'Frende Livsforsikring'!F24+'Frende Skadeforsikring'!F24+'Gjensidige Forsikring'!F24+'Gjensidige Pensjon'!F24+'If Skadeforsikring NUF'!F24+KLP!F24+'KLP Skadeforsikring AS'!F24+'Landkreditt Forsikring'!F24+'Nordea Liv '!F24+'Oslo Pensjonsforsikring'!F24+'Protector Forsikring'!F24+'Sparebank 1 Fors.'!F24+'Storebrand Livsforsikring'!F24+'Telenor Forsikring'!F24+'Tryg Forsikring'!F24+'WaterCircles F'!F24+'Euro Accident'!F24+'Ly Forsikring'!F24+'Youplus Livsforsikring'!F24+'Oslo Forsikring'!F24+'Knif Trygghet Forsikring'!F24</f>
        <v>1007.2309299999999</v>
      </c>
      <c r="F24" s="36">
        <f>'Fremtind Livsforsikring'!G24+'DNB Livsforsikring'!G24+'Frende Livsforsikring'!G24+'Frende Skadeforsikring'!G24+'Gjensidige Forsikring'!G24+'Gjensidige Pensjon'!G24+'If Skadeforsikring NUF'!G24+KLP!G24+'KLP Skadeforsikring AS'!G24+'Landkreditt Forsikring'!G24+'Nordea Liv '!G24+'Oslo Pensjonsforsikring'!G24+'Protector Forsikring'!G24+'Sparebank 1 Fors.'!G24+'Storebrand Livsforsikring'!G24+'Telenor Forsikring'!G24+'Tryg Forsikring'!G24+'WaterCircles F'!G24+'Euro Accident'!G24+'Ly Forsikring'!G24+'Youplus Livsforsikring'!G24+'Oslo Forsikring'!G24+'Knif Trygghet Forsikring'!G24</f>
        <v>609.65560000000005</v>
      </c>
      <c r="G24" s="123">
        <f t="shared" ref="G24:G25" si="11">IF($A$1=4,IF(E24=0, "    ---- ", IF(ABS(ROUND(100/E24*F24-100,1))&lt;999,ROUND(100/E24*F24-100,1),IF(ROUND(100/E24*F24-100,1)&gt;999,999,-999))),"")</f>
        <v>-39.5</v>
      </c>
      <c r="H24" s="181">
        <f t="shared" si="9"/>
        <v>12919.218396161359</v>
      </c>
      <c r="I24" s="36">
        <f t="shared" si="7"/>
        <v>13310.075043964011</v>
      </c>
      <c r="J24" s="8">
        <f t="shared" si="8"/>
        <v>3</v>
      </c>
    </row>
    <row r="25" spans="1:10" ht="15.75" customHeight="1" x14ac:dyDescent="0.25">
      <c r="A25" s="390" t="s">
        <v>179</v>
      </c>
      <c r="B25" s="36">
        <f>'Fremtind Livsforsikring'!B25+'DNB Livsforsikring'!B25+'Frende Livsforsikring'!B25+'Frende Skadeforsikring'!B25+'Gjensidige Forsikring'!B25+'Gjensidige Pensjon'!B25+'If Skadeforsikring NUF'!B25+KLP!B25+'KLP Skadeforsikring AS'!B25+'Landkreditt Forsikring'!B25+'Nordea Liv '!B25+'Oslo Pensjonsforsikring'!B25+'Protector Forsikring'!B25+'Sparebank 1 Fors.'!B25+'Storebrand Livsforsikring'!B25+'Telenor Forsikring'!B25+'Tryg Forsikring'!B25+'WaterCircles F'!B25+'Euro Accident'!B25+'Ly Forsikring'!B25+'Youplus Livsforsikring'!B25+'Oslo Forsikring'!B25+'Knif Trygghet Forsikring'!B25</f>
        <v>20754</v>
      </c>
      <c r="C25" s="36">
        <f>'Fremtind Livsforsikring'!C25+'DNB Livsforsikring'!C25+'Frende Livsforsikring'!C25+'Frende Skadeforsikring'!C25+'Gjensidige Forsikring'!C25+'Gjensidige Pensjon'!C25+'If Skadeforsikring NUF'!C25+KLP!C25+'KLP Skadeforsikring AS'!C25+'Landkreditt Forsikring'!C25+'Nordea Liv '!C25+'Oslo Pensjonsforsikring'!C25+'Protector Forsikring'!C25+'Sparebank 1 Fors.'!C25+'Storebrand Livsforsikring'!C25+'Telenor Forsikring'!C25+'Tryg Forsikring'!C25+'WaterCircles F'!C25+'Euro Accident'!C25+'Ly Forsikring'!C25+'Youplus Livsforsikring'!C25+'Oslo Forsikring'!C25+'Knif Trygghet Forsikring'!C25</f>
        <v>19139.2336063652</v>
      </c>
      <c r="D25" s="23">
        <f t="shared" si="10"/>
        <v>-7.8</v>
      </c>
      <c r="E25" s="36">
        <f>'Fremtind Livsforsikring'!F25+'DNB Livsforsikring'!F25+'Frende Livsforsikring'!F25+'Frende Skadeforsikring'!F25+'Gjensidige Forsikring'!F25+'Gjensidige Pensjon'!F25+'If Skadeforsikring NUF'!F25+KLP!F25+'KLP Skadeforsikring AS'!F25+'Landkreditt Forsikring'!F25+'Nordea Liv '!F25+'Oslo Pensjonsforsikring'!F25+'Protector Forsikring'!F25+'Sparebank 1 Fors.'!F25+'Storebrand Livsforsikring'!F25+'Telenor Forsikring'!F25+'Tryg Forsikring'!F25+'WaterCircles F'!F25+'Euro Accident'!F25+'Ly Forsikring'!F25+'Youplus Livsforsikring'!F25+'Oslo Forsikring'!F25+'Knif Trygghet Forsikring'!F25</f>
        <v>14984.607199999999</v>
      </c>
      <c r="F25" s="36">
        <f>'Fremtind Livsforsikring'!G25+'DNB Livsforsikring'!G25+'Frende Livsforsikring'!G25+'Frende Skadeforsikring'!G25+'Gjensidige Forsikring'!G25+'Gjensidige Pensjon'!G25+'If Skadeforsikring NUF'!G25+KLP!G25+'KLP Skadeforsikring AS'!G25+'Landkreditt Forsikring'!G25+'Nordea Liv '!G25+'Oslo Pensjonsforsikring'!G25+'Protector Forsikring'!G25+'Sparebank 1 Fors.'!G25+'Storebrand Livsforsikring'!G25+'Telenor Forsikring'!G25+'Tryg Forsikring'!G25+'WaterCircles F'!G25+'Euro Accident'!G25+'Ly Forsikring'!G25+'Youplus Livsforsikring'!G25+'Oslo Forsikring'!G25+'Knif Trygghet Forsikring'!G25</f>
        <v>15064.965920000001</v>
      </c>
      <c r="G25" s="123">
        <f t="shared" si="11"/>
        <v>0.5</v>
      </c>
      <c r="H25" s="181">
        <f t="shared" si="9"/>
        <v>35738.607199999999</v>
      </c>
      <c r="I25" s="36">
        <f>SUM(C25,F25)</f>
        <v>34204.199526365199</v>
      </c>
      <c r="J25" s="23">
        <f t="shared" si="8"/>
        <v>-4.3</v>
      </c>
    </row>
    <row r="26" spans="1:10" ht="15.75" customHeight="1" x14ac:dyDescent="0.25">
      <c r="A26" s="390" t="s">
        <v>180</v>
      </c>
      <c r="B26" s="36">
        <f>'Fremtind Livsforsikring'!B26+'DNB Livsforsikring'!B26+'Frende Livsforsikring'!B26+'Frende Skadeforsikring'!B26+'Gjensidige Forsikring'!B26+'Gjensidige Pensjon'!B26+'If Skadeforsikring NUF'!B26+KLP!B26+'KLP Skadeforsikring AS'!B26+'Landkreditt Forsikring'!B26+'Nordea Liv '!B26+'Oslo Pensjonsforsikring'!B26+'Protector Forsikring'!B26+'Sparebank 1 Fors.'!B26+'Storebrand Livsforsikring'!B26+'Telenor Forsikring'!B26+'Tryg Forsikring'!B26+'WaterCircles F'!B26+'Euro Accident'!B26+'Ly Forsikring'!B26+'Youplus Livsforsikring'!B26+'Oslo Forsikring'!B26+'Knif Trygghet Forsikring'!B26</f>
        <v>0</v>
      </c>
      <c r="C26" s="36">
        <f>'Fremtind Livsforsikring'!C26+'DNB Livsforsikring'!C26+'Frende Livsforsikring'!C26+'Frende Skadeforsikring'!C26+'Gjensidige Forsikring'!C26+'Gjensidige Pensjon'!C26+'If Skadeforsikring NUF'!C26+KLP!C26+'KLP Skadeforsikring AS'!C26+'Landkreditt Forsikring'!C26+'Nordea Liv '!C26+'Oslo Pensjonsforsikring'!C26+'Protector Forsikring'!C26+'Sparebank 1 Fors.'!C26+'Storebrand Livsforsikring'!C26+'Telenor Forsikring'!C26+'Tryg Forsikring'!C26+'WaterCircles F'!C26+'Euro Accident'!C26+'Ly Forsikring'!C26+'Youplus Livsforsikring'!C26+'Oslo Forsikring'!C26+'Knif Trygghet Forsikring'!C26</f>
        <v>0</v>
      </c>
      <c r="D26" s="23"/>
      <c r="E26" s="36">
        <f>'Fremtind Livsforsikring'!F26+'DNB Livsforsikring'!F26+'Frende Livsforsikring'!F26+'Frende Skadeforsikring'!F26+'Gjensidige Forsikring'!F26+'Gjensidige Pensjon'!F26+'If Skadeforsikring NUF'!F26+KLP!F26+'KLP Skadeforsikring AS'!F26+'Landkreditt Forsikring'!F26+'Nordea Liv '!F26+'Oslo Pensjonsforsikring'!F26+'Protector Forsikring'!F26+'Sparebank 1 Fors.'!F26+'Storebrand Livsforsikring'!F26+'Telenor Forsikring'!F26+'Tryg Forsikring'!F26+'WaterCircles F'!F26+'Euro Accident'!F26+'Ly Forsikring'!F26+'Youplus Livsforsikring'!F26+'Oslo Forsikring'!F26+'Knif Trygghet Forsikring'!F26</f>
        <v>956376.74314000015</v>
      </c>
      <c r="F26" s="36">
        <f>'Fremtind Livsforsikring'!G26+'DNB Livsforsikring'!G26+'Frende Livsforsikring'!G26+'Frende Skadeforsikring'!G26+'Gjensidige Forsikring'!G26+'Gjensidige Pensjon'!G26+'If Skadeforsikring NUF'!G26+KLP!G26+'KLP Skadeforsikring AS'!G26+'Landkreditt Forsikring'!G26+'Nordea Liv '!G26+'Oslo Pensjonsforsikring'!G26+'Protector Forsikring'!G26+'Sparebank 1 Fors.'!G26+'Storebrand Livsforsikring'!G26+'Telenor Forsikring'!G26+'Tryg Forsikring'!G26+'WaterCircles F'!G26+'Euro Accident'!G26+'Ly Forsikring'!G26+'Youplus Livsforsikring'!G26+'Oslo Forsikring'!G26+'Knif Trygghet Forsikring'!G26</f>
        <v>1115593.9654700002</v>
      </c>
      <c r="G26" s="123">
        <f t="shared" ref="G26" si="12">IF($A$1=4,IF(E26=0, "    ---- ", IF(ABS(ROUND(100/E26*F26-100,1))&lt;999,ROUND(100/E26*F26-100,1),IF(ROUND(100/E26*F26-100,1)&gt;999,999,-999))),"")</f>
        <v>16.600000000000001</v>
      </c>
      <c r="H26" s="181">
        <f t="shared" ref="H26" si="13">SUM(B26,E26)</f>
        <v>956376.74314000015</v>
      </c>
      <c r="I26" s="36">
        <f t="shared" ref="I26" si="14">SUM(C26,F26)</f>
        <v>1115593.9654700002</v>
      </c>
      <c r="J26" s="23">
        <f t="shared" ref="J26" si="15">IF(H26=0, "    ---- ", IF(ABS(ROUND(100/H26*I26-100,1))&lt;999,ROUND(100/H26*I26-100,1),IF(ROUND(100/H26*I26-100,1)&gt;999,999,-999)))</f>
        <v>16.600000000000001</v>
      </c>
    </row>
    <row r="27" spans="1:10" ht="15.75" customHeight="1" x14ac:dyDescent="0.25">
      <c r="A27" s="389" t="s">
        <v>181</v>
      </c>
      <c r="B27" s="36">
        <f>'Fremtind Livsforsikring'!B27+'DNB Livsforsikring'!B27+'Frende Livsforsikring'!B27+'Frende Skadeforsikring'!B27+'Gjensidige Forsikring'!B27+'Gjensidige Pensjon'!B27+'If Skadeforsikring NUF'!B27+KLP!B27+'KLP Skadeforsikring AS'!B27+'Landkreditt Forsikring'!B27+'Nordea Liv '!B27+'Oslo Pensjonsforsikring'!B27+'Protector Forsikring'!B27+'Sparebank 1 Fors.'!B27+'Storebrand Livsforsikring'!B27+'Telenor Forsikring'!B27+'Tryg Forsikring'!B27+'WaterCircles F'!B27+'Euro Accident'!B27+'Ly Forsikring'!B27+'Youplus Livsforsikring'!B27+'Oslo Forsikring'!B27+'Knif Trygghet Forsikring'!B27</f>
        <v>0</v>
      </c>
      <c r="C27" s="36">
        <f>'Fremtind Livsforsikring'!C27+'DNB Livsforsikring'!C27+'Frende Livsforsikring'!C27+'Frende Skadeforsikring'!C27+'Gjensidige Forsikring'!C27+'Gjensidige Pensjon'!C27+'If Skadeforsikring NUF'!C27+KLP!C27+'KLP Skadeforsikring AS'!C27+'Landkreditt Forsikring'!C27+'Nordea Liv '!C27+'Oslo Pensjonsforsikring'!C27+'Protector Forsikring'!C27+'Sparebank 1 Fors.'!C27+'Storebrand Livsforsikring'!C27+'Telenor Forsikring'!C27+'Tryg Forsikring'!C27+'WaterCircles F'!C27+'Euro Accident'!C27+'Ly Forsikring'!C27+'Youplus Livsforsikring'!C27+'Oslo Forsikring'!C27+'Knif Trygghet Forsikring'!C27</f>
        <v>0</v>
      </c>
      <c r="D27" s="23"/>
      <c r="E27" s="36"/>
      <c r="F27" s="36"/>
      <c r="G27" s="123"/>
      <c r="H27" s="181"/>
      <c r="I27" s="36"/>
      <c r="J27" s="23"/>
    </row>
    <row r="28" spans="1:10" ht="15.75" customHeight="1" x14ac:dyDescent="0.25">
      <c r="A28" s="39" t="s">
        <v>182</v>
      </c>
      <c r="B28" s="36">
        <f>'Fremtind Livsforsikring'!B28+'DNB Livsforsikring'!B28+'Frende Livsforsikring'!B28+'Frende Skadeforsikring'!B28+'Gjensidige Forsikring'!B28+'Gjensidige Pensjon'!B28+'If Skadeforsikring NUF'!B28+KLP!B28+'KLP Skadeforsikring AS'!B28+'Landkreditt Forsikring'!B28+'Nordea Liv '!B28+'Oslo Pensjonsforsikring'!B28+'Protector Forsikring'!B28+'Sparebank 1 Fors.'!B28+'Storebrand Livsforsikring'!B28+'Telenor Forsikring'!B28+'Tryg Forsikring'!B28+'WaterCircles F'!B28+'Euro Accident'!B28+'Ly Forsikring'!B28+'Youplus Livsforsikring'!B28+'Oslo Forsikring'!B28+'Knif Trygghet Forsikring'!B28</f>
        <v>2958473.5257068677</v>
      </c>
      <c r="C28" s="36">
        <f>'Fremtind Livsforsikring'!C28+'DNB Livsforsikring'!C28+'Frende Livsforsikring'!C28+'Frende Skadeforsikring'!C28+'Gjensidige Forsikring'!C28+'Gjensidige Pensjon'!C28+'If Skadeforsikring NUF'!C28+KLP!C28+'KLP Skadeforsikring AS'!C28+'Landkreditt Forsikring'!C28+'Nordea Liv '!C28+'Oslo Pensjonsforsikring'!C28+'Protector Forsikring'!C28+'Sparebank 1 Fors.'!C28+'Storebrand Livsforsikring'!C28+'Telenor Forsikring'!C28+'Tryg Forsikring'!C28+'WaterCircles F'!C28+'Euro Accident'!C28+'Ly Forsikring'!C28+'Youplus Livsforsikring'!C28+'Oslo Forsikring'!C28+'Knif Trygghet Forsikring'!C28</f>
        <v>3386544.6591439149</v>
      </c>
      <c r="D28" s="20">
        <f t="shared" si="5"/>
        <v>14.5</v>
      </c>
      <c r="E28" s="140"/>
      <c r="F28" s="140"/>
      <c r="G28" s="123"/>
      <c r="H28" s="181">
        <f t="shared" si="9"/>
        <v>2958473.5257068677</v>
      </c>
      <c r="I28" s="36">
        <f t="shared" si="7"/>
        <v>3386544.6591439149</v>
      </c>
      <c r="J28" s="20">
        <f t="shared" si="8"/>
        <v>14.5</v>
      </c>
    </row>
    <row r="29" spans="1:10" s="35" customFormat="1" ht="15.75" customHeight="1" x14ac:dyDescent="0.25">
      <c r="A29" s="10" t="s">
        <v>183</v>
      </c>
      <c r="B29" s="183">
        <f>'Fremtind Livsforsikring'!B29+'DNB Livsforsikring'!B29+'Frende Livsforsikring'!B29+'Frende Skadeforsikring'!B29+'Gjensidige Forsikring'!B29+'Gjensidige Pensjon'!B29+'If Skadeforsikring NUF'!B29+KLP!B29+'KLP Skadeforsikring AS'!B29+'Landkreditt Forsikring'!B29+'Nordea Liv '!B29+'Oslo Pensjonsforsikring'!B29+'Protector Forsikring'!B29+'Sparebank 1 Fors.'!B29+'Storebrand Livsforsikring'!B29+'Telenor Forsikring'!B29+'Tryg Forsikring'!B29+'WaterCircles F'!B29+'Euro Accident'!B29+'Ly Forsikring'!B29+'Youplus Livsforsikring'!B29+'Oslo Forsikring'!B29+'Knif Trygghet Forsikring'!B29</f>
        <v>43541068.128634624</v>
      </c>
      <c r="C29" s="183">
        <f>'Fremtind Livsforsikring'!C29+'DNB Livsforsikring'!C29+'Frende Livsforsikring'!C29+'Frende Skadeforsikring'!C29+'Gjensidige Forsikring'!C29+'Gjensidige Pensjon'!C29+'If Skadeforsikring NUF'!C29+KLP!C29+'KLP Skadeforsikring AS'!C29+'Landkreditt Forsikring'!C29+'Nordea Liv '!C29+'Oslo Pensjonsforsikring'!C29+'Protector Forsikring'!C29+'Sparebank 1 Fors.'!C29+'Storebrand Livsforsikring'!C29+'Telenor Forsikring'!C29+'Tryg Forsikring'!C29+'WaterCircles F'!C29+'Euro Accident'!C29+'Ly Forsikring'!C29+'Youplus Livsforsikring'!C29+'Oslo Forsikring'!C29+'Knif Trygghet Forsikring'!C29</f>
        <v>44109490.925709188</v>
      </c>
      <c r="D29" s="21">
        <f t="shared" si="5"/>
        <v>1.3</v>
      </c>
      <c r="E29" s="253">
        <f>'Fremtind Livsforsikring'!F29+'DNB Livsforsikring'!F29+'Frende Livsforsikring'!F29+'Frende Skadeforsikring'!F29+'Gjensidige Forsikring'!F29+'Gjensidige Pensjon'!F29+'If Skadeforsikring NUF'!F29+KLP!F29+'KLP Skadeforsikring AS'!F29+'Landkreditt Forsikring'!F29+'Nordea Liv '!F29+'Oslo Pensjonsforsikring'!F29+'Protector Forsikring'!F29+'Sparebank 1 Fors.'!F29+'Storebrand Livsforsikring'!F29+'Telenor Forsikring'!F29+'Tryg Forsikring'!F29+'WaterCircles F'!F29+'Euro Accident'!F29+'Ly Forsikring'!F29+'Youplus Livsforsikring'!F29+'Oslo Forsikring'!F29+'Knif Trygghet Forsikring'!F29</f>
        <v>29688658.38284</v>
      </c>
      <c r="F29" s="253">
        <f>'Fremtind Livsforsikring'!G29+'DNB Livsforsikring'!G29+'Frende Livsforsikring'!G29+'Frende Skadeforsikring'!G29+'Gjensidige Forsikring'!G29+'Gjensidige Pensjon'!G29+'If Skadeforsikring NUF'!G29+KLP!G29+'KLP Skadeforsikring AS'!G29+'Landkreditt Forsikring'!G29+'Nordea Liv '!G29+'Oslo Pensjonsforsikring'!G29+'Protector Forsikring'!G29+'Sparebank 1 Fors.'!G29+'Storebrand Livsforsikring'!G29+'Telenor Forsikring'!G29+'Tryg Forsikring'!G29+'WaterCircles F'!G29+'Euro Accident'!G29+'Ly Forsikring'!G29+'Youplus Livsforsikring'!G29+'Oslo Forsikring'!G29+'Knif Trygghet Forsikring'!G29</f>
        <v>31928650.312930003</v>
      </c>
      <c r="G29" s="127">
        <f t="shared" si="6"/>
        <v>7.5</v>
      </c>
      <c r="H29" s="253">
        <f t="shared" si="9"/>
        <v>73229726.511474624</v>
      </c>
      <c r="I29" s="183">
        <f t="shared" si="7"/>
        <v>76038141.238639191</v>
      </c>
      <c r="J29" s="21">
        <f t="shared" si="8"/>
        <v>3.8</v>
      </c>
    </row>
    <row r="30" spans="1:10" ht="15.75" customHeight="1" x14ac:dyDescent="0.25">
      <c r="A30" s="390" t="s">
        <v>177</v>
      </c>
      <c r="B30" s="36">
        <f>'Fremtind Livsforsikring'!B30+'DNB Livsforsikring'!B30+'Frende Livsforsikring'!B30+'Frende Skadeforsikring'!B30+'Gjensidige Forsikring'!B30+'Gjensidige Pensjon'!B30+'If Skadeforsikring NUF'!B30+KLP!B30+'KLP Skadeforsikring AS'!B30+'Landkreditt Forsikring'!B30+'Nordea Liv '!B30+'Oslo Pensjonsforsikring'!B30+'Protector Forsikring'!B30+'Sparebank 1 Fors.'!B30+'Storebrand Livsforsikring'!B30+'Telenor Forsikring'!B30+'Tryg Forsikring'!B30+'WaterCircles F'!B30+'Euro Accident'!B30+'Ly Forsikring'!B30+'Youplus Livsforsikring'!B30+'Oslo Forsikring'!B30+'Knif Trygghet Forsikring'!B30</f>
        <v>17952100.998311371</v>
      </c>
      <c r="C30" s="36">
        <f>'Fremtind Livsforsikring'!C30+'DNB Livsforsikring'!C30+'Frende Livsforsikring'!C30+'Frende Skadeforsikring'!C30+'Gjensidige Forsikring'!C30+'Gjensidige Pensjon'!C30+'If Skadeforsikring NUF'!C30+KLP!C30+'KLP Skadeforsikring AS'!C30+'Landkreditt Forsikring'!C30+'Nordea Liv '!C30+'Oslo Pensjonsforsikring'!C30+'Protector Forsikring'!C30+'Sparebank 1 Fors.'!C30+'Storebrand Livsforsikring'!C30+'Telenor Forsikring'!C30+'Tryg Forsikring'!C30+'WaterCircles F'!C30+'Euro Accident'!C30+'Ly Forsikring'!C30+'Youplus Livsforsikring'!C30+'Oslo Forsikring'!C30+'Knif Trygghet Forsikring'!C30</f>
        <v>19167821.665705834</v>
      </c>
      <c r="D30" s="23">
        <f t="shared" ref="D30:D32" si="16">IF($A$1=4,IF(B30=0, "    ---- ", IF(ABS(ROUND(100/B30*C30-100,1))&lt;999,ROUND(100/B30*C30-100,1),IF(ROUND(100/B30*C30-100,1)&gt;999,999,-999))),"")</f>
        <v>6.8</v>
      </c>
      <c r="E30" s="36">
        <f>'Fremtind Livsforsikring'!F30+'DNB Livsforsikring'!F30+'Frende Livsforsikring'!F30+'Frende Skadeforsikring'!F30+'Gjensidige Forsikring'!F30+'Gjensidige Pensjon'!F30+'If Skadeforsikring NUF'!F30+KLP!F30+'KLP Skadeforsikring AS'!F30+'Landkreditt Forsikring'!F30+'Nordea Liv '!F30+'Oslo Pensjonsforsikring'!F30+'Protector Forsikring'!F30+'Sparebank 1 Fors.'!F30+'Storebrand Livsforsikring'!F30+'Telenor Forsikring'!F30+'Tryg Forsikring'!F30+'WaterCircles F'!F30+'Euro Accident'!F30+'Ly Forsikring'!F30+'Youplus Livsforsikring'!F30+'Oslo Forsikring'!F30+'Knif Trygghet Forsikring'!F30</f>
        <v>3781212.2501406707</v>
      </c>
      <c r="F30" s="36">
        <f>'Fremtind Livsforsikring'!G30+'DNB Livsforsikring'!G30+'Frende Livsforsikring'!G30+'Frende Skadeforsikring'!G30+'Gjensidige Forsikring'!G30+'Gjensidige Pensjon'!G30+'If Skadeforsikring NUF'!G30+KLP!G30+'KLP Skadeforsikring AS'!G30+'Landkreditt Forsikring'!G30+'Nordea Liv '!G30+'Oslo Pensjonsforsikring'!G30+'Protector Forsikring'!G30+'Sparebank 1 Fors.'!G30+'Storebrand Livsforsikring'!G30+'Telenor Forsikring'!G30+'Tryg Forsikring'!G30+'WaterCircles F'!G30+'Euro Accident'!G30+'Ly Forsikring'!G30+'Youplus Livsforsikring'!G30+'Oslo Forsikring'!G30+'Knif Trygghet Forsikring'!G30</f>
        <v>3736793.7249109261</v>
      </c>
      <c r="G30" s="123">
        <f t="shared" ref="G30:G32" si="17">IF($A$1=4,IF(E30=0, "    ---- ", IF(ABS(ROUND(100/E30*F30-100,1))&lt;999,ROUND(100/E30*F30-100,1),IF(ROUND(100/E30*F30-100,1)&gt;999,999,-999))),"")</f>
        <v>-1.2</v>
      </c>
      <c r="H30" s="181">
        <f t="shared" si="9"/>
        <v>21733313.248452041</v>
      </c>
      <c r="I30" s="36">
        <f t="shared" si="7"/>
        <v>22904615.39061676</v>
      </c>
      <c r="J30" s="20">
        <f t="shared" si="8"/>
        <v>5.4</v>
      </c>
    </row>
    <row r="31" spans="1:10" ht="15.75" customHeight="1" x14ac:dyDescent="0.25">
      <c r="A31" s="390" t="s">
        <v>178</v>
      </c>
      <c r="B31" s="36">
        <f>'Fremtind Livsforsikring'!B31+'DNB Livsforsikring'!B31+'Frende Livsforsikring'!B31+'Frende Skadeforsikring'!B31+'Gjensidige Forsikring'!B31+'Gjensidige Pensjon'!B31+'If Skadeforsikring NUF'!B31+KLP!B31+'KLP Skadeforsikring AS'!B31+'Landkreditt Forsikring'!B31+'Nordea Liv '!B31+'Oslo Pensjonsforsikring'!B31+'Protector Forsikring'!B31+'Sparebank 1 Fors.'!B31+'Storebrand Livsforsikring'!B31+'Telenor Forsikring'!B31+'Tryg Forsikring'!B31+'WaterCircles F'!B31+'Euro Accident'!B31+'Ly Forsikring'!B31+'Youplus Livsforsikring'!B31+'Oslo Forsikring'!B31+'Knif Trygghet Forsikring'!B31</f>
        <v>23129232.82412497</v>
      </c>
      <c r="C31" s="36">
        <f>'Fremtind Livsforsikring'!C31+'DNB Livsforsikring'!C31+'Frende Livsforsikring'!C31+'Frende Skadeforsikring'!C31+'Gjensidige Forsikring'!C31+'Gjensidige Pensjon'!C31+'If Skadeforsikring NUF'!C31+KLP!C31+'KLP Skadeforsikring AS'!C31+'Landkreditt Forsikring'!C31+'Nordea Liv '!C31+'Oslo Pensjonsforsikring'!C31+'Protector Forsikring'!C31+'Sparebank 1 Fors.'!C31+'Storebrand Livsforsikring'!C31+'Telenor Forsikring'!C31+'Tryg Forsikring'!C31+'WaterCircles F'!C31+'Euro Accident'!C31+'Ly Forsikring'!C31+'Youplus Livsforsikring'!C31+'Oslo Forsikring'!C31+'Knif Trygghet Forsikring'!C31</f>
        <v>21984302.377717387</v>
      </c>
      <c r="D31" s="23">
        <f t="shared" si="16"/>
        <v>-5</v>
      </c>
      <c r="E31" s="36">
        <f>'Fremtind Livsforsikring'!F31+'DNB Livsforsikring'!F31+'Frende Livsforsikring'!F31+'Frende Skadeforsikring'!F31+'Gjensidige Forsikring'!F31+'Gjensidige Pensjon'!F31+'If Skadeforsikring NUF'!F31+KLP!F31+'KLP Skadeforsikring AS'!F31+'Landkreditt Forsikring'!F31+'Nordea Liv '!F31+'Oslo Pensjonsforsikring'!F31+'Protector Forsikring'!F31+'Sparebank 1 Fors.'!F31+'Storebrand Livsforsikring'!F31+'Telenor Forsikring'!F31+'Tryg Forsikring'!F31+'WaterCircles F'!F31+'Euro Accident'!F31+'Ly Forsikring'!F31+'Youplus Livsforsikring'!F31+'Oslo Forsikring'!F31+'Knif Trygghet Forsikring'!F31</f>
        <v>7607029.1699198587</v>
      </c>
      <c r="F31" s="36">
        <f>'Fremtind Livsforsikring'!G31+'DNB Livsforsikring'!G31+'Frende Livsforsikring'!G31+'Frende Skadeforsikring'!G31+'Gjensidige Forsikring'!G31+'Gjensidige Pensjon'!G31+'If Skadeforsikring NUF'!G31+KLP!G31+'KLP Skadeforsikring AS'!G31+'Landkreditt Forsikring'!G31+'Nordea Liv '!G31+'Oslo Pensjonsforsikring'!G31+'Protector Forsikring'!G31+'Sparebank 1 Fors.'!G31+'Storebrand Livsforsikring'!G31+'Telenor Forsikring'!G31+'Tryg Forsikring'!G31+'WaterCircles F'!G31+'Euro Accident'!G31+'Ly Forsikring'!G31+'Youplus Livsforsikring'!G31+'Oslo Forsikring'!G31+'Knif Trygghet Forsikring'!G31</f>
        <v>7367343.2298374726</v>
      </c>
      <c r="G31" s="123">
        <f t="shared" si="17"/>
        <v>-3.2</v>
      </c>
      <c r="H31" s="181">
        <f t="shared" si="9"/>
        <v>30736261.994044829</v>
      </c>
      <c r="I31" s="36">
        <f t="shared" si="7"/>
        <v>29351645.60755486</v>
      </c>
      <c r="J31" s="20">
        <f t="shared" si="8"/>
        <v>-4.5</v>
      </c>
    </row>
    <row r="32" spans="1:10" ht="15.75" customHeight="1" x14ac:dyDescent="0.25">
      <c r="A32" s="390" t="s">
        <v>179</v>
      </c>
      <c r="B32" s="36">
        <f>'Fremtind Livsforsikring'!B32+'DNB Livsforsikring'!B32+'Frende Livsforsikring'!B32+'Frende Skadeforsikring'!B32+'Gjensidige Forsikring'!B32+'Gjensidige Pensjon'!B32+'If Skadeforsikring NUF'!B32+KLP!B32+'KLP Skadeforsikring AS'!B32+'Landkreditt Forsikring'!B32+'Nordea Liv '!B32+'Oslo Pensjonsforsikring'!B32+'Protector Forsikring'!B32+'Sparebank 1 Fors.'!B32+'Storebrand Livsforsikring'!B32+'Telenor Forsikring'!B32+'Tryg Forsikring'!B32+'WaterCircles F'!B32+'Euro Accident'!B32+'Ly Forsikring'!B32+'Youplus Livsforsikring'!B32+'Oslo Forsikring'!B32+'Knif Trygghet Forsikring'!B32</f>
        <v>2316855.721198278</v>
      </c>
      <c r="C32" s="36">
        <f>'Fremtind Livsforsikring'!C32+'DNB Livsforsikring'!C32+'Frende Livsforsikring'!C32+'Frende Skadeforsikring'!C32+'Gjensidige Forsikring'!C32+'Gjensidige Pensjon'!C32+'If Skadeforsikring NUF'!C32+KLP!C32+'KLP Skadeforsikring AS'!C32+'Landkreditt Forsikring'!C32+'Nordea Liv '!C32+'Oslo Pensjonsforsikring'!C32+'Protector Forsikring'!C32+'Sparebank 1 Fors.'!C32+'Storebrand Livsforsikring'!C32+'Telenor Forsikring'!C32+'Tryg Forsikring'!C32+'WaterCircles F'!C32+'Euro Accident'!C32+'Ly Forsikring'!C32+'Youplus Livsforsikring'!C32+'Oslo Forsikring'!C32+'Knif Trygghet Forsikring'!C32</f>
        <v>2731385.8822859703</v>
      </c>
      <c r="D32" s="23">
        <f t="shared" si="16"/>
        <v>17.899999999999999</v>
      </c>
      <c r="E32" s="36">
        <f>'Fremtind Livsforsikring'!F32+'DNB Livsforsikring'!F32+'Frende Livsforsikring'!F32+'Frende Skadeforsikring'!F32+'Gjensidige Forsikring'!F32+'Gjensidige Pensjon'!F32+'If Skadeforsikring NUF'!F32+KLP!F32+'KLP Skadeforsikring AS'!F32+'Landkreditt Forsikring'!F32+'Nordea Liv '!F32+'Oslo Pensjonsforsikring'!F32+'Protector Forsikring'!F32+'Sparebank 1 Fors.'!F32+'Storebrand Livsforsikring'!F32+'Telenor Forsikring'!F32+'Tryg Forsikring'!F32+'WaterCircles F'!F32+'Euro Accident'!F32+'Ly Forsikring'!F32+'Youplus Livsforsikring'!F32+'Oslo Forsikring'!F32+'Knif Trygghet Forsikring'!F32</f>
        <v>6872665.6803232711</v>
      </c>
      <c r="F32" s="36">
        <f>'Fremtind Livsforsikring'!G32+'DNB Livsforsikring'!G32+'Frende Livsforsikring'!G32+'Frende Skadeforsikring'!G32+'Gjensidige Forsikring'!G32+'Gjensidige Pensjon'!G32+'If Skadeforsikring NUF'!G32+KLP!G32+'KLP Skadeforsikring AS'!G32+'Landkreditt Forsikring'!G32+'Nordea Liv '!G32+'Oslo Pensjonsforsikring'!G32+'Protector Forsikring'!G32+'Sparebank 1 Fors.'!G32+'Storebrand Livsforsikring'!G32+'Telenor Forsikring'!G32+'Tryg Forsikring'!G32+'WaterCircles F'!G32+'Euro Accident'!G32+'Ly Forsikring'!G32+'Youplus Livsforsikring'!G32+'Oslo Forsikring'!G32+'Knif Trygghet Forsikring'!G32</f>
        <v>7463697.2862757593</v>
      </c>
      <c r="G32" s="123">
        <f t="shared" si="17"/>
        <v>8.6</v>
      </c>
      <c r="H32" s="181">
        <f t="shared" si="9"/>
        <v>9189521.4015215486</v>
      </c>
      <c r="I32" s="36">
        <f t="shared" si="7"/>
        <v>10195083.168561731</v>
      </c>
      <c r="J32" s="21">
        <f t="shared" si="8"/>
        <v>10.9</v>
      </c>
    </row>
    <row r="33" spans="1:10" ht="15.75" customHeight="1" x14ac:dyDescent="0.25">
      <c r="A33" s="390" t="s">
        <v>180</v>
      </c>
      <c r="B33" s="36"/>
      <c r="C33" s="36"/>
      <c r="D33" s="23"/>
      <c r="E33" s="36">
        <f>'Fremtind Livsforsikring'!F33+'DNB Livsforsikring'!F33+'Frende Livsforsikring'!F33+'Frende Skadeforsikring'!F33+'Gjensidige Forsikring'!F33+'Gjensidige Pensjon'!F33+'If Skadeforsikring NUF'!F33+KLP!F33+'KLP Skadeforsikring AS'!F33+'Landkreditt Forsikring'!F33+'Nordea Liv '!F33+'Oslo Pensjonsforsikring'!F33+'Protector Forsikring'!F33+'Sparebank 1 Fors.'!F33+'Storebrand Livsforsikring'!F33+'Telenor Forsikring'!F33+'Tryg Forsikring'!F33+'WaterCircles F'!F33+'Euro Accident'!F33+'Ly Forsikring'!F33+'Youplus Livsforsikring'!F33+'Oslo Forsikring'!F33+'Knif Trygghet Forsikring'!F33</f>
        <v>11427751.282456201</v>
      </c>
      <c r="F33" s="36">
        <f>'Fremtind Livsforsikring'!G33+'DNB Livsforsikring'!G33+'Frende Livsforsikring'!G33+'Frende Skadeforsikring'!G33+'Gjensidige Forsikring'!G33+'Gjensidige Pensjon'!G33+'If Skadeforsikring NUF'!G33+KLP!G33+'KLP Skadeforsikring AS'!G33+'Landkreditt Forsikring'!G33+'Nordea Liv '!G33+'Oslo Pensjonsforsikring'!G33+'Protector Forsikring'!G33+'Sparebank 1 Fors.'!G33+'Storebrand Livsforsikring'!G33+'Telenor Forsikring'!G33+'Tryg Forsikring'!G33+'WaterCircles F'!G33+'Euro Accident'!G33+'Ly Forsikring'!G33+'Youplus Livsforsikring'!G33+'Oslo Forsikring'!G33+'Knif Trygghet Forsikring'!G33</f>
        <v>13360816.07190584</v>
      </c>
      <c r="G33" s="123">
        <f t="shared" ref="G33" si="18">IF($A$1=4,IF(E33=0, "    ---- ", IF(ABS(ROUND(100/E33*F33-100,1))&lt;999,ROUND(100/E33*F33-100,1),IF(ROUND(100/E33*F33-100,1)&gt;999,999,-999))),"")</f>
        <v>16.899999999999999</v>
      </c>
      <c r="H33" s="181">
        <f t="shared" ref="H33" si="19">SUM(B33,E33)</f>
        <v>11427751.282456201</v>
      </c>
      <c r="I33" s="36">
        <f t="shared" ref="I33" si="20">SUM(C33,F33)</f>
        <v>13360816.07190584</v>
      </c>
      <c r="J33" s="21">
        <f t="shared" ref="J33" si="21">IF(H33=0, "    ---- ", IF(ABS(ROUND(100/H33*I33-100,1))&lt;999,ROUND(100/H33*I33-100,1),IF(ROUND(100/H33*I33-100,1)&gt;999,999,-999)))</f>
        <v>16.899999999999999</v>
      </c>
    </row>
    <row r="34" spans="1:10" s="35" customFormat="1" ht="15.75" customHeight="1" x14ac:dyDescent="0.25">
      <c r="A34" s="10" t="s">
        <v>172</v>
      </c>
      <c r="B34" s="183">
        <f>'Fremtind Livsforsikring'!B34+'DNB Livsforsikring'!B34+'Frende Livsforsikring'!B34+'Frende Skadeforsikring'!B34+'Gjensidige Forsikring'!B34+'Gjensidige Pensjon'!B34+'If Skadeforsikring NUF'!B34+KLP!B34+'KLP Skadeforsikring AS'!B34+'Landkreditt Forsikring'!B34+'Nordea Liv '!B34+'Oslo Pensjonsforsikring'!B34+'Protector Forsikring'!B34+'Sparebank 1 Fors.'!B34+'Storebrand Livsforsikring'!B34+'Telenor Forsikring'!B34+'Tryg Forsikring'!B34+'WaterCircles F'!B34+'Euro Accident'!B34+'Ly Forsikring'!B34+'Youplus Livsforsikring'!B34+'Oslo Forsikring'!B34+'Knif Trygghet Forsikring'!B34</f>
        <v>48342.408739999999</v>
      </c>
      <c r="C34" s="183">
        <f>'Fremtind Livsforsikring'!C34+'DNB Livsforsikring'!C34+'Frende Livsforsikring'!C34+'Frende Skadeforsikring'!C34+'Gjensidige Forsikring'!C34+'Gjensidige Pensjon'!C34+'If Skadeforsikring NUF'!C34+KLP!C34+'KLP Skadeforsikring AS'!C34+'Landkreditt Forsikring'!C34+'Nordea Liv '!C34+'Oslo Pensjonsforsikring'!C34+'Protector Forsikring'!C34+'Sparebank 1 Fors.'!C34+'Storebrand Livsforsikring'!C34+'Telenor Forsikring'!C34+'Tryg Forsikring'!C34+'WaterCircles F'!C34+'Euro Accident'!C34+'Ly Forsikring'!C34+'Youplus Livsforsikring'!C34+'Oslo Forsikring'!C34+'Knif Trygghet Forsikring'!C34</f>
        <v>131723.90364</v>
      </c>
      <c r="D34" s="21">
        <f t="shared" si="5"/>
        <v>172.5</v>
      </c>
      <c r="E34" s="253">
        <f>'Fremtind Livsforsikring'!F34+'DNB Livsforsikring'!F34+'Frende Livsforsikring'!F34+'Frende Skadeforsikring'!F34+'Gjensidige Forsikring'!F34+'Gjensidige Pensjon'!F34+'If Skadeforsikring NUF'!F34+KLP!F34+'KLP Skadeforsikring AS'!F34+'Landkreditt Forsikring'!F34+'Nordea Liv '!F34+'Oslo Pensjonsforsikring'!F34+'Protector Forsikring'!F34+'Sparebank 1 Fors.'!F34+'Storebrand Livsforsikring'!F34+'Telenor Forsikring'!F34+'Tryg Forsikring'!F34+'WaterCircles F'!F34+'Euro Accident'!F34+'Ly Forsikring'!F34+'Youplus Livsforsikring'!F34+'Oslo Forsikring'!F34+'Knif Trygghet Forsikring'!F34</f>
        <v>-426149.39205000002</v>
      </c>
      <c r="F34" s="253">
        <f>'Fremtind Livsforsikring'!G34+'DNB Livsforsikring'!G34+'Frende Livsforsikring'!G34+'Frende Skadeforsikring'!G34+'Gjensidige Forsikring'!G34+'Gjensidige Pensjon'!G34+'If Skadeforsikring NUF'!G34+KLP!G34+'KLP Skadeforsikring AS'!G34+'Landkreditt Forsikring'!G34+'Nordea Liv '!G34+'Oslo Pensjonsforsikring'!G34+'Protector Forsikring'!G34+'Sparebank 1 Fors.'!G34+'Storebrand Livsforsikring'!G34+'Telenor Forsikring'!G34+'Tryg Forsikring'!G34+'WaterCircles F'!G34+'Euro Accident'!G34+'Ly Forsikring'!G34+'Youplus Livsforsikring'!G34+'Oslo Forsikring'!G34+'Knif Trygghet Forsikring'!G34</f>
        <v>269018.74836999999</v>
      </c>
      <c r="G34" s="127">
        <f t="shared" si="6"/>
        <v>-163.1</v>
      </c>
      <c r="H34" s="253">
        <f t="shared" si="9"/>
        <v>-377806.98331000004</v>
      </c>
      <c r="I34" s="183">
        <f t="shared" si="7"/>
        <v>400742.65200999996</v>
      </c>
      <c r="J34" s="21">
        <f t="shared" si="8"/>
        <v>-206.1</v>
      </c>
    </row>
    <row r="35" spans="1:10" s="35" customFormat="1" ht="15.75" customHeight="1" x14ac:dyDescent="0.25">
      <c r="A35" s="10" t="s">
        <v>173</v>
      </c>
      <c r="B35" s="183">
        <f>'Fremtind Livsforsikring'!B35+'DNB Livsforsikring'!B35+'Frende Livsforsikring'!B35+'Frende Skadeforsikring'!B35+'Gjensidige Forsikring'!B35+'Gjensidige Pensjon'!B35+'If Skadeforsikring NUF'!B35+KLP!B35+'KLP Skadeforsikring AS'!B35+'Landkreditt Forsikring'!B35+'Nordea Liv '!B35+'Oslo Pensjonsforsikring'!B35+'Protector Forsikring'!B35+'Sparebank 1 Fors.'!B35+'Storebrand Livsforsikring'!B35+'Telenor Forsikring'!B35+'Tryg Forsikring'!B35+'WaterCircles F'!B35+'Euro Accident'!B35+'Ly Forsikring'!B35+'Youplus Livsforsikring'!B35+'Oslo Forsikring'!B35+'Knif Trygghet Forsikring'!B35</f>
        <v>-600888.58449000004</v>
      </c>
      <c r="C35" s="183">
        <f>'Fremtind Livsforsikring'!C35+'DNB Livsforsikring'!C35+'Frende Livsforsikring'!C35+'Frende Skadeforsikring'!C35+'Gjensidige Forsikring'!C35+'Gjensidige Pensjon'!C35+'If Skadeforsikring NUF'!C35+KLP!C35+'KLP Skadeforsikring AS'!C35+'Landkreditt Forsikring'!C35+'Nordea Liv '!C35+'Oslo Pensjonsforsikring'!C35+'Protector Forsikring'!C35+'Sparebank 1 Fors.'!C35+'Storebrand Livsforsikring'!C35+'Telenor Forsikring'!C35+'Tryg Forsikring'!C35+'WaterCircles F'!C35+'Euro Accident'!C35+'Ly Forsikring'!C35+'Youplus Livsforsikring'!C35+'Oslo Forsikring'!C35+'Knif Trygghet Forsikring'!C35</f>
        <v>25075.098690000003</v>
      </c>
      <c r="D35" s="21">
        <f t="shared" si="5"/>
        <v>-104.2</v>
      </c>
      <c r="E35" s="253">
        <f>'Fremtind Livsforsikring'!F35+'DNB Livsforsikring'!F35+'Frende Livsforsikring'!F35+'Frende Skadeforsikring'!F35+'Gjensidige Forsikring'!F35+'Gjensidige Pensjon'!F35+'If Skadeforsikring NUF'!F35+KLP!F35+'KLP Skadeforsikring AS'!F35+'Landkreditt Forsikring'!F35+'Nordea Liv '!F35+'Oslo Pensjonsforsikring'!F35+'Protector Forsikring'!F35+'Sparebank 1 Fors.'!F35+'Storebrand Livsforsikring'!F35+'Telenor Forsikring'!F35+'Tryg Forsikring'!F35+'WaterCircles F'!F35+'Euro Accident'!F35+'Ly Forsikring'!F35+'Youplus Livsforsikring'!F35+'Oslo Forsikring'!F35+'Knif Trygghet Forsikring'!F35</f>
        <v>217687.45806</v>
      </c>
      <c r="F35" s="253">
        <f>'Fremtind Livsforsikring'!G35+'DNB Livsforsikring'!G35+'Frende Livsforsikring'!G35+'Frende Skadeforsikring'!G35+'Gjensidige Forsikring'!G35+'Gjensidige Pensjon'!G35+'If Skadeforsikring NUF'!G35+KLP!G35+'KLP Skadeforsikring AS'!G35+'Landkreditt Forsikring'!G35+'Nordea Liv '!G35+'Oslo Pensjonsforsikring'!G35+'Protector Forsikring'!G35+'Sparebank 1 Fors.'!G35+'Storebrand Livsforsikring'!G35+'Telenor Forsikring'!G35+'Tryg Forsikring'!G35+'WaterCircles F'!G35+'Euro Accident'!G35+'Ly Forsikring'!G35+'Youplus Livsforsikring'!G35+'Oslo Forsikring'!G35+'Knif Trygghet Forsikring'!G35</f>
        <v>248857.29196</v>
      </c>
      <c r="G35" s="127">
        <f t="shared" si="6"/>
        <v>14.3</v>
      </c>
      <c r="H35" s="253">
        <f t="shared" si="9"/>
        <v>-383201.12643000006</v>
      </c>
      <c r="I35" s="183">
        <f t="shared" si="7"/>
        <v>273932.39065000002</v>
      </c>
      <c r="J35" s="21">
        <f t="shared" si="8"/>
        <v>-171.5</v>
      </c>
    </row>
    <row r="36" spans="1:10" s="35" customFormat="1" ht="15.75" customHeight="1" x14ac:dyDescent="0.25">
      <c r="A36" s="9" t="s">
        <v>184</v>
      </c>
      <c r="B36" s="183">
        <f>'Fremtind Livsforsikring'!B36+'DNB Livsforsikring'!B36+'Frende Livsforsikring'!B36+'Frende Skadeforsikring'!B36+'Gjensidige Forsikring'!B36+'Gjensidige Pensjon'!B36+'If Skadeforsikring NUF'!B36+KLP!B36+'KLP Skadeforsikring AS'!B36+'Landkreditt Forsikring'!B36+'Nordea Liv '!B36+'Oslo Pensjonsforsikring'!B36+'Protector Forsikring'!B36+'Sparebank 1 Fors.'!B36+'Storebrand Livsforsikring'!B36+'Telenor Forsikring'!B36+'Tryg Forsikring'!B36+'WaterCircles F'!B36+'Euro Accident'!B36+'Ly Forsikring'!B36+'Youplus Livsforsikring'!B36+'Oslo Forsikring'!B36+'Knif Trygghet Forsikring'!B36</f>
        <v>9099.726999999999</v>
      </c>
      <c r="C36" s="183">
        <f>'Fremtind Livsforsikring'!C36+'DNB Livsforsikring'!C36+'Frende Livsforsikring'!C36+'Frende Skadeforsikring'!C36+'Gjensidige Forsikring'!C36+'Gjensidige Pensjon'!C36+'If Skadeforsikring NUF'!C36+KLP!C36+'KLP Skadeforsikring AS'!C36+'Landkreditt Forsikring'!C36+'Nordea Liv '!C36+'Oslo Pensjonsforsikring'!C36+'Protector Forsikring'!C36+'Sparebank 1 Fors.'!C36+'Storebrand Livsforsikring'!C36+'Telenor Forsikring'!C36+'Tryg Forsikring'!C36+'WaterCircles F'!C36+'Euro Accident'!C36+'Ly Forsikring'!C36+'Youplus Livsforsikring'!C36+'Oslo Forsikring'!C36+'Knif Trygghet Forsikring'!C36</f>
        <v>17683</v>
      </c>
      <c r="D36" s="8">
        <f t="shared" si="5"/>
        <v>94.3</v>
      </c>
      <c r="E36" s="264"/>
      <c r="F36" s="264"/>
      <c r="G36" s="127"/>
      <c r="H36" s="253">
        <f t="shared" si="9"/>
        <v>9099.726999999999</v>
      </c>
      <c r="I36" s="183">
        <f t="shared" si="7"/>
        <v>17683</v>
      </c>
      <c r="J36" s="8">
        <f t="shared" si="8"/>
        <v>94.3</v>
      </c>
    </row>
    <row r="37" spans="1:10" s="35" customFormat="1" ht="15.75" customHeight="1" x14ac:dyDescent="0.25">
      <c r="A37" s="9" t="s">
        <v>185</v>
      </c>
      <c r="B37" s="183">
        <f>'Fremtind Livsforsikring'!B37+'DNB Livsforsikring'!B37+'Frende Livsforsikring'!B37+'Frende Skadeforsikring'!B37+'Gjensidige Forsikring'!B37+'Gjensidige Pensjon'!B37+'If Skadeforsikring NUF'!B37+KLP!B37+'KLP Skadeforsikring AS'!B37+'Landkreditt Forsikring'!B37+'Nordea Liv '!B37+'Oslo Pensjonsforsikring'!B37+'Protector Forsikring'!B37+'Sparebank 1 Fors.'!B37+'Storebrand Livsforsikring'!B37+'Telenor Forsikring'!B37+'Tryg Forsikring'!B37+'WaterCircles F'!B37+'Euro Accident'!B37+'Ly Forsikring'!B37+'Youplus Livsforsikring'!B37+'Oslo Forsikring'!B37+'Knif Trygghet Forsikring'!B37</f>
        <v>2499130.8920299998</v>
      </c>
      <c r="C37" s="183">
        <f>'Fremtind Livsforsikring'!C37+'DNB Livsforsikring'!C37+'Frende Livsforsikring'!C37+'Frende Skadeforsikring'!C37+'Gjensidige Forsikring'!C37+'Gjensidige Pensjon'!C37+'If Skadeforsikring NUF'!C37+KLP!C37+'KLP Skadeforsikring AS'!C37+'Landkreditt Forsikring'!C37+'Nordea Liv '!C37+'Oslo Pensjonsforsikring'!C37+'Protector Forsikring'!C37+'Sparebank 1 Fors.'!C37+'Storebrand Livsforsikring'!C37+'Telenor Forsikring'!C37+'Tryg Forsikring'!C37+'WaterCircles F'!C37+'Euro Accident'!C37+'Ly Forsikring'!C37+'Youplus Livsforsikring'!C37+'Oslo Forsikring'!C37+'Knif Trygghet Forsikring'!C37</f>
        <v>2326449.8647500002</v>
      </c>
      <c r="D37" s="21">
        <f t="shared" si="5"/>
        <v>-6.9</v>
      </c>
      <c r="E37" s="269"/>
      <c r="F37" s="269"/>
      <c r="G37" s="127"/>
      <c r="H37" s="253">
        <f t="shared" si="9"/>
        <v>2499130.8920299998</v>
      </c>
      <c r="I37" s="183">
        <f t="shared" si="7"/>
        <v>2326449.8647500002</v>
      </c>
      <c r="J37" s="21">
        <f t="shared" si="8"/>
        <v>-6.9</v>
      </c>
    </row>
    <row r="38" spans="1:10" s="35" customFormat="1" ht="15.75" customHeight="1" x14ac:dyDescent="0.25">
      <c r="A38" s="9" t="s">
        <v>186</v>
      </c>
      <c r="B38" s="183"/>
      <c r="C38" s="183"/>
      <c r="D38" s="21"/>
      <c r="E38" s="264"/>
      <c r="F38" s="264"/>
      <c r="G38" s="127"/>
      <c r="H38" s="253"/>
      <c r="I38" s="183"/>
      <c r="J38" s="21"/>
    </row>
    <row r="39" spans="1:10" s="35" customFormat="1" ht="15.75" customHeight="1" x14ac:dyDescent="0.25">
      <c r="A39" s="15" t="s">
        <v>187</v>
      </c>
      <c r="B39" s="223"/>
      <c r="C39" s="223"/>
      <c r="D39" s="30"/>
      <c r="E39" s="270"/>
      <c r="F39" s="270"/>
      <c r="G39" s="125"/>
      <c r="H39" s="259"/>
      <c r="I39" s="223"/>
      <c r="J39" s="30"/>
    </row>
    <row r="40" spans="1:10" ht="15.75" customHeight="1" x14ac:dyDescent="0.25">
      <c r="A40" s="35"/>
    </row>
    <row r="41" spans="1:10" ht="15.75" customHeight="1" x14ac:dyDescent="0.25">
      <c r="A41" s="115"/>
    </row>
    <row r="42" spans="1:10" ht="15.75" customHeight="1" x14ac:dyDescent="0.3">
      <c r="A42" s="110" t="s">
        <v>188</v>
      </c>
      <c r="B42" s="774"/>
      <c r="C42" s="774"/>
      <c r="D42" s="774"/>
      <c r="E42" s="774"/>
      <c r="F42" s="774"/>
      <c r="G42" s="774"/>
      <c r="H42" s="774"/>
      <c r="I42" s="774"/>
      <c r="J42" s="774"/>
    </row>
    <row r="43" spans="1:10" ht="15.75" customHeight="1" x14ac:dyDescent="0.3">
      <c r="A43" s="122"/>
      <c r="B43" s="244"/>
      <c r="C43" s="244"/>
      <c r="D43" s="244"/>
      <c r="E43" s="244"/>
      <c r="F43" s="244"/>
      <c r="G43" s="244"/>
      <c r="H43" s="244"/>
      <c r="I43" s="244"/>
      <c r="J43" s="244"/>
    </row>
    <row r="44" spans="1:10" ht="15.75" customHeight="1" x14ac:dyDescent="0.3">
      <c r="A44" s="196"/>
      <c r="B44" s="271" t="s">
        <v>46</v>
      </c>
      <c r="C44" s="272"/>
      <c r="D44" s="204"/>
      <c r="E44" s="34"/>
      <c r="F44" s="34"/>
      <c r="G44" s="32"/>
      <c r="H44" s="34"/>
      <c r="I44" s="34"/>
      <c r="J44" s="32"/>
    </row>
    <row r="45" spans="1:10" ht="15.75" customHeight="1" x14ac:dyDescent="0.25">
      <c r="A45" s="105"/>
      <c r="B45" s="201" t="s">
        <v>491</v>
      </c>
      <c r="C45" s="202" t="s">
        <v>492</v>
      </c>
      <c r="D45" s="199" t="s">
        <v>166</v>
      </c>
      <c r="E45" s="34"/>
      <c r="F45" s="34"/>
      <c r="G45" s="32"/>
      <c r="H45" s="34"/>
      <c r="I45" s="34"/>
      <c r="J45" s="32"/>
    </row>
    <row r="46" spans="1:10" ht="15.75" customHeight="1" x14ac:dyDescent="0.25">
      <c r="A46" s="737"/>
      <c r="B46" s="7"/>
      <c r="C46" s="203"/>
      <c r="D46" s="14" t="s">
        <v>167</v>
      </c>
      <c r="E46" s="32"/>
      <c r="F46" s="32"/>
      <c r="G46" s="32"/>
      <c r="H46" s="32"/>
      <c r="I46" s="32"/>
      <c r="J46" s="32"/>
    </row>
    <row r="47" spans="1:10" s="35" customFormat="1" ht="15.75" customHeight="1" x14ac:dyDescent="0.25">
      <c r="A47" s="11" t="s">
        <v>168</v>
      </c>
      <c r="B47" s="183">
        <f>'Fremtind Livsforsikring'!B47+'DNB Livsforsikring'!B47+'Frende Livsforsikring'!B47+'Frende Skadeforsikring'!B47+'Gjensidige Forsikring'!B47+'Gjensidige Pensjon'!B47+'If Skadeforsikring NUF'!B47+KLP!B47+'KLP Skadeforsikring AS'!B47+'Landkreditt Forsikring'!B47+'Nordea Liv '!B47+'Oslo Pensjonsforsikring'!B47+'Protector Forsikring'!B47+'Sparebank 1 Fors.'!B47+'Storebrand Livsforsikring'!B47+'Telenor Forsikring'!B47+'Tryg Forsikring'!B47+'WaterCircles F'!B47+'Euro Accident'!B47+'Ly Forsikring'!B47+'Youplus Livsforsikring'!B47+'Oslo Forsikring'!B47+'Knif Trygghet Forsikring'!B47</f>
        <v>6609905.2890899992</v>
      </c>
      <c r="C47" s="183">
        <f>'Fremtind Livsforsikring'!C47+'DNB Livsforsikring'!C47+'Frende Livsforsikring'!C47+'Frende Skadeforsikring'!C47+'Gjensidige Forsikring'!C47+'Gjensidige Pensjon'!C47+'If Skadeforsikring NUF'!C47+KLP!C47+'KLP Skadeforsikring AS'!C47+'Landkreditt Forsikring'!C47+'Nordea Liv '!C47+'Oslo Pensjonsforsikring'!C47+'Protector Forsikring'!C47+'Sparebank 1 Fors.'!C47+'Storebrand Livsforsikring'!C47+'Telenor Forsikring'!C47+'Tryg Forsikring'!C47+'WaterCircles F'!C47+'Euro Accident'!C47+'Ly Forsikring'!C47+'Youplus Livsforsikring'!C47+'Oslo Forsikring'!C47+'Knif Trygghet Forsikring'!C47</f>
        <v>7159679.7395200003</v>
      </c>
      <c r="D47" s="21">
        <f t="shared" ref="D47:D58" si="22">IF(B47=0, "    ---- ", IF(ABS(ROUND(100/B47*C47-100,1))&lt;999,ROUND(100/B47*C47-100,1),IF(ROUND(100/B47*C47-100,1)&gt;999,999,-999)))</f>
        <v>8.3000000000000007</v>
      </c>
      <c r="E47" s="343"/>
      <c r="F47" s="344"/>
      <c r="G47" s="26"/>
      <c r="H47" s="345"/>
      <c r="I47" s="345"/>
      <c r="J47" s="26"/>
    </row>
    <row r="48" spans="1:10" ht="15.75" customHeight="1" x14ac:dyDescent="0.25">
      <c r="A48" s="18" t="s">
        <v>189</v>
      </c>
      <c r="B48" s="36">
        <f>'Fremtind Livsforsikring'!B48+'DNB Livsforsikring'!B48+'Frende Livsforsikring'!B48+'Frende Skadeforsikring'!B48+'Gjensidige Forsikring'!B48+'Gjensidige Pensjon'!B48+'If Skadeforsikring NUF'!B48+KLP!B48+'KLP Skadeforsikring AS'!B48+'Landkreditt Forsikring'!B48+'Nordea Liv '!B48+'Oslo Pensjonsforsikring'!B48+'Protector Forsikring'!B48+'Sparebank 1 Fors.'!B48+'Storebrand Livsforsikring'!B48+'Telenor Forsikring'!B48+'Tryg Forsikring'!B48+'WaterCircles F'!B48+'Euro Accident'!B48+'Ly Forsikring'!B48+'Youplus Livsforsikring'!B48+'Oslo Forsikring'!B48+'Knif Trygghet Forsikring'!B48</f>
        <v>3738343.1749800001</v>
      </c>
      <c r="C48" s="36">
        <f>'Fremtind Livsforsikring'!C48+'DNB Livsforsikring'!C48+'Frende Livsforsikring'!C48+'Frende Skadeforsikring'!C48+'Gjensidige Forsikring'!C48+'Gjensidige Pensjon'!C48+'If Skadeforsikring NUF'!C48+KLP!C48+'KLP Skadeforsikring AS'!C48+'Landkreditt Forsikring'!C48+'Nordea Liv '!C48+'Oslo Pensjonsforsikring'!C48+'Protector Forsikring'!C48+'Sparebank 1 Fors.'!C48+'Storebrand Livsforsikring'!C48+'Telenor Forsikring'!C48+'Tryg Forsikring'!C48+'WaterCircles F'!C48+'Euro Accident'!C48+'Ly Forsikring'!C48+'Youplus Livsforsikring'!C48+'Oslo Forsikring'!C48+'Knif Trygghet Forsikring'!C48</f>
        <v>4084449.7544999998</v>
      </c>
      <c r="D48" s="21">
        <f t="shared" si="22"/>
        <v>9.3000000000000007</v>
      </c>
      <c r="E48" s="29"/>
      <c r="F48" s="3"/>
      <c r="G48" s="28"/>
      <c r="H48" s="27"/>
      <c r="I48" s="27"/>
      <c r="J48" s="26"/>
    </row>
    <row r="49" spans="1:10" ht="15.75" customHeight="1" x14ac:dyDescent="0.25">
      <c r="A49" s="18" t="s">
        <v>190</v>
      </c>
      <c r="B49" s="143">
        <f>'Fremtind Livsforsikring'!B49+'DNB Livsforsikring'!B49+'Frende Livsforsikring'!B49+'Frende Skadeforsikring'!B49+'Gjensidige Forsikring'!B49+'Gjensidige Pensjon'!B49+'If Skadeforsikring NUF'!B49+KLP!B49+'KLP Skadeforsikring AS'!B49+'Landkreditt Forsikring'!B49+'Nordea Liv '!B49+'Oslo Pensjonsforsikring'!B49+'Protector Forsikring'!B49+'Sparebank 1 Fors.'!B49+'Storebrand Livsforsikring'!B49+'Telenor Forsikring'!B49+'Tryg Forsikring'!B49+'WaterCircles F'!B49+'Euro Accident'!B49+'Ly Forsikring'!B49+'Youplus Livsforsikring'!B49+'Oslo Forsikring'!B49+'Knif Trygghet Forsikring'!B49</f>
        <v>2871562.11411</v>
      </c>
      <c r="C49" s="143">
        <f>'Fremtind Livsforsikring'!C49+'DNB Livsforsikring'!C49+'Frende Livsforsikring'!C49+'Frende Skadeforsikring'!C49+'Gjensidige Forsikring'!C49+'Gjensidige Pensjon'!C49+'If Skadeforsikring NUF'!C49+KLP!C49+'KLP Skadeforsikring AS'!C49+'Landkreditt Forsikring'!C49+'Nordea Liv '!C49+'Oslo Pensjonsforsikring'!C49+'Protector Forsikring'!C49+'Sparebank 1 Fors.'!C49+'Storebrand Livsforsikring'!C49+'Telenor Forsikring'!C49+'Tryg Forsikring'!C49+'WaterCircles F'!C49+'Euro Accident'!C49+'Ly Forsikring'!C49+'Youplus Livsforsikring'!C49+'Oslo Forsikring'!C49+'Knif Trygghet Forsikring'!C49</f>
        <v>3075229.98502</v>
      </c>
      <c r="D49" s="21">
        <f t="shared" si="22"/>
        <v>7.1</v>
      </c>
      <c r="E49" s="29"/>
      <c r="F49" s="3"/>
      <c r="G49" s="28"/>
      <c r="H49" s="31"/>
      <c r="I49" s="31"/>
      <c r="J49" s="26"/>
    </row>
    <row r="50" spans="1:10" ht="15.75" customHeight="1" x14ac:dyDescent="0.25">
      <c r="A50" s="243" t="s">
        <v>191</v>
      </c>
      <c r="B50" s="36">
        <f>'Fremtind Livsforsikring'!B50+'DNB Livsforsikring'!B50+'Frende Livsforsikring'!B50+'Frende Skadeforsikring'!B50+'Gjensidige Forsikring'!B50+'Gjensidige Pensjon'!B50+'If Skadeforsikring NUF'!B50+KLP!B50+'KLP Skadeforsikring AS'!B50+'Landkreditt Forsikring'!B50+'Nordea Liv '!B50+'Oslo Pensjonsforsikring'!B50+'Protector Forsikring'!B50+'Sparebank 1 Fors.'!B50+'Storebrand Livsforsikring'!B50+'Telenor Forsikring'!B50+'Tryg Forsikring'!B50+'WaterCircles F'!B50+'Euro Accident'!B50+'Ly Forsikring'!B50+'Youplus Livsforsikring'!B50+'Oslo Forsikring'!B50+'Knif Trygghet Forsikring'!B50</f>
        <v>-11.84037</v>
      </c>
      <c r="C50" s="36">
        <f>'Fremtind Livsforsikring'!C50+'DNB Livsforsikring'!C50+'Frende Livsforsikring'!C50+'Frende Skadeforsikring'!C50+'Gjensidige Forsikring'!C50+'Gjensidige Pensjon'!C50+'If Skadeforsikring NUF'!C50+KLP!C50+'KLP Skadeforsikring AS'!C50+'Landkreditt Forsikring'!C50+'Nordea Liv '!C50+'Oslo Pensjonsforsikring'!C50+'Protector Forsikring'!C50+'Sparebank 1 Fors.'!C50+'Storebrand Livsforsikring'!C50+'Telenor Forsikring'!C50+'Tryg Forsikring'!C50+'WaterCircles F'!C50+'Euro Accident'!C50+'Ly Forsikring'!C50+'Youplus Livsforsikring'!C50+'Oslo Forsikring'!C50+'Knif Trygghet Forsikring'!C50</f>
        <v>-101.74073</v>
      </c>
      <c r="D50" s="23">
        <f t="shared" ref="D50:D52" si="23">IF($A$1=4,IF(B50=0, "    ---- ", IF(ABS(ROUND(100/B50*C50-100,1))&lt;999,ROUND(100/B50*C50-100,1),IF(ROUND(100/B50*C50-100,1)&gt;999,999,-999))),"")</f>
        <v>759.3</v>
      </c>
      <c r="E50" s="29"/>
      <c r="F50" s="3"/>
      <c r="G50" s="28"/>
      <c r="H50" s="27"/>
      <c r="I50" s="27"/>
      <c r="J50" s="26"/>
    </row>
    <row r="51" spans="1:10" ht="15.75" customHeight="1" x14ac:dyDescent="0.25">
      <c r="A51" s="243" t="s">
        <v>192</v>
      </c>
      <c r="B51" s="36">
        <f>'Fremtind Livsforsikring'!B51+'DNB Livsforsikring'!B51+'Frende Livsforsikring'!B51+'Frende Skadeforsikring'!B51+'Gjensidige Forsikring'!B51+'Gjensidige Pensjon'!B51+'If Skadeforsikring NUF'!B51+KLP!B51+'KLP Skadeforsikring AS'!B51+'Landkreditt Forsikring'!B51+'Nordea Liv '!B51+'Oslo Pensjonsforsikring'!B51+'Protector Forsikring'!B51+'Sparebank 1 Fors.'!B51+'Storebrand Livsforsikring'!B51+'Telenor Forsikring'!B51+'Tryg Forsikring'!B51+'WaterCircles F'!B51+'Euro Accident'!B51+'Ly Forsikring'!B51+'Youplus Livsforsikring'!B51+'Oslo Forsikring'!B51+'Knif Trygghet Forsikring'!B51</f>
        <v>2829442.9522899999</v>
      </c>
      <c r="C51" s="36">
        <f>'Fremtind Livsforsikring'!C51+'DNB Livsforsikring'!C51+'Frende Livsforsikring'!C51+'Frende Skadeforsikring'!C51+'Gjensidige Forsikring'!C51+'Gjensidige Pensjon'!C51+'If Skadeforsikring NUF'!C51+KLP!C51+'KLP Skadeforsikring AS'!C51+'Landkreditt Forsikring'!C51+'Nordea Liv '!C51+'Oslo Pensjonsforsikring'!C51+'Protector Forsikring'!C51+'Sparebank 1 Fors.'!C51+'Storebrand Livsforsikring'!C51+'Telenor Forsikring'!C51+'Tryg Forsikring'!C51+'WaterCircles F'!C51+'Euro Accident'!C51+'Ly Forsikring'!C51+'Youplus Livsforsikring'!C51+'Oslo Forsikring'!C51+'Knif Trygghet Forsikring'!C51</f>
        <v>2957124.6917099999</v>
      </c>
      <c r="D51" s="23">
        <f t="shared" si="23"/>
        <v>4.5</v>
      </c>
      <c r="E51" s="29"/>
      <c r="F51" s="3"/>
      <c r="G51" s="28"/>
      <c r="H51" s="27"/>
      <c r="I51" s="27"/>
      <c r="J51" s="26"/>
    </row>
    <row r="52" spans="1:10" ht="15.75" customHeight="1" x14ac:dyDescent="0.25">
      <c r="A52" s="243" t="s">
        <v>193</v>
      </c>
      <c r="B52" s="36">
        <f>'Fremtind Livsforsikring'!B52+'DNB Livsforsikring'!B52+'Frende Livsforsikring'!B52+'Frende Skadeforsikring'!B52+'Gjensidige Forsikring'!B52+'Gjensidige Pensjon'!B52+'If Skadeforsikring NUF'!B52+KLP!B52+'KLP Skadeforsikring AS'!B52+'Landkreditt Forsikring'!B52+'Nordea Liv '!B52+'Oslo Pensjonsforsikring'!B52+'Protector Forsikring'!B52+'Sparebank 1 Fors.'!B52+'Storebrand Livsforsikring'!B52+'Telenor Forsikring'!B52+'Tryg Forsikring'!B52+'WaterCircles F'!B52+'Euro Accident'!B52+'Ly Forsikring'!B52+'Youplus Livsforsikring'!B52+'Oslo Forsikring'!B52+'Knif Trygghet Forsikring'!B52</f>
        <v>42131.002189999999</v>
      </c>
      <c r="C52" s="36">
        <f>'Fremtind Livsforsikring'!C52+'DNB Livsforsikring'!C52+'Frende Livsforsikring'!C52+'Frende Skadeforsikring'!C52+'Gjensidige Forsikring'!C52+'Gjensidige Pensjon'!C52+'If Skadeforsikring NUF'!C52+KLP!C52+'KLP Skadeforsikring AS'!C52+'Landkreditt Forsikring'!C52+'Nordea Liv '!C52+'Oslo Pensjonsforsikring'!C52+'Protector Forsikring'!C52+'Sparebank 1 Fors.'!C52+'Storebrand Livsforsikring'!C52+'Telenor Forsikring'!C52+'Tryg Forsikring'!C52+'WaterCircles F'!C52+'Euro Accident'!C52+'Ly Forsikring'!C52+'Youplus Livsforsikring'!C52+'Oslo Forsikring'!C52+'Knif Trygghet Forsikring'!C52</f>
        <v>118207.0340400001</v>
      </c>
      <c r="D52" s="23">
        <f t="shared" si="23"/>
        <v>180.6</v>
      </c>
      <c r="E52" s="29"/>
      <c r="F52" s="3"/>
      <c r="G52" s="28"/>
      <c r="H52" s="27"/>
      <c r="I52" s="27"/>
      <c r="J52" s="26"/>
    </row>
    <row r="53" spans="1:10" s="35" customFormat="1" ht="15.75" customHeight="1" x14ac:dyDescent="0.25">
      <c r="A53" s="10" t="s">
        <v>194</v>
      </c>
      <c r="B53" s="183">
        <f>'Fremtind Livsforsikring'!B53+'DNB Livsforsikring'!B53+'Frende Livsforsikring'!B53+'Frende Skadeforsikring'!B53+'Gjensidige Forsikring'!B53+'Gjensidige Pensjon'!B53+'If Skadeforsikring NUF'!B53+KLP!B53+'KLP Skadeforsikring AS'!B53+'Landkreditt Forsikring'!B53+'Nordea Liv '!B53+'Oslo Pensjonsforsikring'!B53+'Protector Forsikring'!B53+'Sparebank 1 Fors.'!B53+'Storebrand Livsforsikring'!B53+'Telenor Forsikring'!B53+'Tryg Forsikring'!B53+'WaterCircles F'!B53+'Euro Accident'!B53+'Ly Forsikring'!B53+'Youplus Livsforsikring'!B53+'Oslo Forsikring'!B53+'Knif Trygghet Forsikring'!B53</f>
        <v>219133.33467784812</v>
      </c>
      <c r="C53" s="183">
        <f>'Fremtind Livsforsikring'!C53+'DNB Livsforsikring'!C53+'Frende Livsforsikring'!C53+'Frende Skadeforsikring'!C53+'Gjensidige Forsikring'!C53+'Gjensidige Pensjon'!C53+'If Skadeforsikring NUF'!C53+KLP!C53+'KLP Skadeforsikring AS'!C53+'Landkreditt Forsikring'!C53+'Nordea Liv '!C53+'Oslo Pensjonsforsikring'!C53+'Protector Forsikring'!C53+'Sparebank 1 Fors.'!C53+'Storebrand Livsforsikring'!C53+'Telenor Forsikring'!C53+'Tryg Forsikring'!C53+'WaterCircles F'!C53+'Euro Accident'!C53+'Ly Forsikring'!C53+'Youplus Livsforsikring'!C53+'Oslo Forsikring'!C53+'Knif Trygghet Forsikring'!C53</f>
        <v>325463.40980000002</v>
      </c>
      <c r="D53" s="21">
        <f t="shared" si="22"/>
        <v>48.5</v>
      </c>
      <c r="E53" s="343"/>
      <c r="F53" s="344"/>
      <c r="G53" s="26"/>
      <c r="H53" s="130"/>
      <c r="I53" s="130"/>
      <c r="J53" s="26"/>
    </row>
    <row r="54" spans="1:10" ht="15.75" customHeight="1" x14ac:dyDescent="0.25">
      <c r="A54" s="18" t="s">
        <v>189</v>
      </c>
      <c r="B54" s="36">
        <f>'Fremtind Livsforsikring'!B54+'DNB Livsforsikring'!B54+'Frende Livsforsikring'!B54+'Frende Skadeforsikring'!B54+'Gjensidige Forsikring'!B54+'Gjensidige Pensjon'!B54+'If Skadeforsikring NUF'!B54+KLP!B54+'KLP Skadeforsikring AS'!B54+'Landkreditt Forsikring'!B54+'Nordea Liv '!B54+'Oslo Pensjonsforsikring'!B54+'Protector Forsikring'!B54+'Sparebank 1 Fors.'!B54+'Storebrand Livsforsikring'!B54+'Telenor Forsikring'!B54+'Tryg Forsikring'!B54+'WaterCircles F'!B54+'Euro Accident'!B54+'Ly Forsikring'!B54+'Youplus Livsforsikring'!B54+'Oslo Forsikring'!B54+'Knif Trygghet Forsikring'!B54</f>
        <v>218144.33467784812</v>
      </c>
      <c r="C54" s="36">
        <f>'Fremtind Livsforsikring'!C54+'DNB Livsforsikring'!C54+'Frende Livsforsikring'!C54+'Frende Skadeforsikring'!C54+'Gjensidige Forsikring'!C54+'Gjensidige Pensjon'!C54+'If Skadeforsikring NUF'!C54+KLP!C54+'KLP Skadeforsikring AS'!C54+'Landkreditt Forsikring'!C54+'Nordea Liv '!C54+'Oslo Pensjonsforsikring'!C54+'Protector Forsikring'!C54+'Sparebank 1 Fors.'!C54+'Storebrand Livsforsikring'!C54+'Telenor Forsikring'!C54+'Tryg Forsikring'!C54+'WaterCircles F'!C54+'Euro Accident'!C54+'Ly Forsikring'!C54+'Youplus Livsforsikring'!C54+'Oslo Forsikring'!C54+'Knif Trygghet Forsikring'!C54</f>
        <v>318485.34480000002</v>
      </c>
      <c r="D54" s="21">
        <f t="shared" si="22"/>
        <v>46</v>
      </c>
      <c r="E54" s="29"/>
      <c r="F54" s="3"/>
      <c r="G54" s="28"/>
      <c r="H54" s="27"/>
      <c r="I54" s="27"/>
      <c r="J54" s="26"/>
    </row>
    <row r="55" spans="1:10" ht="15.75" customHeight="1" x14ac:dyDescent="0.25">
      <c r="A55" s="18" t="s">
        <v>190</v>
      </c>
      <c r="B55" s="36">
        <f>'Fremtind Livsforsikring'!B55+'DNB Livsforsikring'!B55+'Frende Livsforsikring'!B55+'Frende Skadeforsikring'!B55+'Gjensidige Forsikring'!B55+'Gjensidige Pensjon'!B55+'If Skadeforsikring NUF'!B55+KLP!B55+'KLP Skadeforsikring AS'!B55+'Landkreditt Forsikring'!B55+'Nordea Liv '!B55+'Oslo Pensjonsforsikring'!B55+'Protector Forsikring'!B55+'Sparebank 1 Fors.'!B55+'Storebrand Livsforsikring'!B55+'Telenor Forsikring'!B55+'Tryg Forsikring'!B55+'WaterCircles F'!B55+'Euro Accident'!B55+'Ly Forsikring'!B55+'Youplus Livsforsikring'!B55+'Oslo Forsikring'!B55+'Knif Trygghet Forsikring'!B55</f>
        <v>989</v>
      </c>
      <c r="C55" s="36">
        <f>'Fremtind Livsforsikring'!C55+'DNB Livsforsikring'!C55+'Frende Livsforsikring'!C55+'Frende Skadeforsikring'!C55+'Gjensidige Forsikring'!C55+'Gjensidige Pensjon'!C55+'If Skadeforsikring NUF'!C55+KLP!C55+'KLP Skadeforsikring AS'!C55+'Landkreditt Forsikring'!C55+'Nordea Liv '!C55+'Oslo Pensjonsforsikring'!C55+'Protector Forsikring'!C55+'Sparebank 1 Fors.'!C55+'Storebrand Livsforsikring'!C55+'Telenor Forsikring'!C55+'Tryg Forsikring'!C55+'WaterCircles F'!C55+'Euro Accident'!C55+'Ly Forsikring'!C55+'Youplus Livsforsikring'!C55+'Oslo Forsikring'!C55+'Knif Trygghet Forsikring'!C55</f>
        <v>6978.0649999999996</v>
      </c>
      <c r="D55" s="21">
        <f t="shared" si="22"/>
        <v>605.6</v>
      </c>
      <c r="E55" s="29"/>
      <c r="F55" s="3"/>
      <c r="G55" s="28"/>
      <c r="H55" s="27"/>
      <c r="I55" s="27"/>
      <c r="J55" s="26"/>
    </row>
    <row r="56" spans="1:10" s="35" customFormat="1" ht="15.75" customHeight="1" x14ac:dyDescent="0.25">
      <c r="A56" s="10" t="s">
        <v>195</v>
      </c>
      <c r="B56" s="183">
        <f>'Fremtind Livsforsikring'!B56+'DNB Livsforsikring'!B56+'Frende Livsforsikring'!B56+'Frende Skadeforsikring'!B56+'Gjensidige Forsikring'!B56+'Gjensidige Pensjon'!B56+'If Skadeforsikring NUF'!B56+KLP!B56+'KLP Skadeforsikring AS'!B56+'Landkreditt Forsikring'!B56+'Nordea Liv '!B56+'Oslo Pensjonsforsikring'!B56+'Protector Forsikring'!B56+'Sparebank 1 Fors.'!B56+'Storebrand Livsforsikring'!B56+'Telenor Forsikring'!B56+'Tryg Forsikring'!B56+'WaterCircles F'!B56+'Euro Accident'!B56+'Ly Forsikring'!B56+'Youplus Livsforsikring'!B56+'Oslo Forsikring'!B56+'Knif Trygghet Forsikring'!B56</f>
        <v>239121.538</v>
      </c>
      <c r="C56" s="183">
        <f>'Fremtind Livsforsikring'!C56+'DNB Livsforsikring'!C56+'Frende Livsforsikring'!C56+'Frende Skadeforsikring'!C56+'Gjensidige Forsikring'!C56+'Gjensidige Pensjon'!C56+'If Skadeforsikring NUF'!C56+KLP!C56+'KLP Skadeforsikring AS'!C56+'Landkreditt Forsikring'!C56+'Nordea Liv '!C56+'Oslo Pensjonsforsikring'!C56+'Protector Forsikring'!C56+'Sparebank 1 Fors.'!C56+'Storebrand Livsforsikring'!C56+'Telenor Forsikring'!C56+'Tryg Forsikring'!C56+'WaterCircles F'!C56+'Euro Accident'!C56+'Ly Forsikring'!C56+'Youplus Livsforsikring'!C56+'Oslo Forsikring'!C56+'Knif Trygghet Forsikring'!C56</f>
        <v>273893.16899999999</v>
      </c>
      <c r="D56" s="21">
        <f t="shared" si="22"/>
        <v>14.5</v>
      </c>
      <c r="E56" s="343"/>
      <c r="F56" s="344"/>
      <c r="G56" s="26"/>
      <c r="H56" s="130"/>
      <c r="I56" s="130"/>
      <c r="J56" s="26"/>
    </row>
    <row r="57" spans="1:10" ht="15.75" customHeight="1" x14ac:dyDescent="0.25">
      <c r="A57" s="18" t="s">
        <v>189</v>
      </c>
      <c r="B57" s="36">
        <f>'Fremtind Livsforsikring'!B57+'DNB Livsforsikring'!B57+'Frende Livsforsikring'!B57+'Frende Skadeforsikring'!B57+'Gjensidige Forsikring'!B57+'Gjensidige Pensjon'!B57+'If Skadeforsikring NUF'!B57+KLP!B57+'KLP Skadeforsikring AS'!B57+'Landkreditt Forsikring'!B57+'Nordea Liv '!B57+'Oslo Pensjonsforsikring'!B57+'Protector Forsikring'!B57+'Sparebank 1 Fors.'!B57+'Storebrand Livsforsikring'!B57+'Telenor Forsikring'!B57+'Tryg Forsikring'!B57+'WaterCircles F'!B57+'Euro Accident'!B57+'Ly Forsikring'!B57+'Youplus Livsforsikring'!B57+'Oslo Forsikring'!B57+'Knif Trygghet Forsikring'!B57</f>
        <v>239121.538</v>
      </c>
      <c r="C57" s="36">
        <f>'Fremtind Livsforsikring'!C57+'DNB Livsforsikring'!C57+'Frende Livsforsikring'!C57+'Frende Skadeforsikring'!C57+'Gjensidige Forsikring'!C57+'Gjensidige Pensjon'!C57+'If Skadeforsikring NUF'!C57+KLP!C57+'KLP Skadeforsikring AS'!C57+'Landkreditt Forsikring'!C57+'Nordea Liv '!C57+'Oslo Pensjonsforsikring'!C57+'Protector Forsikring'!C57+'Sparebank 1 Fors.'!C57+'Storebrand Livsforsikring'!C57+'Telenor Forsikring'!C57+'Tryg Forsikring'!C57+'WaterCircles F'!C57+'Euro Accident'!C57+'Ly Forsikring'!C57+'Youplus Livsforsikring'!C57+'Oslo Forsikring'!C57+'Knif Trygghet Forsikring'!C57</f>
        <v>216027.16899999999</v>
      </c>
      <c r="D57" s="21">
        <f t="shared" si="22"/>
        <v>-9.6999999999999993</v>
      </c>
      <c r="E57" s="29"/>
      <c r="F57" s="3"/>
      <c r="G57" s="28"/>
      <c r="H57" s="27"/>
      <c r="I57" s="27"/>
      <c r="J57" s="26"/>
    </row>
    <row r="58" spans="1:10" ht="15.75" customHeight="1" x14ac:dyDescent="0.25">
      <c r="A58" s="18" t="s">
        <v>190</v>
      </c>
      <c r="B58" s="37">
        <f>'Fremtind Livsforsikring'!B58+'DNB Livsforsikring'!B58+'Frende Livsforsikring'!B58+'Frende Skadeforsikring'!B58+'Gjensidige Forsikring'!B58+'Gjensidige Pensjon'!B58+'If Skadeforsikring NUF'!B58+KLP!B58+'KLP Skadeforsikring AS'!B58+'Landkreditt Forsikring'!B58+'Nordea Liv '!B58+'Oslo Pensjonsforsikring'!B58+'Protector Forsikring'!B58+'Sparebank 1 Fors.'!B58+'Storebrand Livsforsikring'!B58+'Telenor Forsikring'!B58+'Tryg Forsikring'!B58+'WaterCircles F'!B58+'Euro Accident'!B58+'Ly Forsikring'!B58+'Youplus Livsforsikring'!B58+'Oslo Forsikring'!B58+'Knif Trygghet Forsikring'!B58</f>
        <v>0</v>
      </c>
      <c r="C58" s="37">
        <f>'Fremtind Livsforsikring'!C58+'DNB Livsforsikring'!C58+'Frende Livsforsikring'!C58+'Frende Skadeforsikring'!C58+'Gjensidige Forsikring'!C58+'Gjensidige Pensjon'!C58+'If Skadeforsikring NUF'!C58+KLP!C58+'KLP Skadeforsikring AS'!C58+'Landkreditt Forsikring'!C58+'Nordea Liv '!C58+'Oslo Pensjonsforsikring'!C58+'Protector Forsikring'!C58+'Sparebank 1 Fors.'!C58+'Storebrand Livsforsikring'!C58+'Telenor Forsikring'!C58+'Tryg Forsikring'!C58+'WaterCircles F'!C58+'Euro Accident'!C58+'Ly Forsikring'!C58+'Youplus Livsforsikring'!C58+'Oslo Forsikring'!C58+'Knif Trygghet Forsikring'!C58</f>
        <v>57866</v>
      </c>
      <c r="D58" s="30" t="str">
        <f t="shared" si="22"/>
        <v xml:space="preserve">    ---- </v>
      </c>
      <c r="E58" s="29"/>
      <c r="F58" s="3"/>
      <c r="G58" s="28"/>
      <c r="H58" s="27"/>
      <c r="I58" s="27"/>
      <c r="J58" s="26"/>
    </row>
    <row r="59" spans="1:10" ht="15.75" customHeight="1" x14ac:dyDescent="0.3">
      <c r="A59" s="115"/>
      <c r="B59" s="24"/>
      <c r="C59" s="24"/>
      <c r="D59" s="24"/>
      <c r="E59" s="24"/>
      <c r="F59" s="24"/>
      <c r="G59" s="24"/>
      <c r="H59" s="24"/>
      <c r="I59" s="24"/>
      <c r="J59" s="24"/>
    </row>
    <row r="60" spans="1:10" ht="15.75" customHeight="1" x14ac:dyDescent="0.25">
      <c r="A60" s="115"/>
    </row>
    <row r="61" spans="1:10" ht="15.75" customHeight="1" x14ac:dyDescent="0.3">
      <c r="A61" s="110" t="s">
        <v>196</v>
      </c>
      <c r="C61" s="22"/>
      <c r="D61" s="4"/>
      <c r="E61" s="22"/>
      <c r="F61" s="22"/>
      <c r="G61" s="4"/>
      <c r="H61" s="22"/>
      <c r="I61" s="22"/>
      <c r="J61" s="4"/>
    </row>
    <row r="62" spans="1:10" ht="20.100000000000001" customHeight="1" x14ac:dyDescent="0.3">
      <c r="A62" s="22"/>
      <c r="B62" s="774"/>
      <c r="C62" s="774"/>
      <c r="D62" s="774"/>
      <c r="E62" s="774"/>
      <c r="F62" s="774"/>
      <c r="G62" s="774"/>
      <c r="H62" s="774"/>
      <c r="I62" s="774"/>
      <c r="J62" s="774"/>
    </row>
    <row r="63" spans="1:10" ht="15.75" customHeight="1" x14ac:dyDescent="0.25">
      <c r="A63" s="108"/>
      <c r="B63" s="771" t="s">
        <v>46</v>
      </c>
      <c r="C63" s="772"/>
      <c r="D63" s="772"/>
      <c r="E63" s="771" t="s">
        <v>70</v>
      </c>
      <c r="F63" s="772"/>
      <c r="G63" s="773"/>
      <c r="H63" s="772" t="s">
        <v>121</v>
      </c>
      <c r="I63" s="772"/>
      <c r="J63" s="773"/>
    </row>
    <row r="64" spans="1:10" ht="15.75" customHeight="1" x14ac:dyDescent="0.25">
      <c r="A64" s="105"/>
      <c r="B64" s="200" t="s">
        <v>491</v>
      </c>
      <c r="C64" s="200" t="s">
        <v>492</v>
      </c>
      <c r="D64" s="16" t="s">
        <v>166</v>
      </c>
      <c r="E64" s="200" t="s">
        <v>491</v>
      </c>
      <c r="F64" s="200" t="s">
        <v>492</v>
      </c>
      <c r="G64" s="16" t="s">
        <v>166</v>
      </c>
      <c r="H64" s="200" t="s">
        <v>491</v>
      </c>
      <c r="I64" s="200" t="s">
        <v>492</v>
      </c>
      <c r="J64" s="16" t="s">
        <v>166</v>
      </c>
    </row>
    <row r="65" spans="1:10" ht="15.75" customHeight="1" x14ac:dyDescent="0.25">
      <c r="A65" s="737"/>
      <c r="B65" s="12"/>
      <c r="C65" s="12"/>
      <c r="D65" s="14" t="s">
        <v>167</v>
      </c>
      <c r="E65" s="13"/>
      <c r="F65" s="13"/>
      <c r="G65" s="12" t="s">
        <v>167</v>
      </c>
      <c r="H65" s="13"/>
      <c r="I65" s="13"/>
      <c r="J65" s="12" t="s">
        <v>167</v>
      </c>
    </row>
    <row r="66" spans="1:10" s="35" customFormat="1" ht="15.75" customHeight="1" x14ac:dyDescent="0.25">
      <c r="A66" s="11" t="s">
        <v>168</v>
      </c>
      <c r="B66" s="273">
        <f>'Fremtind Livsforsikring'!B66+'DNB Livsforsikring'!B66+'Frende Livsforsikring'!B66+'Frende Skadeforsikring'!B66+'Gjensidige Forsikring'!B66+'Gjensidige Pensjon'!B66+'If Skadeforsikring NUF'!B66+KLP!B66+'KLP Skadeforsikring AS'!B66+'Landkreditt Forsikring'!B66+'Nordea Liv '!B66+'Oslo Pensjonsforsikring'!B66+'Protector Forsikring'!B66+'Sparebank 1 Fors.'!B66+'Storebrand Livsforsikring'!B66+'Telenor Forsikring'!B66+'Tryg Forsikring'!B66+'WaterCircles F'!B66+'Euro Accident'!B66+'Ly Forsikring'!B66+'Youplus Livsforsikring'!B66+'Oslo Forsikring'!B66+'Knif Trygghet Forsikring'!B66</f>
        <v>8817279.4202000014</v>
      </c>
      <c r="C66" s="273">
        <f>'Fremtind Livsforsikring'!C66+'DNB Livsforsikring'!C66+'Frende Livsforsikring'!C66+'Frende Skadeforsikring'!C66+'Gjensidige Forsikring'!C66+'Gjensidige Pensjon'!C66+'If Skadeforsikring NUF'!C66+KLP!C66+'KLP Skadeforsikring AS'!C66+'Landkreditt Forsikring'!C66+'Nordea Liv '!C66+'Oslo Pensjonsforsikring'!C66+'Protector Forsikring'!C66+'Sparebank 1 Fors.'!C66+'Storebrand Livsforsikring'!C66+'Telenor Forsikring'!C66+'Tryg Forsikring'!C66+'WaterCircles F'!C66+'Euro Accident'!C66+'Ly Forsikring'!C66+'Youplus Livsforsikring'!C66+'Oslo Forsikring'!C66+'Knif Trygghet Forsikring'!C66</f>
        <v>9394154.7065499984</v>
      </c>
      <c r="D66" s="21">
        <f t="shared" ref="D66:D111" si="24">IF(B66=0, "    ---- ", IF(ABS(ROUND(100/B66*C66-100,1))&lt;999,ROUND(100/B66*C66-100,1),IF(ROUND(100/B66*C66-100,1)&gt;999,999,-999)))</f>
        <v>6.5</v>
      </c>
      <c r="E66" s="183">
        <f>'Fremtind Livsforsikring'!F66+'DNB Livsforsikring'!F66+'Frende Livsforsikring'!F66+'Frende Skadeforsikring'!F66+'Gjensidige Forsikring'!F66+'Gjensidige Pensjon'!F66+'If Skadeforsikring NUF'!F66+KLP!F66+'KLP Skadeforsikring AS'!F66+'Landkreditt Forsikring'!F66+'Nordea Liv '!F66+'Oslo Pensjonsforsikring'!F66+'Protector Forsikring'!F66+'Sparebank 1 Fors.'!F66+'Storebrand Livsforsikring'!F66+'Telenor Forsikring'!F66+'Tryg Forsikring'!F66+'WaterCircles F'!F66+'Euro Accident'!F66+'Ly Forsikring'!F66+'Youplus Livsforsikring'!F66+'Oslo Forsikring'!F66+'Knif Trygghet Forsikring'!F66</f>
        <v>54720089.956119999</v>
      </c>
      <c r="F66" s="183">
        <f>'Fremtind Livsforsikring'!G66+'DNB Livsforsikring'!G66+'Frende Livsforsikring'!G66+'Frende Skadeforsikring'!G66+'Gjensidige Forsikring'!G66+'Gjensidige Pensjon'!G66+'If Skadeforsikring NUF'!G66+KLP!G66+'KLP Skadeforsikring AS'!G66+'Landkreditt Forsikring'!G66+'Nordea Liv '!G66+'Oslo Pensjonsforsikring'!G66+'Protector Forsikring'!G66+'Sparebank 1 Fors.'!G66+'Storebrand Livsforsikring'!G66+'Telenor Forsikring'!G66+'Tryg Forsikring'!G66+'WaterCircles F'!G66+'Euro Accident'!G66+'Ly Forsikring'!G66+'Youplus Livsforsikring'!G66+'Oslo Forsikring'!G66+'Knif Trygghet Forsikring'!G66</f>
        <v>59387195.467149995</v>
      </c>
      <c r="G66" s="127">
        <f t="shared" ref="G66:G125" si="25">IF(E66=0, "    ---- ", IF(ABS(ROUND(100/E66*F66-100,1))&lt;999,ROUND(100/E66*F66-100,1),IF(ROUND(100/E66*F66-100,1)&gt;999,999,-999)))</f>
        <v>8.5</v>
      </c>
      <c r="H66" s="273">
        <f t="shared" ref="H66:H86" si="26">SUM(B66,E66)</f>
        <v>63537369.376320004</v>
      </c>
      <c r="I66" s="273">
        <f t="shared" ref="I66:I86" si="27">SUM(C66,F66)</f>
        <v>68781350.17369999</v>
      </c>
      <c r="J66" s="21">
        <f t="shared" ref="J66:J111" si="28">IF(H66=0, "    ---- ", IF(ABS(ROUND(100/H66*I66-100,1))&lt;999,ROUND(100/H66*I66-100,1),IF(ROUND(100/H66*I66-100,1)&gt;999,999,-999)))</f>
        <v>8.3000000000000007</v>
      </c>
    </row>
    <row r="67" spans="1:10" ht="15.75" customHeight="1" x14ac:dyDescent="0.3">
      <c r="A67" s="18" t="s">
        <v>197</v>
      </c>
      <c r="B67" s="181">
        <f>'Fremtind Livsforsikring'!B67+'DNB Livsforsikring'!B67+'Frende Livsforsikring'!B67+'Frende Skadeforsikring'!B67+'Gjensidige Forsikring'!B67+'Gjensidige Pensjon'!B67+'If Skadeforsikring NUF'!B67+KLP!B67+'KLP Skadeforsikring AS'!B67+'Landkreditt Forsikring'!B67+'Nordea Liv '!B67+'Oslo Pensjonsforsikring'!B67+'Protector Forsikring'!B67+'Sparebank 1 Fors.'!B67+'Storebrand Livsforsikring'!B67+'Telenor Forsikring'!B67+'Tryg Forsikring'!B67+'WaterCircles F'!B67+'Euro Accident'!B67+'Ly Forsikring'!B67+'Youplus Livsforsikring'!B67+'Oslo Forsikring'!B67+'Knif Trygghet Forsikring'!B67</f>
        <v>4746933.4747245898</v>
      </c>
      <c r="C67" s="181">
        <f>'Fremtind Livsforsikring'!C67+'DNB Livsforsikring'!C67+'Frende Livsforsikring'!C67+'Frende Skadeforsikring'!C67+'Gjensidige Forsikring'!C67+'Gjensidige Pensjon'!C67+'If Skadeforsikring NUF'!C67+KLP!C67+'KLP Skadeforsikring AS'!C67+'Landkreditt Forsikring'!C67+'Nordea Liv '!C67+'Oslo Pensjonsforsikring'!C67+'Protector Forsikring'!C67+'Sparebank 1 Fors.'!C67+'Storebrand Livsforsikring'!C67+'Telenor Forsikring'!C67+'Tryg Forsikring'!C67+'WaterCircles F'!C67+'Euro Accident'!C67+'Ly Forsikring'!C67+'Youplus Livsforsikring'!C67+'Oslo Forsikring'!C67+'Knif Trygghet Forsikring'!C67</f>
        <v>4205274.9038616596</v>
      </c>
      <c r="D67" s="188">
        <f t="shared" si="24"/>
        <v>-11.4</v>
      </c>
      <c r="E67" s="36"/>
      <c r="F67" s="36"/>
      <c r="G67" s="123"/>
      <c r="H67" s="184">
        <f t="shared" si="26"/>
        <v>4746933.4747245898</v>
      </c>
      <c r="I67" s="184">
        <f t="shared" si="27"/>
        <v>4205274.9038616596</v>
      </c>
      <c r="J67" s="20">
        <f t="shared" si="28"/>
        <v>-11.4</v>
      </c>
    </row>
    <row r="68" spans="1:10" ht="15.75" customHeight="1" x14ac:dyDescent="0.3">
      <c r="A68" s="18" t="s">
        <v>198</v>
      </c>
      <c r="B68" s="181">
        <f>'Fremtind Livsforsikring'!B68+'DNB Livsforsikring'!B68+'Frende Livsforsikring'!B68+'Frende Skadeforsikring'!B68+'Gjensidige Forsikring'!B68+'Gjensidige Pensjon'!B68+'If Skadeforsikring NUF'!B68+KLP!B68+'KLP Skadeforsikring AS'!B68+'Landkreditt Forsikring'!B68+'Nordea Liv '!B68+'Oslo Pensjonsforsikring'!B68+'Protector Forsikring'!B68+'Sparebank 1 Fors.'!B68+'Storebrand Livsforsikring'!B68+'Telenor Forsikring'!B68+'Tryg Forsikring'!B68+'WaterCircles F'!B68+'Euro Accident'!B68+'Ly Forsikring'!B68+'Youplus Livsforsikring'!B68+'Oslo Forsikring'!B68+'Knif Trygghet Forsikring'!B68</f>
        <v>29813.744979999999</v>
      </c>
      <c r="C68" s="181">
        <f>'Fremtind Livsforsikring'!C68+'DNB Livsforsikring'!C68+'Frende Livsforsikring'!C68+'Frende Skadeforsikring'!C68+'Gjensidige Forsikring'!C68+'Gjensidige Pensjon'!C68+'If Skadeforsikring NUF'!C68+KLP!C68+'KLP Skadeforsikring AS'!C68+'Landkreditt Forsikring'!C68+'Nordea Liv '!C68+'Oslo Pensjonsforsikring'!C68+'Protector Forsikring'!C68+'Sparebank 1 Fors.'!C68+'Storebrand Livsforsikring'!C68+'Telenor Forsikring'!C68+'Tryg Forsikring'!C68+'WaterCircles F'!C68+'Euro Accident'!C68+'Ly Forsikring'!C68+'Youplus Livsforsikring'!C68+'Oslo Forsikring'!C68+'Knif Trygghet Forsikring'!C68</f>
        <v>24196.741590000001</v>
      </c>
      <c r="D68" s="188">
        <f t="shared" si="24"/>
        <v>-18.8</v>
      </c>
      <c r="E68" s="36">
        <f>'Fremtind Livsforsikring'!F68+'DNB Livsforsikring'!F68+'Frende Livsforsikring'!F68+'Frende Skadeforsikring'!F68+'Gjensidige Forsikring'!F68+'Gjensidige Pensjon'!F68+'If Skadeforsikring NUF'!F68+KLP!F68+'KLP Skadeforsikring AS'!F68+'Landkreditt Forsikring'!F68+'Nordea Liv '!F68+'Oslo Pensjonsforsikring'!F68+'Protector Forsikring'!F68+'Sparebank 1 Fors.'!F68+'Storebrand Livsforsikring'!F68+'Telenor Forsikring'!F68+'Tryg Forsikring'!F68+'WaterCircles F'!F68+'Euro Accident'!F68+'Ly Forsikring'!F68+'Youplus Livsforsikring'!F68+'Oslo Forsikring'!F68+'Knif Trygghet Forsikring'!F68</f>
        <v>52614807.915200002</v>
      </c>
      <c r="F68" s="36">
        <f>'Fremtind Livsforsikring'!G68+'DNB Livsforsikring'!G68+'Frende Livsforsikring'!G68+'Frende Skadeforsikring'!G68+'Gjensidige Forsikring'!G68+'Gjensidige Pensjon'!G68+'If Skadeforsikring NUF'!G68+KLP!G68+'KLP Skadeforsikring AS'!G68+'Landkreditt Forsikring'!G68+'Nordea Liv '!G68+'Oslo Pensjonsforsikring'!G68+'Protector Forsikring'!G68+'Sparebank 1 Fors.'!G68+'Storebrand Livsforsikring'!G68+'Telenor Forsikring'!G68+'Tryg Forsikring'!G68+'WaterCircles F'!G68+'Euro Accident'!G68+'Ly Forsikring'!G68+'Youplus Livsforsikring'!G68+'Oslo Forsikring'!G68+'Knif Trygghet Forsikring'!G68</f>
        <v>57188292.149590001</v>
      </c>
      <c r="G68" s="123">
        <f t="shared" si="25"/>
        <v>8.6999999999999993</v>
      </c>
      <c r="H68" s="184">
        <f t="shared" si="26"/>
        <v>52644621.660180002</v>
      </c>
      <c r="I68" s="184">
        <f t="shared" si="27"/>
        <v>57212488.891180001</v>
      </c>
      <c r="J68" s="20">
        <f t="shared" si="28"/>
        <v>8.6999999999999993</v>
      </c>
    </row>
    <row r="69" spans="1:10" ht="15.75" customHeight="1" x14ac:dyDescent="0.25">
      <c r="A69" s="243" t="s">
        <v>199</v>
      </c>
      <c r="B69" s="36">
        <f>'Fremtind Livsforsikring'!B69+'DNB Livsforsikring'!B69+'Frende Livsforsikring'!B69+'Frende Skadeforsikring'!B69+'Gjensidige Forsikring'!B69+'Gjensidige Pensjon'!B69+'If Skadeforsikring NUF'!B69+KLP!B69+'KLP Skadeforsikring AS'!B69+'Landkreditt Forsikring'!B69+'Nordea Liv '!B69+'Oslo Pensjonsforsikring'!B69+'Protector Forsikring'!B69+'Sparebank 1 Fors.'!B69+'Storebrand Livsforsikring'!B69+'Telenor Forsikring'!B69+'Tryg Forsikring'!B69+'WaterCircles F'!B69+'Euro Accident'!B69+'Ly Forsikring'!B69+'Youplus Livsforsikring'!B69+'Oslo Forsikring'!B69+'Knif Trygghet Forsikring'!B69</f>
        <v>318</v>
      </c>
      <c r="C69" s="36">
        <f>'Fremtind Livsforsikring'!C69+'DNB Livsforsikring'!C69+'Frende Livsforsikring'!C69+'Frende Skadeforsikring'!C69+'Gjensidige Forsikring'!C69+'Gjensidige Pensjon'!C69+'If Skadeforsikring NUF'!C69+KLP!C69+'KLP Skadeforsikring AS'!C69+'Landkreditt Forsikring'!C69+'Nordea Liv '!C69+'Oslo Pensjonsforsikring'!C69+'Protector Forsikring'!C69+'Sparebank 1 Fors.'!C69+'Storebrand Livsforsikring'!C69+'Telenor Forsikring'!C69+'Tryg Forsikring'!C69+'WaterCircles F'!C69+'Euro Accident'!C69+'Ly Forsikring'!C69+'Youplus Livsforsikring'!C69+'Oslo Forsikring'!C69+'Knif Trygghet Forsikring'!C69</f>
        <v>236</v>
      </c>
      <c r="D69" s="23">
        <f>IF($A$1=4,IF(B69=0, "    ---- ", IF(ABS(ROUND(100/B69*C69-100,1))&lt;999,ROUND(100/B69*C69-100,1),IF(ROUND(100/B69*C69-100,1)&gt;999,999,-999))),"")</f>
        <v>-25.8</v>
      </c>
      <c r="E69" s="36">
        <f>'Fremtind Livsforsikring'!F69+'DNB Livsforsikring'!F69+'Frende Livsforsikring'!F69+'Frende Skadeforsikring'!F69+'Gjensidige Forsikring'!F69+'Gjensidige Pensjon'!F69+'If Skadeforsikring NUF'!F69+KLP!F69+'KLP Skadeforsikring AS'!F69+'Landkreditt Forsikring'!F69+'Nordea Liv '!F69+'Oslo Pensjonsforsikring'!F69+'Protector Forsikring'!F69+'Sparebank 1 Fors.'!F69+'Storebrand Livsforsikring'!F69+'Telenor Forsikring'!F69+'Tryg Forsikring'!F69+'WaterCircles F'!F69+'Euro Accident'!F69+'Ly Forsikring'!F69+'Youplus Livsforsikring'!F69+'Oslo Forsikring'!F69+'Knif Trygghet Forsikring'!F69</f>
        <v>2524.7269999999999</v>
      </c>
      <c r="F69" s="36">
        <f>'Fremtind Livsforsikring'!G69+'DNB Livsforsikring'!G69+'Frende Livsforsikring'!G69+'Frende Skadeforsikring'!G69+'Gjensidige Forsikring'!G69+'Gjensidige Pensjon'!G69+'If Skadeforsikring NUF'!G69+KLP!G69+'KLP Skadeforsikring AS'!G69+'Landkreditt Forsikring'!G69+'Nordea Liv '!G69+'Oslo Pensjonsforsikring'!G69+'Protector Forsikring'!G69+'Sparebank 1 Fors.'!G69+'Storebrand Livsforsikring'!G69+'Telenor Forsikring'!G69+'Tryg Forsikring'!G69+'WaterCircles F'!G69+'Euro Accident'!G69+'Ly Forsikring'!G69+'Youplus Livsforsikring'!G69+'Oslo Forsikring'!G69+'Knif Trygghet Forsikring'!G69</f>
        <v>2508.4879999999998</v>
      </c>
      <c r="G69" s="123">
        <f t="shared" si="25"/>
        <v>-0.6</v>
      </c>
      <c r="H69" s="184">
        <f t="shared" si="26"/>
        <v>2842.7269999999999</v>
      </c>
      <c r="I69" s="184">
        <f t="shared" si="27"/>
        <v>2744.4879999999998</v>
      </c>
      <c r="J69" s="20">
        <f t="shared" si="28"/>
        <v>-3.5</v>
      </c>
    </row>
    <row r="70" spans="1:10" ht="15.75" customHeight="1" x14ac:dyDescent="0.25">
      <c r="A70" s="243" t="s">
        <v>200</v>
      </c>
      <c r="B70" s="182"/>
      <c r="C70" s="182"/>
      <c r="D70" s="23"/>
      <c r="E70" s="36"/>
      <c r="F70" s="36"/>
      <c r="G70" s="123"/>
      <c r="H70" s="184"/>
      <c r="I70" s="184"/>
      <c r="J70" s="20"/>
    </row>
    <row r="71" spans="1:10" ht="15.75" customHeight="1" x14ac:dyDescent="0.25">
      <c r="A71" s="243" t="s">
        <v>201</v>
      </c>
      <c r="B71" s="182"/>
      <c r="C71" s="182"/>
      <c r="D71" s="23"/>
      <c r="E71" s="36">
        <f>'Fremtind Livsforsikring'!F71+'DNB Livsforsikring'!F71+'Frende Livsforsikring'!F71+'Frende Skadeforsikring'!F71+'Gjensidige Forsikring'!F71+'Gjensidige Pensjon'!F71+'If Skadeforsikring NUF'!F71+KLP!F71+'KLP Skadeforsikring AS'!F71+'Landkreditt Forsikring'!F71+'Nordea Liv '!F71+'Oslo Pensjonsforsikring'!F71+'Protector Forsikring'!F71+'Sparebank 1 Fors.'!F71+'Storebrand Livsforsikring'!F71+'Telenor Forsikring'!F71+'Tryg Forsikring'!F71+'WaterCircles F'!F71+'Euro Accident'!F71+'Ly Forsikring'!F71+'Youplus Livsforsikring'!F71+'Oslo Forsikring'!F71+'Knif Trygghet Forsikring'!F71</f>
        <v>2524.7269999999999</v>
      </c>
      <c r="F71" s="36">
        <f>'Fremtind Livsforsikring'!G71+'DNB Livsforsikring'!G71+'Frende Livsforsikring'!G71+'Frende Skadeforsikring'!G71+'Gjensidige Forsikring'!G71+'Gjensidige Pensjon'!G71+'If Skadeforsikring NUF'!G71+KLP!G71+'KLP Skadeforsikring AS'!G71+'Landkreditt Forsikring'!G71+'Nordea Liv '!G71+'Oslo Pensjonsforsikring'!G71+'Protector Forsikring'!G71+'Sparebank 1 Fors.'!G71+'Storebrand Livsforsikring'!G71+'Telenor Forsikring'!G71+'Tryg Forsikring'!G71+'WaterCircles F'!G71+'Euro Accident'!G71+'Ly Forsikring'!G71+'Youplus Livsforsikring'!G71+'Oslo Forsikring'!G71+'Knif Trygghet Forsikring'!G71</f>
        <v>2508.4879999999998</v>
      </c>
      <c r="G71" s="123">
        <f t="shared" si="25"/>
        <v>-0.6</v>
      </c>
      <c r="H71" s="184">
        <f t="shared" si="26"/>
        <v>2524.7269999999999</v>
      </c>
      <c r="I71" s="184">
        <f t="shared" si="27"/>
        <v>2508.4879999999998</v>
      </c>
      <c r="J71" s="20">
        <f t="shared" si="28"/>
        <v>-0.6</v>
      </c>
    </row>
    <row r="72" spans="1:10" ht="15.75" customHeight="1" x14ac:dyDescent="0.25">
      <c r="A72" s="243" t="s">
        <v>202</v>
      </c>
      <c r="B72" s="36">
        <f>'Fremtind Livsforsikring'!B72+'DNB Livsforsikring'!B72+'Frende Livsforsikring'!B72+'Frende Skadeforsikring'!B72+'Gjensidige Forsikring'!B72+'Gjensidige Pensjon'!B72+'If Skadeforsikring NUF'!B72+KLP!B72+'KLP Skadeforsikring AS'!B72+'Landkreditt Forsikring'!B72+'Nordea Liv '!B72+'Oslo Pensjonsforsikring'!B72+'Protector Forsikring'!B72+'Sparebank 1 Fors.'!B72+'Storebrand Livsforsikring'!B72+'Telenor Forsikring'!B72+'Tryg Forsikring'!B72+'WaterCircles F'!B72+'Euro Accident'!B72+'Ly Forsikring'!B72+'Youplus Livsforsikring'!B72+'Oslo Forsikring'!B72+'Knif Trygghet Forsikring'!B72</f>
        <v>29495.744979999999</v>
      </c>
      <c r="C72" s="36">
        <f>'Fremtind Livsforsikring'!C72+'DNB Livsforsikring'!C72+'Frende Livsforsikring'!C72+'Frende Skadeforsikring'!C72+'Gjensidige Forsikring'!C72+'Gjensidige Pensjon'!C72+'If Skadeforsikring NUF'!C72+KLP!C72+'KLP Skadeforsikring AS'!C72+'Landkreditt Forsikring'!C72+'Nordea Liv '!C72+'Oslo Pensjonsforsikring'!C72+'Protector Forsikring'!C72+'Sparebank 1 Fors.'!C72+'Storebrand Livsforsikring'!C72+'Telenor Forsikring'!C72+'Tryg Forsikring'!C72+'WaterCircles F'!C72+'Euro Accident'!C72+'Ly Forsikring'!C72+'Youplus Livsforsikring'!C72+'Oslo Forsikring'!C72+'Knif Trygghet Forsikring'!C72</f>
        <v>23960.741590000001</v>
      </c>
      <c r="D72" s="23">
        <f>IF($A$1=4,IF(B72=0, "    ---- ", IF(ABS(ROUND(100/B72*C72-100,1))&lt;999,ROUND(100/B72*C72-100,1),IF(ROUND(100/B72*C72-100,1)&gt;999,999,-999))),"")</f>
        <v>-18.8</v>
      </c>
      <c r="E72" s="36">
        <f>'Fremtind Livsforsikring'!F72+'DNB Livsforsikring'!F72+'Frende Livsforsikring'!F72+'Frende Skadeforsikring'!F72+'Gjensidige Forsikring'!F72+'Gjensidige Pensjon'!F72+'If Skadeforsikring NUF'!F72+KLP!F72+'KLP Skadeforsikring AS'!F72+'Landkreditt Forsikring'!F72+'Nordea Liv '!F72+'Oslo Pensjonsforsikring'!F72+'Protector Forsikring'!F72+'Sparebank 1 Fors.'!F72+'Storebrand Livsforsikring'!F72+'Telenor Forsikring'!F72+'Tryg Forsikring'!F72+'WaterCircles F'!F72+'Euro Accident'!F72+'Ly Forsikring'!F72+'Youplus Livsforsikring'!F72+'Oslo Forsikring'!F72+'Knif Trygghet Forsikring'!F72</f>
        <v>52612283.188200004</v>
      </c>
      <c r="F72" s="36">
        <f>'Fremtind Livsforsikring'!G72+'DNB Livsforsikring'!G72+'Frende Livsforsikring'!G72+'Frende Skadeforsikring'!G72+'Gjensidige Forsikring'!G72+'Gjensidige Pensjon'!G72+'If Skadeforsikring NUF'!G72+KLP!G72+'KLP Skadeforsikring AS'!G72+'Landkreditt Forsikring'!G72+'Nordea Liv '!G72+'Oslo Pensjonsforsikring'!G72+'Protector Forsikring'!G72+'Sparebank 1 Fors.'!G72+'Storebrand Livsforsikring'!G72+'Telenor Forsikring'!G72+'Tryg Forsikring'!G72+'WaterCircles F'!G72+'Euro Accident'!G72+'Ly Forsikring'!G72+'Youplus Livsforsikring'!G72+'Oslo Forsikring'!G72+'Knif Trygghet Forsikring'!G72</f>
        <v>57185783.661590002</v>
      </c>
      <c r="G72" s="123">
        <f t="shared" si="25"/>
        <v>8.6999999999999993</v>
      </c>
      <c r="H72" s="184">
        <f t="shared" si="26"/>
        <v>52641778.933180004</v>
      </c>
      <c r="I72" s="184">
        <f t="shared" si="27"/>
        <v>57209744.403180003</v>
      </c>
      <c r="J72" s="21">
        <f t="shared" si="28"/>
        <v>8.6999999999999993</v>
      </c>
    </row>
    <row r="73" spans="1:10" ht="15.75" customHeight="1" x14ac:dyDescent="0.25">
      <c r="A73" s="243" t="s">
        <v>200</v>
      </c>
      <c r="B73" s="182"/>
      <c r="C73" s="182"/>
      <c r="D73" s="23"/>
      <c r="E73" s="36"/>
      <c r="F73" s="36"/>
      <c r="G73" s="123"/>
      <c r="H73" s="184"/>
      <c r="I73" s="184"/>
      <c r="J73" s="20"/>
    </row>
    <row r="74" spans="1:10" ht="15.75" customHeight="1" x14ac:dyDescent="0.25">
      <c r="A74" s="243" t="s">
        <v>201</v>
      </c>
      <c r="B74" s="182"/>
      <c r="C74" s="182"/>
      <c r="D74" s="23"/>
      <c r="E74" s="36">
        <f>'Fremtind Livsforsikring'!F74+'DNB Livsforsikring'!F74+'Frende Livsforsikring'!F74+'Frende Skadeforsikring'!F74+'Gjensidige Forsikring'!F74+'Gjensidige Pensjon'!F74+'If Skadeforsikring NUF'!F74+KLP!F74+'KLP Skadeforsikring AS'!F74+'Landkreditt Forsikring'!F74+'Nordea Liv '!F74+'Oslo Pensjonsforsikring'!F74+'Protector Forsikring'!F74+'Sparebank 1 Fors.'!F74+'Storebrand Livsforsikring'!F74+'Telenor Forsikring'!F74+'Tryg Forsikring'!F74+'WaterCircles F'!F74+'Euro Accident'!F74+'Ly Forsikring'!F74+'Youplus Livsforsikring'!F74+'Oslo Forsikring'!F74+'Knif Trygghet Forsikring'!F74</f>
        <v>52612283.188200004</v>
      </c>
      <c r="F74" s="36">
        <f>'Fremtind Livsforsikring'!G74+'DNB Livsforsikring'!G74+'Frende Livsforsikring'!G74+'Frende Skadeforsikring'!G74+'Gjensidige Forsikring'!G74+'Gjensidige Pensjon'!G74+'If Skadeforsikring NUF'!G74+KLP!G74+'KLP Skadeforsikring AS'!G74+'Landkreditt Forsikring'!G74+'Nordea Liv '!G74+'Oslo Pensjonsforsikring'!G74+'Protector Forsikring'!G74+'Sparebank 1 Fors.'!G74+'Storebrand Livsforsikring'!G74+'Telenor Forsikring'!G74+'Tryg Forsikring'!G74+'WaterCircles F'!G74+'Euro Accident'!G74+'Ly Forsikring'!G74+'Youplus Livsforsikring'!G74+'Oslo Forsikring'!G74+'Knif Trygghet Forsikring'!G74</f>
        <v>57185783.661590002</v>
      </c>
      <c r="G74" s="123">
        <f t="shared" si="25"/>
        <v>8.6999999999999993</v>
      </c>
      <c r="H74" s="184">
        <f t="shared" si="26"/>
        <v>52612283.188200004</v>
      </c>
      <c r="I74" s="184">
        <f t="shared" si="27"/>
        <v>57185783.661590002</v>
      </c>
      <c r="J74" s="20">
        <f t="shared" si="28"/>
        <v>8.6999999999999993</v>
      </c>
    </row>
    <row r="75" spans="1:10" ht="15.75" customHeight="1" x14ac:dyDescent="0.25">
      <c r="A75" s="18" t="s">
        <v>203</v>
      </c>
      <c r="B75" s="36">
        <f>'Fremtind Livsforsikring'!B75+'DNB Livsforsikring'!B75+'Frende Livsforsikring'!B75+'Frende Skadeforsikring'!B75+'Gjensidige Forsikring'!B75+'Gjensidige Pensjon'!B75+'If Skadeforsikring NUF'!B75+KLP!B75+'KLP Skadeforsikring AS'!B75+'Landkreditt Forsikring'!B75+'Nordea Liv '!B75+'Oslo Pensjonsforsikring'!B75+'Protector Forsikring'!B75+'Sparebank 1 Fors.'!B75+'Storebrand Livsforsikring'!B75+'Telenor Forsikring'!B75+'Tryg Forsikring'!B75+'WaterCircles F'!B75+'Euro Accident'!B75+'Ly Forsikring'!B75+'Youplus Livsforsikring'!B75+'Oslo Forsikring'!B75+'Knif Trygghet Forsikring'!B75</f>
        <v>805051.11046999996</v>
      </c>
      <c r="C75" s="36">
        <f>'Fremtind Livsforsikring'!C75+'DNB Livsforsikring'!C75+'Frende Livsforsikring'!C75+'Frende Skadeforsikring'!C75+'Gjensidige Forsikring'!C75+'Gjensidige Pensjon'!C75+'If Skadeforsikring NUF'!C75+KLP!C75+'KLP Skadeforsikring AS'!C75+'Landkreditt Forsikring'!C75+'Nordea Liv '!C75+'Oslo Pensjonsforsikring'!C75+'Protector Forsikring'!C75+'Sparebank 1 Fors.'!C75+'Storebrand Livsforsikring'!C75+'Telenor Forsikring'!C75+'Tryg Forsikring'!C75+'WaterCircles F'!C75+'Euro Accident'!C75+'Ly Forsikring'!C75+'Youplus Livsforsikring'!C75+'Oslo Forsikring'!C75+'Knif Trygghet Forsikring'!C75</f>
        <v>974010.82430999994</v>
      </c>
      <c r="D75" s="20">
        <f t="shared" si="24"/>
        <v>21</v>
      </c>
      <c r="E75" s="36">
        <f>'Fremtind Livsforsikring'!F75+'DNB Livsforsikring'!F75+'Frende Livsforsikring'!F75+'Frende Skadeforsikring'!F75+'Gjensidige Forsikring'!F75+'Gjensidige Pensjon'!F75+'If Skadeforsikring NUF'!F75+KLP!F75+'KLP Skadeforsikring AS'!F75+'Landkreditt Forsikring'!F75+'Nordea Liv '!F75+'Oslo Pensjonsforsikring'!F75+'Protector Forsikring'!F75+'Sparebank 1 Fors.'!F75+'Storebrand Livsforsikring'!F75+'Telenor Forsikring'!F75+'Tryg Forsikring'!F75+'WaterCircles F'!F75+'Euro Accident'!F75+'Ly Forsikring'!F75+'Youplus Livsforsikring'!F75+'Oslo Forsikring'!F75+'Knif Trygghet Forsikring'!F75</f>
        <v>2105282.0409200001</v>
      </c>
      <c r="F75" s="36">
        <f>'Fremtind Livsforsikring'!G75+'DNB Livsforsikring'!G75+'Frende Livsforsikring'!G75+'Frende Skadeforsikring'!G75+'Gjensidige Forsikring'!G75+'Gjensidige Pensjon'!G75+'If Skadeforsikring NUF'!G75+KLP!G75+'KLP Skadeforsikring AS'!G75+'Landkreditt Forsikring'!G75+'Nordea Liv '!G75+'Oslo Pensjonsforsikring'!G75+'Protector Forsikring'!G75+'Sparebank 1 Fors.'!G75+'Storebrand Livsforsikring'!G75+'Telenor Forsikring'!G75+'Tryg Forsikring'!G75+'WaterCircles F'!G75+'Euro Accident'!G75+'Ly Forsikring'!G75+'Youplus Livsforsikring'!G75+'Oslo Forsikring'!G75+'Knif Trygghet Forsikring'!G75</f>
        <v>2198903.3175600003</v>
      </c>
      <c r="G75" s="123">
        <f t="shared" si="25"/>
        <v>4.4000000000000004</v>
      </c>
      <c r="H75" s="184">
        <f t="shared" si="26"/>
        <v>2910333.1513900002</v>
      </c>
      <c r="I75" s="184">
        <f t="shared" si="27"/>
        <v>3172914.1418700004</v>
      </c>
      <c r="J75" s="20">
        <f t="shared" si="28"/>
        <v>9</v>
      </c>
    </row>
    <row r="76" spans="1:10" ht="15.75" customHeight="1" x14ac:dyDescent="0.25">
      <c r="A76" s="18" t="s">
        <v>494</v>
      </c>
      <c r="B76" s="36">
        <f>'Fremtind Livsforsikring'!B76+'DNB Livsforsikring'!B76+'Frende Livsforsikring'!B76+'Frende Skadeforsikring'!B76+'Gjensidige Forsikring'!B76+'Gjensidige Pensjon'!B76+'If Skadeforsikring NUF'!B76+KLP!B76+'KLP Skadeforsikring AS'!B76+'Landkreditt Forsikring'!B76+'Nordea Liv '!B76+'Oslo Pensjonsforsikring'!B76+'Protector Forsikring'!B76+'Sparebank 1 Fors.'!B76+'Storebrand Livsforsikring'!B76+'Telenor Forsikring'!B76+'Tryg Forsikring'!B76+'WaterCircles F'!B76+'Euro Accident'!B76+'Ly Forsikring'!B76+'Youplus Livsforsikring'!B76+'Oslo Forsikring'!B76+'Knif Trygghet Forsikring'!B76</f>
        <v>3235481.0900254101</v>
      </c>
      <c r="C76" s="36">
        <f>'Fremtind Livsforsikring'!C76+'DNB Livsforsikring'!C76+'Frende Livsforsikring'!C76+'Frende Skadeforsikring'!C76+'Gjensidige Forsikring'!C76+'Gjensidige Pensjon'!C76+'If Skadeforsikring NUF'!C76+KLP!C76+'KLP Skadeforsikring AS'!C76+'Landkreditt Forsikring'!C76+'Nordea Liv '!C76+'Oslo Pensjonsforsikring'!C76+'Protector Forsikring'!C76+'Sparebank 1 Fors.'!C76+'Storebrand Livsforsikring'!C76+'Telenor Forsikring'!C76+'Tryg Forsikring'!C76+'WaterCircles F'!C76+'Euro Accident'!C76+'Ly Forsikring'!C76+'Youplus Livsforsikring'!C76+'Oslo Forsikring'!C76+'Knif Trygghet Forsikring'!C76</f>
        <v>4190672.2367883399</v>
      </c>
      <c r="D76" s="20">
        <f t="shared" ref="D76" si="29">IF(B76=0, "    ---- ", IF(ABS(ROUND(100/B76*C76-100,1))&lt;999,ROUND(100/B76*C76-100,1),IF(ROUND(100/B76*C76-100,1)&gt;999,999,-999)))</f>
        <v>29.5</v>
      </c>
      <c r="E76" s="36"/>
      <c r="F76" s="36"/>
      <c r="G76" s="123"/>
      <c r="H76" s="184">
        <f t="shared" ref="H76" si="30">SUM(B76,E76)</f>
        <v>3235481.0900254101</v>
      </c>
      <c r="I76" s="184">
        <f t="shared" ref="I76" si="31">SUM(C76,F76)</f>
        <v>4190672.2367883399</v>
      </c>
      <c r="J76" s="20">
        <f t="shared" ref="J76" si="32">IF(H76=0, "    ---- ", IF(ABS(ROUND(100/H76*I76-100,1))&lt;999,ROUND(100/H76*I76-100,1),IF(ROUND(100/H76*I76-100,1)&gt;999,999,-999)))</f>
        <v>29.5</v>
      </c>
    </row>
    <row r="77" spans="1:10" ht="15.75" customHeight="1" x14ac:dyDescent="0.25">
      <c r="A77" s="18" t="s">
        <v>205</v>
      </c>
      <c r="B77" s="36">
        <f>'Fremtind Livsforsikring'!B77+'DNB Livsforsikring'!B77+'Frende Livsforsikring'!B77+'Frende Skadeforsikring'!B77+'Gjensidige Forsikring'!B77+'Gjensidige Pensjon'!B77+'If Skadeforsikring NUF'!B77+KLP!B77+'KLP Skadeforsikring AS'!B77+'Landkreditt Forsikring'!B77+'Nordea Liv '!B77+'Oslo Pensjonsforsikring'!B77+'Protector Forsikring'!B77+'Sparebank 1 Fors.'!B77+'Storebrand Livsforsikring'!B77+'Telenor Forsikring'!B77+'Tryg Forsikring'!B77+'WaterCircles F'!B77+'Euro Accident'!B77+'Ly Forsikring'!B77+'Youplus Livsforsikring'!B77+'Oslo Forsikring'!B77+'Knif Trygghet Forsikring'!B77</f>
        <v>4681821.2177045904</v>
      </c>
      <c r="C77" s="36">
        <f>'Fremtind Livsforsikring'!C77+'DNB Livsforsikring'!C77+'Frende Livsforsikring'!C77+'Frende Skadeforsikring'!C77+'Gjensidige Forsikring'!C77+'Gjensidige Pensjon'!C77+'If Skadeforsikring NUF'!C77+KLP!C77+'KLP Skadeforsikring AS'!C77+'Landkreditt Forsikring'!C77+'Nordea Liv '!C77+'Oslo Pensjonsforsikring'!C77+'Protector Forsikring'!C77+'Sparebank 1 Fors.'!C77+'Storebrand Livsforsikring'!C77+'Telenor Forsikring'!C77+'Tryg Forsikring'!C77+'WaterCircles F'!C77+'Euro Accident'!C77+'Ly Forsikring'!C77+'Youplus Livsforsikring'!C77+'Oslo Forsikring'!C77+'Knif Trygghet Forsikring'!C77</f>
        <v>4131176.61245166</v>
      </c>
      <c r="D77" s="20">
        <f t="shared" si="24"/>
        <v>-11.8</v>
      </c>
      <c r="E77" s="36">
        <f>'Fremtind Livsforsikring'!F77+'DNB Livsforsikring'!F77+'Frende Livsforsikring'!F77+'Frende Skadeforsikring'!F77+'Gjensidige Forsikring'!F77+'Gjensidige Pensjon'!F77+'If Skadeforsikring NUF'!F77+KLP!F77+'KLP Skadeforsikring AS'!F77+'Landkreditt Forsikring'!F77+'Nordea Liv '!F77+'Oslo Pensjonsforsikring'!F77+'Protector Forsikring'!F77+'Sparebank 1 Fors.'!F77+'Storebrand Livsforsikring'!F77+'Telenor Forsikring'!F77+'Tryg Forsikring'!F77+'WaterCircles F'!F77+'Euro Accident'!F77+'Ly Forsikring'!F77+'Youplus Livsforsikring'!F77+'Oslo Forsikring'!F77+'Knif Trygghet Forsikring'!F77</f>
        <v>52601812.098200001</v>
      </c>
      <c r="F77" s="36">
        <f>'Fremtind Livsforsikring'!G77+'DNB Livsforsikring'!G77+'Frende Livsforsikring'!G77+'Frende Skadeforsikring'!G77+'Gjensidige Forsikring'!G77+'Gjensidige Pensjon'!G77+'If Skadeforsikring NUF'!G77+KLP!G77+'KLP Skadeforsikring AS'!G77+'Landkreditt Forsikring'!G77+'Nordea Liv '!G77+'Oslo Pensjonsforsikring'!G77+'Protector Forsikring'!G77+'Sparebank 1 Fors.'!G77+'Storebrand Livsforsikring'!G77+'Telenor Forsikring'!G77+'Tryg Forsikring'!G77+'WaterCircles F'!G77+'Euro Accident'!G77+'Ly Forsikring'!G77+'Youplus Livsforsikring'!G77+'Oslo Forsikring'!G77+'Knif Trygghet Forsikring'!G77</f>
        <v>57174120.004589997</v>
      </c>
      <c r="G77" s="123">
        <f t="shared" si="25"/>
        <v>8.6999999999999993</v>
      </c>
      <c r="H77" s="184">
        <f t="shared" si="26"/>
        <v>57283633.315904588</v>
      </c>
      <c r="I77" s="184">
        <f t="shared" si="27"/>
        <v>61305296.617041655</v>
      </c>
      <c r="J77" s="20">
        <f t="shared" si="28"/>
        <v>7</v>
      </c>
    </row>
    <row r="78" spans="1:10" ht="15.75" customHeight="1" x14ac:dyDescent="0.25">
      <c r="A78" s="18" t="s">
        <v>197</v>
      </c>
      <c r="B78" s="36">
        <f>'Fremtind Livsforsikring'!B78+'DNB Livsforsikring'!B78+'Frende Livsforsikring'!B78+'Frende Skadeforsikring'!B78+'Gjensidige Forsikring'!B78+'Gjensidige Pensjon'!B78+'If Skadeforsikring NUF'!B78+KLP!B78+'KLP Skadeforsikring AS'!B78+'Landkreditt Forsikring'!B78+'Nordea Liv '!B78+'Oslo Pensjonsforsikring'!B78+'Protector Forsikring'!B78+'Sparebank 1 Fors.'!B78+'Storebrand Livsforsikring'!B78+'Telenor Forsikring'!B78+'Tryg Forsikring'!B78+'WaterCircles F'!B78+'Euro Accident'!B78+'Ly Forsikring'!B78+'Youplus Livsforsikring'!B78+'Oslo Forsikring'!B78+'Knif Trygghet Forsikring'!B78</f>
        <v>4652007.4727245905</v>
      </c>
      <c r="C78" s="36">
        <f>'Fremtind Livsforsikring'!C78+'DNB Livsforsikring'!C78+'Frende Livsforsikring'!C78+'Frende Skadeforsikring'!C78+'Gjensidige Forsikring'!C78+'Gjensidige Pensjon'!C78+'If Skadeforsikring NUF'!C78+KLP!C78+'KLP Skadeforsikring AS'!C78+'Landkreditt Forsikring'!C78+'Nordea Liv '!C78+'Oslo Pensjonsforsikring'!C78+'Protector Forsikring'!C78+'Sparebank 1 Fors.'!C78+'Storebrand Livsforsikring'!C78+'Telenor Forsikring'!C78+'Tryg Forsikring'!C78+'WaterCircles F'!C78+'Euro Accident'!C78+'Ly Forsikring'!C78+'Youplus Livsforsikring'!C78+'Oslo Forsikring'!C78+'Knif Trygghet Forsikring'!C78</f>
        <v>4106979.8708616598</v>
      </c>
      <c r="D78" s="20">
        <f t="shared" si="24"/>
        <v>-11.7</v>
      </c>
      <c r="E78" s="36"/>
      <c r="F78" s="36"/>
      <c r="G78" s="123"/>
      <c r="H78" s="184">
        <f t="shared" si="26"/>
        <v>4652007.4727245905</v>
      </c>
      <c r="I78" s="184">
        <f t="shared" si="27"/>
        <v>4106979.8708616598</v>
      </c>
      <c r="J78" s="20">
        <f t="shared" si="28"/>
        <v>-11.7</v>
      </c>
    </row>
    <row r="79" spans="1:10" ht="15.75" customHeight="1" x14ac:dyDescent="0.25">
      <c r="A79" s="18" t="s">
        <v>206</v>
      </c>
      <c r="B79" s="36">
        <f>'Fremtind Livsforsikring'!B79+'DNB Livsforsikring'!B79+'Frende Livsforsikring'!B79+'Frende Skadeforsikring'!B79+'Gjensidige Forsikring'!B79+'Gjensidige Pensjon'!B79+'If Skadeforsikring NUF'!B79+KLP!B79+'KLP Skadeforsikring AS'!B79+'Landkreditt Forsikring'!B79+'Nordea Liv '!B79+'Oslo Pensjonsforsikring'!B79+'Protector Forsikring'!B79+'Sparebank 1 Fors.'!B79+'Storebrand Livsforsikring'!B79+'Telenor Forsikring'!B79+'Tryg Forsikring'!B79+'WaterCircles F'!B79+'Euro Accident'!B79+'Ly Forsikring'!B79+'Youplus Livsforsikring'!B79+'Oslo Forsikring'!B79+'Knif Trygghet Forsikring'!B79</f>
        <v>29813.744979999999</v>
      </c>
      <c r="C79" s="36">
        <f>'Fremtind Livsforsikring'!C79+'DNB Livsforsikring'!C79+'Frende Livsforsikring'!C79+'Frende Skadeforsikring'!C79+'Gjensidige Forsikring'!C79+'Gjensidige Pensjon'!C79+'If Skadeforsikring NUF'!C79+KLP!C79+'KLP Skadeforsikring AS'!C79+'Landkreditt Forsikring'!C79+'Nordea Liv '!C79+'Oslo Pensjonsforsikring'!C79+'Protector Forsikring'!C79+'Sparebank 1 Fors.'!C79+'Storebrand Livsforsikring'!C79+'Telenor Forsikring'!C79+'Tryg Forsikring'!C79+'WaterCircles F'!C79+'Euro Accident'!C79+'Ly Forsikring'!C79+'Youplus Livsforsikring'!C79+'Oslo Forsikring'!C79+'Knif Trygghet Forsikring'!C79</f>
        <v>24196.741590000001</v>
      </c>
      <c r="D79" s="20">
        <f t="shared" si="24"/>
        <v>-18.8</v>
      </c>
      <c r="E79" s="36">
        <f>'Fremtind Livsforsikring'!F79+'DNB Livsforsikring'!F79+'Frende Livsforsikring'!F79+'Frende Skadeforsikring'!F79+'Gjensidige Forsikring'!F79+'Gjensidige Pensjon'!F79+'If Skadeforsikring NUF'!F79+KLP!F79+'KLP Skadeforsikring AS'!F79+'Landkreditt Forsikring'!F79+'Nordea Liv '!F79+'Oslo Pensjonsforsikring'!F79+'Protector Forsikring'!F79+'Sparebank 1 Fors.'!F79+'Storebrand Livsforsikring'!F79+'Telenor Forsikring'!F79+'Tryg Forsikring'!F79+'WaterCircles F'!F79+'Euro Accident'!F79+'Ly Forsikring'!F79+'Youplus Livsforsikring'!F79+'Oslo Forsikring'!F79+'Knif Trygghet Forsikring'!F79</f>
        <v>52601812.098200001</v>
      </c>
      <c r="F79" s="36">
        <f>'Fremtind Livsforsikring'!G79+'DNB Livsforsikring'!G79+'Frende Livsforsikring'!G79+'Frende Skadeforsikring'!G79+'Gjensidige Forsikring'!G79+'Gjensidige Pensjon'!G79+'If Skadeforsikring NUF'!G79+KLP!G79+'KLP Skadeforsikring AS'!G79+'Landkreditt Forsikring'!G79+'Nordea Liv '!G79+'Oslo Pensjonsforsikring'!G79+'Protector Forsikring'!G79+'Sparebank 1 Fors.'!G79+'Storebrand Livsforsikring'!G79+'Telenor Forsikring'!G79+'Tryg Forsikring'!G79+'WaterCircles F'!G79+'Euro Accident'!G79+'Ly Forsikring'!G79+'Youplus Livsforsikring'!G79+'Oslo Forsikring'!G79+'Knif Trygghet Forsikring'!G79</f>
        <v>57174120.004589997</v>
      </c>
      <c r="G79" s="123">
        <f t="shared" si="25"/>
        <v>8.6999999999999993</v>
      </c>
      <c r="H79" s="184">
        <f t="shared" si="26"/>
        <v>52631625.843180001</v>
      </c>
      <c r="I79" s="184">
        <f t="shared" si="27"/>
        <v>57198316.746179998</v>
      </c>
      <c r="J79" s="20">
        <f t="shared" si="28"/>
        <v>8.6999999999999993</v>
      </c>
    </row>
    <row r="80" spans="1:10" ht="15.75" customHeight="1" x14ac:dyDescent="0.25">
      <c r="A80" s="243" t="s">
        <v>199</v>
      </c>
      <c r="B80" s="36"/>
      <c r="C80" s="36"/>
      <c r="D80" s="23"/>
      <c r="E80" s="36"/>
      <c r="F80" s="36"/>
      <c r="G80" s="123"/>
      <c r="H80" s="184"/>
      <c r="I80" s="184"/>
      <c r="J80" s="20"/>
    </row>
    <row r="81" spans="1:13" ht="15.75" customHeight="1" x14ac:dyDescent="0.25">
      <c r="A81" s="243" t="s">
        <v>200</v>
      </c>
      <c r="B81" s="182"/>
      <c r="C81" s="182"/>
      <c r="D81" s="23"/>
      <c r="E81" s="36"/>
      <c r="F81" s="36"/>
      <c r="G81" s="123"/>
      <c r="H81" s="184"/>
      <c r="I81" s="184"/>
      <c r="J81" s="20"/>
    </row>
    <row r="82" spans="1:13" ht="15.75" customHeight="1" x14ac:dyDescent="0.25">
      <c r="A82" s="243" t="s">
        <v>201</v>
      </c>
      <c r="B82" s="182"/>
      <c r="C82" s="182"/>
      <c r="D82" s="23"/>
      <c r="E82" s="36"/>
      <c r="F82" s="36"/>
      <c r="G82" s="123"/>
      <c r="H82" s="184"/>
      <c r="I82" s="184"/>
      <c r="J82" s="20"/>
    </row>
    <row r="83" spans="1:13" ht="15.75" customHeight="1" x14ac:dyDescent="0.25">
      <c r="A83" s="243" t="s">
        <v>202</v>
      </c>
      <c r="B83" s="36">
        <f>'Fremtind Livsforsikring'!B83+'DNB Livsforsikring'!B83+'Frende Livsforsikring'!B83+'Frende Skadeforsikring'!B83+'Gjensidige Forsikring'!B83+'Gjensidige Pensjon'!B83+'If Skadeforsikring NUF'!B83+KLP!B83+'KLP Skadeforsikring AS'!B83+'Landkreditt Forsikring'!B83+'Nordea Liv '!B83+'Oslo Pensjonsforsikring'!B83+'Protector Forsikring'!B83+'Sparebank 1 Fors.'!B83+'Storebrand Livsforsikring'!B83+'Telenor Forsikring'!B83+'Tryg Forsikring'!B83+'WaterCircles F'!B83+'Euro Accident'!B83+'Ly Forsikring'!B83+'Youplus Livsforsikring'!B83+'Oslo Forsikring'!B83+'Knif Trygghet Forsikring'!B83</f>
        <v>29813.744979999999</v>
      </c>
      <c r="C83" s="36">
        <f>'Fremtind Livsforsikring'!C83+'DNB Livsforsikring'!C83+'Frende Livsforsikring'!C83+'Frende Skadeforsikring'!C83+'Gjensidige Forsikring'!C83+'Gjensidige Pensjon'!C83+'If Skadeforsikring NUF'!C83+KLP!C83+'KLP Skadeforsikring AS'!C83+'Landkreditt Forsikring'!C83+'Nordea Liv '!C83+'Oslo Pensjonsforsikring'!C83+'Protector Forsikring'!C83+'Sparebank 1 Fors.'!C83+'Storebrand Livsforsikring'!C83+'Telenor Forsikring'!C83+'Tryg Forsikring'!C83+'WaterCircles F'!C83+'Euro Accident'!C83+'Ly Forsikring'!C83+'Youplus Livsforsikring'!C83+'Oslo Forsikring'!C83+'Knif Trygghet Forsikring'!C83</f>
        <v>24196.741590000001</v>
      </c>
      <c r="D83" s="23">
        <f t="shared" ref="D83" si="33">IF($A$1=4,IF(B83=0, "    ---- ", IF(ABS(ROUND(100/B83*C83-100,1))&lt;999,ROUND(100/B83*C83-100,1),IF(ROUND(100/B83*C83-100,1)&gt;999,999,-999))),"")</f>
        <v>-18.8</v>
      </c>
      <c r="E83" s="36">
        <f>'Fremtind Livsforsikring'!F83+'DNB Livsforsikring'!F83+'Frende Livsforsikring'!F83+'Frende Skadeforsikring'!F83+'Gjensidige Forsikring'!F83+'Gjensidige Pensjon'!F83+'If Skadeforsikring NUF'!F83+KLP!F83+'KLP Skadeforsikring AS'!F83+'Landkreditt Forsikring'!F83+'Nordea Liv '!F83+'Oslo Pensjonsforsikring'!F83+'Protector Forsikring'!F83+'Sparebank 1 Fors.'!F83+'Storebrand Livsforsikring'!F83+'Telenor Forsikring'!F83+'Tryg Forsikring'!F83+'WaterCircles F'!F83+'Euro Accident'!F83+'Ly Forsikring'!F83+'Youplus Livsforsikring'!F83+'Oslo Forsikring'!F83+'Knif Trygghet Forsikring'!F83</f>
        <v>52601812.098200001</v>
      </c>
      <c r="F83" s="36">
        <f>'Fremtind Livsforsikring'!G83+'DNB Livsforsikring'!G83+'Frende Livsforsikring'!G83+'Frende Skadeforsikring'!G83+'Gjensidige Forsikring'!G83+'Gjensidige Pensjon'!G83+'If Skadeforsikring NUF'!G83+KLP!G83+'KLP Skadeforsikring AS'!G83+'Landkreditt Forsikring'!G83+'Nordea Liv '!G83+'Oslo Pensjonsforsikring'!G83+'Protector Forsikring'!G83+'Sparebank 1 Fors.'!G83+'Storebrand Livsforsikring'!G83+'Telenor Forsikring'!G83+'Tryg Forsikring'!G83+'WaterCircles F'!G83+'Euro Accident'!G83+'Ly Forsikring'!G83+'Youplus Livsforsikring'!G83+'Oslo Forsikring'!G83+'Knif Trygghet Forsikring'!G83</f>
        <v>57174120.004589997</v>
      </c>
      <c r="G83" s="123">
        <f t="shared" si="25"/>
        <v>8.6999999999999993</v>
      </c>
      <c r="H83" s="184">
        <f t="shared" si="26"/>
        <v>52631625.843180001</v>
      </c>
      <c r="I83" s="184">
        <f t="shared" si="27"/>
        <v>57198316.746179998</v>
      </c>
      <c r="J83" s="21">
        <f t="shared" si="28"/>
        <v>8.6999999999999993</v>
      </c>
    </row>
    <row r="84" spans="1:13" ht="15.75" customHeight="1" x14ac:dyDescent="0.25">
      <c r="A84" s="243" t="s">
        <v>200</v>
      </c>
      <c r="B84" s="182"/>
      <c r="C84" s="182"/>
      <c r="D84" s="23"/>
      <c r="E84" s="36"/>
      <c r="F84" s="36"/>
      <c r="G84" s="123"/>
      <c r="H84" s="184"/>
      <c r="I84" s="184"/>
      <c r="J84" s="20"/>
    </row>
    <row r="85" spans="1:13" ht="15.75" customHeight="1" x14ac:dyDescent="0.25">
      <c r="A85" s="243" t="s">
        <v>201</v>
      </c>
      <c r="B85" s="182"/>
      <c r="C85" s="182"/>
      <c r="D85" s="23"/>
      <c r="E85" s="36">
        <f>'Fremtind Livsforsikring'!F85+'DNB Livsforsikring'!F85+'Frende Livsforsikring'!F85+'Frende Skadeforsikring'!F85+'Gjensidige Forsikring'!F85+'Gjensidige Pensjon'!F85+'If Skadeforsikring NUF'!F85+KLP!F85+'KLP Skadeforsikring AS'!F85+'Landkreditt Forsikring'!F85+'Nordea Liv '!F85+'Oslo Pensjonsforsikring'!F85+'Protector Forsikring'!F85+'Sparebank 1 Fors.'!F85+'Storebrand Livsforsikring'!F85+'Telenor Forsikring'!F85+'Tryg Forsikring'!F85+'WaterCircles F'!F85+'Euro Accident'!F85+'Ly Forsikring'!F85+'Youplus Livsforsikring'!F85+'Oslo Forsikring'!F85+'Knif Trygghet Forsikring'!F85</f>
        <v>52601812.098200001</v>
      </c>
      <c r="F85" s="36">
        <f>'Fremtind Livsforsikring'!G85+'DNB Livsforsikring'!G85+'Frende Livsforsikring'!G85+'Frende Skadeforsikring'!G85+'Gjensidige Forsikring'!G85+'Gjensidige Pensjon'!G85+'If Skadeforsikring NUF'!G85+KLP!G85+'KLP Skadeforsikring AS'!G85+'Landkreditt Forsikring'!G85+'Nordea Liv '!G85+'Oslo Pensjonsforsikring'!G85+'Protector Forsikring'!G85+'Sparebank 1 Fors.'!G85+'Storebrand Livsforsikring'!G85+'Telenor Forsikring'!G85+'Tryg Forsikring'!G85+'WaterCircles F'!G85+'Euro Accident'!G85+'Ly Forsikring'!G85+'Youplus Livsforsikring'!G85+'Oslo Forsikring'!G85+'Knif Trygghet Forsikring'!G85</f>
        <v>57174120.004589997</v>
      </c>
      <c r="G85" s="123">
        <f t="shared" si="25"/>
        <v>8.6999999999999993</v>
      </c>
      <c r="H85" s="184">
        <f t="shared" si="26"/>
        <v>52601812.098200001</v>
      </c>
      <c r="I85" s="184">
        <f t="shared" si="27"/>
        <v>57174120.004589997</v>
      </c>
      <c r="J85" s="20">
        <f t="shared" si="28"/>
        <v>8.6999999999999993</v>
      </c>
    </row>
    <row r="86" spans="1:13" ht="15.75" customHeight="1" x14ac:dyDescent="0.25">
      <c r="A86" s="18" t="s">
        <v>207</v>
      </c>
      <c r="B86" s="181">
        <f>'Fremtind Livsforsikring'!B86+'DNB Livsforsikring'!B86+'Frende Livsforsikring'!B86+'Frende Skadeforsikring'!B86+'Gjensidige Forsikring'!B86+'Gjensidige Pensjon'!B86+'If Skadeforsikring NUF'!B86+KLP!B86+'KLP Skadeforsikring AS'!B86+'Landkreditt Forsikring'!B86+'Nordea Liv '!B86+'Oslo Pensjonsforsikring'!B86+'Protector Forsikring'!B86+'Sparebank 1 Fors.'!B86+'Storebrand Livsforsikring'!B86+'Telenor Forsikring'!B86+'Tryg Forsikring'!B86+'WaterCircles F'!B86+'Euro Accident'!B86+'Ly Forsikring'!B86+'Youplus Livsforsikring'!B86+'Oslo Forsikring'!B86+'Knif Trygghet Forsikring'!B86</f>
        <v>94926.335999999996</v>
      </c>
      <c r="C86" s="181">
        <f>'Fremtind Livsforsikring'!C86+'DNB Livsforsikring'!C86+'Frende Livsforsikring'!C86+'Frende Skadeforsikring'!C86+'Gjensidige Forsikring'!C86+'Gjensidige Pensjon'!C86+'If Skadeforsikring NUF'!C86+KLP!C86+'KLP Skadeforsikring AS'!C86+'Landkreditt Forsikring'!C86+'Nordea Liv '!C86+'Oslo Pensjonsforsikring'!C86+'Protector Forsikring'!C86+'Sparebank 1 Fors.'!C86+'Storebrand Livsforsikring'!C86+'Telenor Forsikring'!C86+'Tryg Forsikring'!C86+'WaterCircles F'!C86+'Euro Accident'!C86+'Ly Forsikring'!C86+'Youplus Livsforsikring'!C86+'Oslo Forsikring'!C86+'Knif Trygghet Forsikring'!C86</f>
        <v>98295.032999999996</v>
      </c>
      <c r="D86" s="20">
        <f t="shared" si="24"/>
        <v>3.5</v>
      </c>
      <c r="E86" s="36">
        <f>'Fremtind Livsforsikring'!F86+'DNB Livsforsikring'!F86+'Frende Livsforsikring'!F86+'Frende Skadeforsikring'!F86+'Gjensidige Forsikring'!F86+'Gjensidige Pensjon'!F86+'If Skadeforsikring NUF'!F86+KLP!F86+'KLP Skadeforsikring AS'!F86+'Landkreditt Forsikring'!F86+'Nordea Liv '!F86+'Oslo Pensjonsforsikring'!F86+'Protector Forsikring'!F86+'Sparebank 1 Fors.'!F86+'Storebrand Livsforsikring'!F86+'Telenor Forsikring'!F86+'Tryg Forsikring'!F86+'WaterCircles F'!F86+'Euro Accident'!F86+'Ly Forsikring'!F86+'Youplus Livsforsikring'!F86+'Oslo Forsikring'!F86+'Knif Trygghet Forsikring'!F86</f>
        <v>12995.816999999999</v>
      </c>
      <c r="F86" s="36">
        <f>'Fremtind Livsforsikring'!G86+'DNB Livsforsikring'!G86+'Frende Livsforsikring'!G86+'Frende Skadeforsikring'!G86+'Gjensidige Forsikring'!G86+'Gjensidige Pensjon'!G86+'If Skadeforsikring NUF'!G86+KLP!G86+'KLP Skadeforsikring AS'!G86+'Landkreditt Forsikring'!G86+'Nordea Liv '!G86+'Oslo Pensjonsforsikring'!G86+'Protector Forsikring'!G86+'Sparebank 1 Fors.'!G86+'Storebrand Livsforsikring'!G86+'Telenor Forsikring'!G86+'Tryg Forsikring'!G86+'WaterCircles F'!G86+'Euro Accident'!G86+'Ly Forsikring'!G86+'Youplus Livsforsikring'!G86+'Oslo Forsikring'!G86+'Knif Trygghet Forsikring'!G86</f>
        <v>14172.144999999999</v>
      </c>
      <c r="G86" s="123">
        <f t="shared" si="25"/>
        <v>9.1</v>
      </c>
      <c r="H86" s="184">
        <f t="shared" si="26"/>
        <v>107922.15299999999</v>
      </c>
      <c r="I86" s="184">
        <f t="shared" si="27"/>
        <v>112467.178</v>
      </c>
      <c r="J86" s="20">
        <f t="shared" si="28"/>
        <v>4.2</v>
      </c>
    </row>
    <row r="87" spans="1:13" s="35" customFormat="1" ht="15.75" customHeight="1" x14ac:dyDescent="0.25">
      <c r="A87" s="10" t="s">
        <v>171</v>
      </c>
      <c r="B87" s="253">
        <f>'Fremtind Livsforsikring'!B87+'DNB Livsforsikring'!B87+'Frende Livsforsikring'!B87+'Frende Skadeforsikring'!B87+'Gjensidige Forsikring'!B87+'Gjensidige Pensjon'!B87+'If Skadeforsikring NUF'!B87+KLP!B87+'KLP Skadeforsikring AS'!B87+'Landkreditt Forsikring'!B87+'Nordea Liv '!B87+'Oslo Pensjonsforsikring'!B87+'Protector Forsikring'!B87+'Sparebank 1 Fors.'!B87+'Storebrand Livsforsikring'!B87+'Telenor Forsikring'!B87+'Tryg Forsikring'!B87+'WaterCircles F'!B87+'Euro Accident'!B87+'Ly Forsikring'!B87+'Youplus Livsforsikring'!B87+'Oslo Forsikring'!B87+'Knif Trygghet Forsikring'!B87</f>
        <v>405944595.5139876</v>
      </c>
      <c r="C87" s="253">
        <f>'Fremtind Livsforsikring'!C87+'DNB Livsforsikring'!C87+'Frende Livsforsikring'!C87+'Frende Skadeforsikring'!C87+'Gjensidige Forsikring'!C87+'Gjensidige Pensjon'!C87+'If Skadeforsikring NUF'!C87+KLP!C87+'KLP Skadeforsikring AS'!C87+'Landkreditt Forsikring'!C87+'Nordea Liv '!C87+'Oslo Pensjonsforsikring'!C87+'Protector Forsikring'!C87+'Sparebank 1 Fors.'!C87+'Storebrand Livsforsikring'!C87+'Telenor Forsikring'!C87+'Tryg Forsikring'!C87+'WaterCircles F'!C87+'Euro Accident'!C87+'Ly Forsikring'!C87+'Youplus Livsforsikring'!C87+'Oslo Forsikring'!C87+'Knif Trygghet Forsikring'!C87</f>
        <v>415570036.45189971</v>
      </c>
      <c r="D87" s="21">
        <f t="shared" si="24"/>
        <v>2.4</v>
      </c>
      <c r="E87" s="183">
        <f>'Fremtind Livsforsikring'!F87+'DNB Livsforsikring'!F87+'Frende Livsforsikring'!F87+'Frende Skadeforsikring'!F87+'Gjensidige Forsikring'!F87+'Gjensidige Pensjon'!F87+'If Skadeforsikring NUF'!F87+KLP!F87+'KLP Skadeforsikring AS'!F87+'Landkreditt Forsikring'!F87+'Nordea Liv '!F87+'Oslo Pensjonsforsikring'!F87+'Protector Forsikring'!F87+'Sparebank 1 Fors.'!F87+'Storebrand Livsforsikring'!F87+'Telenor Forsikring'!F87+'Tryg Forsikring'!F87+'WaterCircles F'!F87+'Euro Accident'!F87+'Ly Forsikring'!F87+'Youplus Livsforsikring'!F87+'Oslo Forsikring'!F87+'Knif Trygghet Forsikring'!F87</f>
        <v>665325030.94028997</v>
      </c>
      <c r="F87" s="183">
        <f>'Fremtind Livsforsikring'!G87+'DNB Livsforsikring'!G87+'Frende Livsforsikring'!G87+'Frende Skadeforsikring'!G87+'Gjensidige Forsikring'!G87+'Gjensidige Pensjon'!G87+'If Skadeforsikring NUF'!G87+KLP!G87+'KLP Skadeforsikring AS'!G87+'Landkreditt Forsikring'!G87+'Nordea Liv '!G87+'Oslo Pensjonsforsikring'!G87+'Protector Forsikring'!G87+'Sparebank 1 Fors.'!G87+'Storebrand Livsforsikring'!G87+'Telenor Forsikring'!G87+'Tryg Forsikring'!G87+'WaterCircles F'!G87+'Euro Accident'!G87+'Ly Forsikring'!G87+'Youplus Livsforsikring'!G87+'Oslo Forsikring'!G87+'Knif Trygghet Forsikring'!G87</f>
        <v>792325575.19824493</v>
      </c>
      <c r="G87" s="127">
        <f t="shared" si="25"/>
        <v>19.100000000000001</v>
      </c>
      <c r="H87" s="273">
        <f t="shared" ref="H87:H111" si="34">SUM(B87,E87)</f>
        <v>1071269626.4542775</v>
      </c>
      <c r="I87" s="273">
        <f t="shared" ref="I87:I111" si="35">SUM(C87,F87)</f>
        <v>1207895611.6501446</v>
      </c>
      <c r="J87" s="21">
        <f t="shared" si="28"/>
        <v>12.8</v>
      </c>
    </row>
    <row r="88" spans="1:13" ht="15.75" customHeight="1" x14ac:dyDescent="0.25">
      <c r="A88" s="18" t="s">
        <v>197</v>
      </c>
      <c r="B88" s="181">
        <f>'Fremtind Livsforsikring'!B88+'DNB Livsforsikring'!B88+'Frende Livsforsikring'!B88+'Frende Skadeforsikring'!B88+'Gjensidige Forsikring'!B88+'Gjensidige Pensjon'!B88+'If Skadeforsikring NUF'!B88+KLP!B88+'KLP Skadeforsikring AS'!B88+'Landkreditt Forsikring'!B88+'Nordea Liv '!B88+'Oslo Pensjonsforsikring'!B88+'Protector Forsikring'!B88+'Sparebank 1 Fors.'!B88+'Storebrand Livsforsikring'!B88+'Telenor Forsikring'!B88+'Tryg Forsikring'!B88+'WaterCircles F'!B88+'Euro Accident'!B88+'Ly Forsikring'!B88+'Youplus Livsforsikring'!B88+'Oslo Forsikring'!B88+'Knif Trygghet Forsikring'!B88</f>
        <v>384254467.61105758</v>
      </c>
      <c r="C88" s="181">
        <f>'Fremtind Livsforsikring'!C88+'DNB Livsforsikring'!C88+'Frende Livsforsikring'!C88+'Frende Skadeforsikring'!C88+'Gjensidige Forsikring'!C88+'Gjensidige Pensjon'!C88+'If Skadeforsikring NUF'!C88+KLP!C88+'KLP Skadeforsikring AS'!C88+'Landkreditt Forsikring'!C88+'Nordea Liv '!C88+'Oslo Pensjonsforsikring'!C88+'Protector Forsikring'!C88+'Sparebank 1 Fors.'!C88+'Storebrand Livsforsikring'!C88+'Telenor Forsikring'!C88+'Tryg Forsikring'!C88+'WaterCircles F'!C88+'Euro Accident'!C88+'Ly Forsikring'!C88+'Youplus Livsforsikring'!C88+'Oslo Forsikring'!C88+'Knif Trygghet Forsikring'!C88</f>
        <v>388366948.98925972</v>
      </c>
      <c r="D88" s="20">
        <f t="shared" si="24"/>
        <v>1.1000000000000001</v>
      </c>
      <c r="E88" s="36"/>
      <c r="F88" s="36"/>
      <c r="G88" s="123"/>
      <c r="H88" s="184">
        <f t="shared" si="34"/>
        <v>384254467.61105758</v>
      </c>
      <c r="I88" s="184">
        <f t="shared" si="35"/>
        <v>388366948.98925972</v>
      </c>
      <c r="J88" s="20">
        <f t="shared" si="28"/>
        <v>1.1000000000000001</v>
      </c>
      <c r="L88" s="22"/>
      <c r="M88" s="22"/>
    </row>
    <row r="89" spans="1:13" ht="15.75" customHeight="1" x14ac:dyDescent="0.25">
      <c r="A89" s="18" t="s">
        <v>198</v>
      </c>
      <c r="B89" s="181">
        <f>'Fremtind Livsforsikring'!B89+'DNB Livsforsikring'!B89+'Frende Livsforsikring'!B89+'Frende Skadeforsikring'!B89+'Gjensidige Forsikring'!B89+'Gjensidige Pensjon'!B89+'If Skadeforsikring NUF'!B89+KLP!B89+'KLP Skadeforsikring AS'!B89+'Landkreditt Forsikring'!B89+'Nordea Liv '!B89+'Oslo Pensjonsforsikring'!B89+'Protector Forsikring'!B89+'Sparebank 1 Fors.'!B89+'Storebrand Livsforsikring'!B89+'Telenor Forsikring'!B89+'Tryg Forsikring'!B89+'WaterCircles F'!B89+'Euro Accident'!B89+'Ly Forsikring'!B89+'Youplus Livsforsikring'!B89+'Oslo Forsikring'!B89+'Knif Trygghet Forsikring'!B89</f>
        <v>2423996.5242499998</v>
      </c>
      <c r="C89" s="181">
        <f>'Fremtind Livsforsikring'!C89+'DNB Livsforsikring'!C89+'Frende Livsforsikring'!C89+'Frende Skadeforsikring'!C89+'Gjensidige Forsikring'!C89+'Gjensidige Pensjon'!C89+'If Skadeforsikring NUF'!C89+KLP!C89+'KLP Skadeforsikring AS'!C89+'Landkreditt Forsikring'!C89+'Nordea Liv '!C89+'Oslo Pensjonsforsikring'!C89+'Protector Forsikring'!C89+'Sparebank 1 Fors.'!C89+'Storebrand Livsforsikring'!C89+'Telenor Forsikring'!C89+'Tryg Forsikring'!C89+'WaterCircles F'!C89+'Euro Accident'!C89+'Ly Forsikring'!C89+'Youplus Livsforsikring'!C89+'Oslo Forsikring'!C89+'Knif Trygghet Forsikring'!C89</f>
        <v>4267286.0526200002</v>
      </c>
      <c r="D89" s="20">
        <f t="shared" si="24"/>
        <v>76</v>
      </c>
      <c r="E89" s="36">
        <f>'Fremtind Livsforsikring'!F89+'DNB Livsforsikring'!F89+'Frende Livsforsikring'!F89+'Frende Skadeforsikring'!F89+'Gjensidige Forsikring'!F89+'Gjensidige Pensjon'!F89+'If Skadeforsikring NUF'!F89+KLP!F89+'KLP Skadeforsikring AS'!F89+'Landkreditt Forsikring'!F89+'Nordea Liv '!F89+'Oslo Pensjonsforsikring'!F89+'Protector Forsikring'!F89+'Sparebank 1 Fors.'!F89+'Storebrand Livsforsikring'!F89+'Telenor Forsikring'!F89+'Tryg Forsikring'!F89+'WaterCircles F'!F89+'Euro Accident'!F89+'Ly Forsikring'!F89+'Youplus Livsforsikring'!F89+'Oslo Forsikring'!F89+'Knif Trygghet Forsikring'!F89</f>
        <v>655020178.53183997</v>
      </c>
      <c r="F89" s="36">
        <f>'Fremtind Livsforsikring'!G89+'DNB Livsforsikring'!G89+'Frende Livsforsikring'!G89+'Frende Skadeforsikring'!G89+'Gjensidige Forsikring'!G89+'Gjensidige Pensjon'!G89+'If Skadeforsikring NUF'!G89+KLP!G89+'KLP Skadeforsikring AS'!G89+'Landkreditt Forsikring'!G89+'Nordea Liv '!G89+'Oslo Pensjonsforsikring'!G89+'Protector Forsikring'!G89+'Sparebank 1 Fors.'!G89+'Storebrand Livsforsikring'!G89+'Telenor Forsikring'!G89+'Tryg Forsikring'!G89+'WaterCircles F'!G89+'Euro Accident'!G89+'Ly Forsikring'!G89+'Youplus Livsforsikring'!G89+'Oslo Forsikring'!G89+'Knif Trygghet Forsikring'!G89</f>
        <v>779674561.53863502</v>
      </c>
      <c r="G89" s="123">
        <f t="shared" si="25"/>
        <v>19</v>
      </c>
      <c r="H89" s="184">
        <f t="shared" si="34"/>
        <v>657444175.05609</v>
      </c>
      <c r="I89" s="184">
        <f t="shared" si="35"/>
        <v>783941847.59125507</v>
      </c>
      <c r="J89" s="20">
        <f t="shared" si="28"/>
        <v>19.2</v>
      </c>
      <c r="M89" s="22"/>
    </row>
    <row r="90" spans="1:13" ht="15.75" customHeight="1" x14ac:dyDescent="0.25">
      <c r="A90" s="243" t="s">
        <v>199</v>
      </c>
      <c r="B90" s="36"/>
      <c r="C90" s="36"/>
      <c r="D90" s="23"/>
      <c r="E90" s="36">
        <f>'Fremtind Livsforsikring'!F90+'DNB Livsforsikring'!F90+'Frende Livsforsikring'!F90+'Frende Skadeforsikring'!F90+'Gjensidige Forsikring'!F90+'Gjensidige Pensjon'!F90+'If Skadeforsikring NUF'!F90+KLP!F90+'KLP Skadeforsikring AS'!F90+'Landkreditt Forsikring'!F90+'Nordea Liv '!F90+'Oslo Pensjonsforsikring'!F90+'Protector Forsikring'!F90+'Sparebank 1 Fors.'!F90+'Storebrand Livsforsikring'!F90+'Telenor Forsikring'!F90+'Tryg Forsikring'!F90+'WaterCircles F'!F90+'Euro Accident'!F90+'Ly Forsikring'!F90+'Youplus Livsforsikring'!F90+'Oslo Forsikring'!F90+'Knif Trygghet Forsikring'!F90</f>
        <v>325750.82918</v>
      </c>
      <c r="F90" s="36">
        <f>'Fremtind Livsforsikring'!G90+'DNB Livsforsikring'!G90+'Frende Livsforsikring'!G90+'Frende Skadeforsikring'!G90+'Gjensidige Forsikring'!G90+'Gjensidige Pensjon'!G90+'If Skadeforsikring NUF'!G90+KLP!G90+'KLP Skadeforsikring AS'!G90+'Landkreditt Forsikring'!G90+'Nordea Liv '!G90+'Oslo Pensjonsforsikring'!G90+'Protector Forsikring'!G90+'Sparebank 1 Fors.'!G90+'Storebrand Livsforsikring'!G90+'Telenor Forsikring'!G90+'Tryg Forsikring'!G90+'WaterCircles F'!G90+'Euro Accident'!G90+'Ly Forsikring'!G90+'Youplus Livsforsikring'!G90+'Oslo Forsikring'!G90+'Knif Trygghet Forsikring'!G90</f>
        <v>337198.92099999997</v>
      </c>
      <c r="G90" s="123">
        <f t="shared" si="25"/>
        <v>3.5</v>
      </c>
      <c r="H90" s="184">
        <f t="shared" si="34"/>
        <v>325750.82918</v>
      </c>
      <c r="I90" s="184">
        <f t="shared" si="35"/>
        <v>337198.92099999997</v>
      </c>
      <c r="J90" s="20">
        <f t="shared" si="28"/>
        <v>3.5</v>
      </c>
    </row>
    <row r="91" spans="1:13" ht="15.75" customHeight="1" x14ac:dyDescent="0.25">
      <c r="A91" s="243" t="s">
        <v>200</v>
      </c>
      <c r="B91" s="182"/>
      <c r="C91" s="182"/>
      <c r="D91" s="23"/>
      <c r="E91" s="36">
        <f>'Fremtind Livsforsikring'!F91+'DNB Livsforsikring'!F91+'Frende Livsforsikring'!F91+'Frende Skadeforsikring'!F91+'Gjensidige Forsikring'!F91+'Gjensidige Pensjon'!F91+'If Skadeforsikring NUF'!F91+KLP!F91+'KLP Skadeforsikring AS'!F91+'Landkreditt Forsikring'!F91+'Nordea Liv '!F91+'Oslo Pensjonsforsikring'!F91+'Protector Forsikring'!F91+'Sparebank 1 Fors.'!F91+'Storebrand Livsforsikring'!F91+'Telenor Forsikring'!F91+'Tryg Forsikring'!F91+'WaterCircles F'!F91+'Euro Accident'!F91+'Ly Forsikring'!F91+'Youplus Livsforsikring'!F91+'Oslo Forsikring'!F91+'Knif Trygghet Forsikring'!F91</f>
        <v>308559.92217999999</v>
      </c>
      <c r="F91" s="36">
        <f>'Fremtind Livsforsikring'!G91+'DNB Livsforsikring'!G91+'Frende Livsforsikring'!G91+'Frende Skadeforsikring'!G91+'Gjensidige Forsikring'!G91+'Gjensidige Pensjon'!G91+'If Skadeforsikring NUF'!G91+KLP!G91+'KLP Skadeforsikring AS'!G91+'Landkreditt Forsikring'!G91+'Nordea Liv '!G91+'Oslo Pensjonsforsikring'!G91+'Protector Forsikring'!G91+'Sparebank 1 Fors.'!G91+'Storebrand Livsforsikring'!G91+'Telenor Forsikring'!G91+'Tryg Forsikring'!G91+'WaterCircles F'!G91+'Euro Accident'!G91+'Ly Forsikring'!G91+'Youplus Livsforsikring'!G91+'Oslo Forsikring'!G91+'Knif Trygghet Forsikring'!G91</f>
        <v>315094.03899999999</v>
      </c>
      <c r="G91" s="123">
        <f t="shared" si="25"/>
        <v>2.1</v>
      </c>
      <c r="H91" s="184">
        <f t="shared" si="34"/>
        <v>308559.92217999999</v>
      </c>
      <c r="I91" s="184">
        <f t="shared" si="35"/>
        <v>315094.03899999999</v>
      </c>
      <c r="J91" s="20">
        <f t="shared" si="28"/>
        <v>2.1</v>
      </c>
      <c r="M91" s="22"/>
    </row>
    <row r="92" spans="1:13" ht="15.75" customHeight="1" x14ac:dyDescent="0.25">
      <c r="A92" s="243" t="s">
        <v>201</v>
      </c>
      <c r="B92" s="182"/>
      <c r="C92" s="182"/>
      <c r="D92" s="23"/>
      <c r="E92" s="36">
        <f>'Fremtind Livsforsikring'!F92+'DNB Livsforsikring'!F92+'Frende Livsforsikring'!F92+'Frende Skadeforsikring'!F92+'Gjensidige Forsikring'!F92+'Gjensidige Pensjon'!F92+'If Skadeforsikring NUF'!F92+KLP!F92+'KLP Skadeforsikring AS'!F92+'Landkreditt Forsikring'!F92+'Nordea Liv '!F92+'Oslo Pensjonsforsikring'!F92+'Protector Forsikring'!F92+'Sparebank 1 Fors.'!F92+'Storebrand Livsforsikring'!F92+'Telenor Forsikring'!F92+'Tryg Forsikring'!F92+'WaterCircles F'!F92+'Euro Accident'!F92+'Ly Forsikring'!F92+'Youplus Livsforsikring'!F92+'Oslo Forsikring'!F92+'Knif Trygghet Forsikring'!F92</f>
        <v>17190.906999999999</v>
      </c>
      <c r="F92" s="36">
        <f>'Fremtind Livsforsikring'!G92+'DNB Livsforsikring'!G92+'Frende Livsforsikring'!G92+'Frende Skadeforsikring'!G92+'Gjensidige Forsikring'!G92+'Gjensidige Pensjon'!G92+'If Skadeforsikring NUF'!G92+KLP!G92+'KLP Skadeforsikring AS'!G92+'Landkreditt Forsikring'!G92+'Nordea Liv '!G92+'Oslo Pensjonsforsikring'!G92+'Protector Forsikring'!G92+'Sparebank 1 Fors.'!G92+'Storebrand Livsforsikring'!G92+'Telenor Forsikring'!G92+'Tryg Forsikring'!G92+'WaterCircles F'!G92+'Euro Accident'!G92+'Ly Forsikring'!G92+'Youplus Livsforsikring'!G92+'Oslo Forsikring'!G92+'Knif Trygghet Forsikring'!G92</f>
        <v>22104.882000000001</v>
      </c>
      <c r="G92" s="123">
        <f t="shared" si="25"/>
        <v>28.6</v>
      </c>
      <c r="H92" s="184">
        <f t="shared" si="34"/>
        <v>17190.906999999999</v>
      </c>
      <c r="I92" s="184">
        <f t="shared" si="35"/>
        <v>22104.882000000001</v>
      </c>
      <c r="J92" s="20">
        <f t="shared" si="28"/>
        <v>28.6</v>
      </c>
      <c r="L92" s="22"/>
      <c r="M92" s="22"/>
    </row>
    <row r="93" spans="1:13" ht="15.75" customHeight="1" x14ac:dyDescent="0.25">
      <c r="A93" s="243" t="s">
        <v>202</v>
      </c>
      <c r="B93" s="36">
        <f>'Fremtind Livsforsikring'!B93+'DNB Livsforsikring'!B93+'Frende Livsforsikring'!B93+'Frende Skadeforsikring'!B93+'Gjensidige Forsikring'!B93+'Gjensidige Pensjon'!B93+'If Skadeforsikring NUF'!B93+KLP!B93+'KLP Skadeforsikring AS'!B93+'Landkreditt Forsikring'!B93+'Nordea Liv '!B93+'Oslo Pensjonsforsikring'!B93+'Protector Forsikring'!B93+'Sparebank 1 Fors.'!B93+'Storebrand Livsforsikring'!B93+'Telenor Forsikring'!B93+'Tryg Forsikring'!B93+'WaterCircles F'!B93+'Euro Accident'!B93+'Ly Forsikring'!B93+'Youplus Livsforsikring'!B93+'Oslo Forsikring'!B93+'Knif Trygghet Forsikring'!B93</f>
        <v>2423996.5242499998</v>
      </c>
      <c r="C93" s="36">
        <f>'Fremtind Livsforsikring'!C93+'DNB Livsforsikring'!C93+'Frende Livsforsikring'!C93+'Frende Skadeforsikring'!C93+'Gjensidige Forsikring'!C93+'Gjensidige Pensjon'!C93+'If Skadeforsikring NUF'!C93+KLP!C93+'KLP Skadeforsikring AS'!C93+'Landkreditt Forsikring'!C93+'Nordea Liv '!C93+'Oslo Pensjonsforsikring'!C93+'Protector Forsikring'!C93+'Sparebank 1 Fors.'!C93+'Storebrand Livsforsikring'!C93+'Telenor Forsikring'!C93+'Tryg Forsikring'!C93+'WaterCircles F'!C93+'Euro Accident'!C93+'Ly Forsikring'!C93+'Youplus Livsforsikring'!C93+'Oslo Forsikring'!C93+'Knif Trygghet Forsikring'!C93</f>
        <v>4267286.0526200002</v>
      </c>
      <c r="D93" s="23">
        <f t="shared" ref="D93" si="36">IF($A$1=4,IF(B93=0, "    ---- ", IF(ABS(ROUND(100/B93*C93-100,1))&lt;999,ROUND(100/B93*C93-100,1),IF(ROUND(100/B93*C93-100,1)&gt;999,999,-999))),"")</f>
        <v>76</v>
      </c>
      <c r="E93" s="36">
        <f>'Fremtind Livsforsikring'!F93+'DNB Livsforsikring'!F93+'Frende Livsforsikring'!F93+'Frende Skadeforsikring'!F93+'Gjensidige Forsikring'!F93+'Gjensidige Pensjon'!F93+'If Skadeforsikring NUF'!F93+KLP!F93+'KLP Skadeforsikring AS'!F93+'Landkreditt Forsikring'!F93+'Nordea Liv '!F93+'Oslo Pensjonsforsikring'!F93+'Protector Forsikring'!F93+'Sparebank 1 Fors.'!F93+'Storebrand Livsforsikring'!F93+'Telenor Forsikring'!F93+'Tryg Forsikring'!F93+'WaterCircles F'!F93+'Euro Accident'!F93+'Ly Forsikring'!F93+'Youplus Livsforsikring'!F93+'Oslo Forsikring'!F93+'Knif Trygghet Forsikring'!F93</f>
        <v>654694427.70265996</v>
      </c>
      <c r="F93" s="36">
        <f>'Fremtind Livsforsikring'!G93+'DNB Livsforsikring'!G93+'Frende Livsforsikring'!G93+'Frende Skadeforsikring'!G93+'Gjensidige Forsikring'!G93+'Gjensidige Pensjon'!G93+'If Skadeforsikring NUF'!G93+KLP!G93+'KLP Skadeforsikring AS'!G93+'Landkreditt Forsikring'!G93+'Nordea Liv '!G93+'Oslo Pensjonsforsikring'!G93+'Protector Forsikring'!G93+'Sparebank 1 Fors.'!G93+'Storebrand Livsforsikring'!G93+'Telenor Forsikring'!G93+'Tryg Forsikring'!G93+'WaterCircles F'!G93+'Euro Accident'!G93+'Ly Forsikring'!G93+'Youplus Livsforsikring'!G93+'Oslo Forsikring'!G93+'Knif Trygghet Forsikring'!G93</f>
        <v>779337362.61763501</v>
      </c>
      <c r="G93" s="123">
        <f t="shared" si="25"/>
        <v>19</v>
      </c>
      <c r="H93" s="184">
        <f t="shared" si="34"/>
        <v>657118424.22691</v>
      </c>
      <c r="I93" s="184">
        <f t="shared" si="35"/>
        <v>783604648.67025506</v>
      </c>
      <c r="J93" s="20">
        <f t="shared" si="28"/>
        <v>19.2</v>
      </c>
    </row>
    <row r="94" spans="1:13" ht="15.75" customHeight="1" x14ac:dyDescent="0.25">
      <c r="A94" s="243" t="s">
        <v>200</v>
      </c>
      <c r="B94" s="182"/>
      <c r="C94" s="182"/>
      <c r="D94" s="23"/>
      <c r="E94" s="36"/>
      <c r="F94" s="36"/>
      <c r="G94" s="123"/>
      <c r="H94" s="184"/>
      <c r="I94" s="184"/>
      <c r="J94" s="20"/>
    </row>
    <row r="95" spans="1:13" ht="15.75" customHeight="1" x14ac:dyDescent="0.25">
      <c r="A95" s="243" t="s">
        <v>201</v>
      </c>
      <c r="B95" s="182"/>
      <c r="C95" s="182"/>
      <c r="D95" s="23"/>
      <c r="E95" s="36">
        <f>'Fremtind Livsforsikring'!F95+'DNB Livsforsikring'!F95+'Frende Livsforsikring'!F95+'Frende Skadeforsikring'!F95+'Gjensidige Forsikring'!F95+'Gjensidige Pensjon'!F95+'If Skadeforsikring NUF'!F95+KLP!F95+'KLP Skadeforsikring AS'!F95+'Landkreditt Forsikring'!F95+'Nordea Liv '!F95+'Oslo Pensjonsforsikring'!F95+'Protector Forsikring'!F95+'Sparebank 1 Fors.'!F95+'Storebrand Livsforsikring'!F95+'Telenor Forsikring'!F95+'Tryg Forsikring'!F95+'WaterCircles F'!F95+'Euro Accident'!F95+'Ly Forsikring'!F95+'Youplus Livsforsikring'!F95+'Oslo Forsikring'!F95+'Knif Trygghet Forsikring'!F95</f>
        <v>654694427.70265996</v>
      </c>
      <c r="F95" s="36">
        <f>'Fremtind Livsforsikring'!G95+'DNB Livsforsikring'!G95+'Frende Livsforsikring'!G95+'Frende Skadeforsikring'!G95+'Gjensidige Forsikring'!G95+'Gjensidige Pensjon'!G95+'If Skadeforsikring NUF'!G95+KLP!G95+'KLP Skadeforsikring AS'!G95+'Landkreditt Forsikring'!G95+'Nordea Liv '!G95+'Oslo Pensjonsforsikring'!G95+'Protector Forsikring'!G95+'Sparebank 1 Fors.'!G95+'Storebrand Livsforsikring'!G95+'Telenor Forsikring'!G95+'Tryg Forsikring'!G95+'WaterCircles F'!G95+'Euro Accident'!G95+'Ly Forsikring'!G95+'Youplus Livsforsikring'!G95+'Oslo Forsikring'!G95+'Knif Trygghet Forsikring'!G95</f>
        <v>779337362.61763501</v>
      </c>
      <c r="G95" s="123">
        <f t="shared" si="25"/>
        <v>19</v>
      </c>
      <c r="H95" s="184">
        <f t="shared" si="34"/>
        <v>654694427.70265996</v>
      </c>
      <c r="I95" s="184">
        <f t="shared" si="35"/>
        <v>779337362.61763501</v>
      </c>
      <c r="J95" s="20">
        <f t="shared" si="28"/>
        <v>19</v>
      </c>
    </row>
    <row r="96" spans="1:13" ht="15.75" customHeight="1" x14ac:dyDescent="0.25">
      <c r="A96" s="18" t="s">
        <v>203</v>
      </c>
      <c r="B96" s="181">
        <f>'Fremtind Livsforsikring'!B96+'DNB Livsforsikring'!B96+'Frende Livsforsikring'!B96+'Frende Skadeforsikring'!B96+'Gjensidige Forsikring'!B96+'Gjensidige Pensjon'!B96+'If Skadeforsikring NUF'!B96+KLP!B96+'KLP Skadeforsikring AS'!B96+'Landkreditt Forsikring'!B96+'Nordea Liv '!B96+'Oslo Pensjonsforsikring'!B96+'Protector Forsikring'!B96+'Sparebank 1 Fors.'!B96+'Storebrand Livsforsikring'!B96+'Telenor Forsikring'!B96+'Tryg Forsikring'!B96+'WaterCircles F'!B96+'Euro Accident'!B96+'Ly Forsikring'!B96+'Youplus Livsforsikring'!B96+'Oslo Forsikring'!B96+'Knif Trygghet Forsikring'!B96</f>
        <v>6976637.56599</v>
      </c>
      <c r="C96" s="181">
        <f>'Fremtind Livsforsikring'!C96+'DNB Livsforsikring'!C96+'Frende Livsforsikring'!C96+'Frende Skadeforsikring'!C96+'Gjensidige Forsikring'!C96+'Gjensidige Pensjon'!C96+'If Skadeforsikring NUF'!C96+KLP!C96+'KLP Skadeforsikring AS'!C96+'Landkreditt Forsikring'!C96+'Nordea Liv '!C96+'Oslo Pensjonsforsikring'!C96+'Protector Forsikring'!C96+'Sparebank 1 Fors.'!C96+'Storebrand Livsforsikring'!C96+'Telenor Forsikring'!C96+'Tryg Forsikring'!C96+'WaterCircles F'!C96+'Euro Accident'!C96+'Ly Forsikring'!C96+'Youplus Livsforsikring'!C96+'Oslo Forsikring'!C96+'Knif Trygghet Forsikring'!C96</f>
        <v>8965387.0575200003</v>
      </c>
      <c r="D96" s="20">
        <f t="shared" si="24"/>
        <v>28.5</v>
      </c>
      <c r="E96" s="36">
        <f>'Fremtind Livsforsikring'!F96+'DNB Livsforsikring'!F96+'Frende Livsforsikring'!F96+'Frende Skadeforsikring'!F96+'Gjensidige Forsikring'!F96+'Gjensidige Pensjon'!F96+'If Skadeforsikring NUF'!F96+KLP!F96+'KLP Skadeforsikring AS'!F96+'Landkreditt Forsikring'!F96+'Nordea Liv '!F96+'Oslo Pensjonsforsikring'!F96+'Protector Forsikring'!F96+'Sparebank 1 Fors.'!F96+'Storebrand Livsforsikring'!F96+'Telenor Forsikring'!F96+'Tryg Forsikring'!F96+'WaterCircles F'!F96+'Euro Accident'!F96+'Ly Forsikring'!F96+'Youplus Livsforsikring'!F96+'Oslo Forsikring'!F96+'Knif Trygghet Forsikring'!F96</f>
        <v>10304852.40845</v>
      </c>
      <c r="F96" s="36">
        <f>'Fremtind Livsforsikring'!G96+'DNB Livsforsikring'!G96+'Frende Livsforsikring'!G96+'Frende Skadeforsikring'!G96+'Gjensidige Forsikring'!G96+'Gjensidige Pensjon'!G96+'If Skadeforsikring NUF'!G96+KLP!G96+'KLP Skadeforsikring AS'!G96+'Landkreditt Forsikring'!G96+'Nordea Liv '!G96+'Oslo Pensjonsforsikring'!G96+'Protector Forsikring'!G96+'Sparebank 1 Fors.'!G96+'Storebrand Livsforsikring'!G96+'Telenor Forsikring'!G96+'Tryg Forsikring'!G96+'WaterCircles F'!G96+'Euro Accident'!G96+'Ly Forsikring'!G96+'Youplus Livsforsikring'!G96+'Oslo Forsikring'!G96+'Knif Trygghet Forsikring'!G96</f>
        <v>12651013.65961</v>
      </c>
      <c r="G96" s="123">
        <f t="shared" si="25"/>
        <v>22.8</v>
      </c>
      <c r="H96" s="184">
        <f t="shared" si="34"/>
        <v>17281489.974440001</v>
      </c>
      <c r="I96" s="184">
        <f t="shared" si="35"/>
        <v>21616400.717129998</v>
      </c>
      <c r="J96" s="20">
        <f t="shared" si="28"/>
        <v>25.1</v>
      </c>
    </row>
    <row r="97" spans="1:10" ht="15.75" customHeight="1" x14ac:dyDescent="0.25">
      <c r="A97" s="18" t="s">
        <v>204</v>
      </c>
      <c r="B97" s="181">
        <f>'Fremtind Livsforsikring'!B97+'DNB Livsforsikring'!B97+'Frende Livsforsikring'!B97+'Frende Skadeforsikring'!B97+'Gjensidige Forsikring'!B97+'Gjensidige Pensjon'!B97+'If Skadeforsikring NUF'!B97+KLP!B97+'KLP Skadeforsikring AS'!B97+'Landkreditt Forsikring'!B97+'Nordea Liv '!B97+'Oslo Pensjonsforsikring'!B97+'Protector Forsikring'!B97+'Sparebank 1 Fors.'!B97+'Storebrand Livsforsikring'!B97+'Telenor Forsikring'!B97+'Tryg Forsikring'!B97+'WaterCircles F'!B97+'Euro Accident'!B97+'Ly Forsikring'!B97+'Youplus Livsforsikring'!B97+'Oslo Forsikring'!B97+'Knif Trygghet Forsikring'!B97</f>
        <v>12289493.812690001</v>
      </c>
      <c r="C97" s="181">
        <f>'Fremtind Livsforsikring'!C97+'DNB Livsforsikring'!C97+'Frende Livsforsikring'!C97+'Frende Skadeforsikring'!C97+'Gjensidige Forsikring'!C97+'Gjensidige Pensjon'!C97+'If Skadeforsikring NUF'!C97+KLP!C97+'KLP Skadeforsikring AS'!C97+'Landkreditt Forsikring'!C97+'Nordea Liv '!C97+'Oslo Pensjonsforsikring'!C97+'Protector Forsikring'!C97+'Sparebank 1 Fors.'!C97+'Storebrand Livsforsikring'!C97+'Telenor Forsikring'!C97+'Tryg Forsikring'!C97+'WaterCircles F'!C97+'Euro Accident'!C97+'Ly Forsikring'!C97+'Youplus Livsforsikring'!C97+'Oslo Forsikring'!C97+'Knif Trygghet Forsikring'!C97</f>
        <v>13970414.352500001</v>
      </c>
      <c r="D97" s="20">
        <f t="shared" ref="D97" si="37">IF(B97=0, "    ---- ", IF(ABS(ROUND(100/B97*C97-100,1))&lt;999,ROUND(100/B97*C97-100,1),IF(ROUND(100/B97*C97-100,1)&gt;999,999,-999)))</f>
        <v>13.7</v>
      </c>
      <c r="E97" s="36"/>
      <c r="F97" s="36"/>
      <c r="G97" s="123"/>
      <c r="H97" s="184">
        <f t="shared" ref="H97" si="38">SUM(B97,E97)</f>
        <v>12289493.812690001</v>
      </c>
      <c r="I97" s="184">
        <f t="shared" ref="I97" si="39">SUM(C97,F97)</f>
        <v>13970414.352500001</v>
      </c>
      <c r="J97" s="20">
        <f t="shared" ref="J97" si="40">IF(H97=0, "    ---- ", IF(ABS(ROUND(100/H97*I97-100,1))&lt;999,ROUND(100/H97*I97-100,1),IF(ROUND(100/H97*I97-100,1)&gt;999,999,-999)))</f>
        <v>13.7</v>
      </c>
    </row>
    <row r="98" spans="1:10" ht="15.75" customHeight="1" x14ac:dyDescent="0.25">
      <c r="A98" s="18" t="s">
        <v>205</v>
      </c>
      <c r="B98" s="181">
        <f>'Fremtind Livsforsikring'!B98+'DNB Livsforsikring'!B98+'Frende Livsforsikring'!B98+'Frende Skadeforsikring'!B98+'Gjensidige Forsikring'!B98+'Gjensidige Pensjon'!B98+'If Skadeforsikring NUF'!B98+KLP!B98+'KLP Skadeforsikring AS'!B98+'Landkreditt Forsikring'!B98+'Nordea Liv '!B98+'Oslo Pensjonsforsikring'!B98+'Protector Forsikring'!B98+'Sparebank 1 Fors.'!B98+'Storebrand Livsforsikring'!B98+'Telenor Forsikring'!B98+'Tryg Forsikring'!B98+'WaterCircles F'!B98+'Euro Accident'!B98+'Ly Forsikring'!B98+'Youplus Livsforsikring'!B98+'Oslo Forsikring'!B98+'Knif Trygghet Forsikring'!B98</f>
        <v>382429429.33506763</v>
      </c>
      <c r="C98" s="181">
        <f>'Fremtind Livsforsikring'!C98+'DNB Livsforsikring'!C98+'Frende Livsforsikring'!C98+'Frende Skadeforsikring'!C98+'Gjensidige Forsikring'!C98+'Gjensidige Pensjon'!C98+'If Skadeforsikring NUF'!C98+KLP!C98+'KLP Skadeforsikring AS'!C98+'Landkreditt Forsikring'!C98+'Nordea Liv '!C98+'Oslo Pensjonsforsikring'!C98+'Protector Forsikring'!C98+'Sparebank 1 Fors.'!C98+'Storebrand Livsforsikring'!C98+'Telenor Forsikring'!C98+'Tryg Forsikring'!C98+'WaterCircles F'!C98+'Euro Accident'!C98+'Ly Forsikring'!C98+'Youplus Livsforsikring'!C98+'Oslo Forsikring'!C98+'Knif Trygghet Forsikring'!C98</f>
        <v>388543402.7698797</v>
      </c>
      <c r="D98" s="20">
        <f t="shared" si="24"/>
        <v>1.6</v>
      </c>
      <c r="E98" s="36">
        <f>'Fremtind Livsforsikring'!F98+'DNB Livsforsikring'!F98+'Frende Livsforsikring'!F98+'Frende Skadeforsikring'!F98+'Gjensidige Forsikring'!F98+'Gjensidige Pensjon'!F98+'If Skadeforsikring NUF'!F98+KLP!F98+'KLP Skadeforsikring AS'!F98+'Landkreditt Forsikring'!F98+'Nordea Liv '!F98+'Oslo Pensjonsforsikring'!F98+'Protector Forsikring'!F98+'Sparebank 1 Fors.'!F98+'Storebrand Livsforsikring'!F98+'Telenor Forsikring'!F98+'Tryg Forsikring'!F98+'WaterCircles F'!F98+'Euro Accident'!F98+'Ly Forsikring'!F98+'Youplus Livsforsikring'!F98+'Oslo Forsikring'!F98+'Knif Trygghet Forsikring'!F98</f>
        <v>654595397.96816003</v>
      </c>
      <c r="F98" s="36">
        <f>'Fremtind Livsforsikring'!G98+'DNB Livsforsikring'!G98+'Frende Livsforsikring'!G98+'Frende Skadeforsikring'!G98+'Gjensidige Forsikring'!G98+'Gjensidige Pensjon'!G98+'If Skadeforsikring NUF'!G98+KLP!G98+'KLP Skadeforsikring AS'!G98+'Landkreditt Forsikring'!G98+'Nordea Liv '!G98+'Oslo Pensjonsforsikring'!G98+'Protector Forsikring'!G98+'Sparebank 1 Fors.'!G98+'Storebrand Livsforsikring'!G98+'Telenor Forsikring'!G98+'Tryg Forsikring'!G98+'WaterCircles F'!G98+'Euro Accident'!G98+'Ly Forsikring'!G98+'Youplus Livsforsikring'!G98+'Oslo Forsikring'!G98+'Knif Trygghet Forsikring'!G98</f>
        <v>779248358.78772497</v>
      </c>
      <c r="G98" s="123">
        <f t="shared" si="25"/>
        <v>19</v>
      </c>
      <c r="H98" s="184">
        <f t="shared" si="34"/>
        <v>1037024827.3032277</v>
      </c>
      <c r="I98" s="184">
        <f t="shared" si="35"/>
        <v>1167791761.5576048</v>
      </c>
      <c r="J98" s="20">
        <f t="shared" si="28"/>
        <v>12.6</v>
      </c>
    </row>
    <row r="99" spans="1:10" ht="15.75" customHeight="1" x14ac:dyDescent="0.25">
      <c r="A99" s="18" t="s">
        <v>197</v>
      </c>
      <c r="B99" s="181">
        <f>'Fremtind Livsforsikring'!B99+'DNB Livsforsikring'!B99+'Frende Livsforsikring'!B99+'Frende Skadeforsikring'!B99+'Gjensidige Forsikring'!B99+'Gjensidige Pensjon'!B99+'If Skadeforsikring NUF'!B99+KLP!B99+'KLP Skadeforsikring AS'!B99+'Landkreditt Forsikring'!B99+'Nordea Liv '!B99+'Oslo Pensjonsforsikring'!B99+'Protector Forsikring'!B99+'Sparebank 1 Fors.'!B99+'Storebrand Livsforsikring'!B99+'Telenor Forsikring'!B99+'Tryg Forsikring'!B99+'WaterCircles F'!B99+'Euro Accident'!B99+'Ly Forsikring'!B99+'Youplus Livsforsikring'!B99+'Oslo Forsikring'!B99+'Knif Trygghet Forsikring'!B99</f>
        <v>380005432.8108176</v>
      </c>
      <c r="C99" s="181">
        <f>'Fremtind Livsforsikring'!C99+'DNB Livsforsikring'!C99+'Frende Livsforsikring'!C99+'Frende Skadeforsikring'!C99+'Gjensidige Forsikring'!C99+'Gjensidige Pensjon'!C99+'If Skadeforsikring NUF'!C99+KLP!C99+'KLP Skadeforsikring AS'!C99+'Landkreditt Forsikring'!C99+'Nordea Liv '!C99+'Oslo Pensjonsforsikring'!C99+'Protector Forsikring'!C99+'Sparebank 1 Fors.'!C99+'Storebrand Livsforsikring'!C99+'Telenor Forsikring'!C99+'Tryg Forsikring'!C99+'WaterCircles F'!C99+'Euro Accident'!C99+'Ly Forsikring'!C99+'Youplus Livsforsikring'!C99+'Oslo Forsikring'!C99+'Knif Trygghet Forsikring'!C99</f>
        <v>384276116.71725971</v>
      </c>
      <c r="D99" s="20">
        <f t="shared" si="24"/>
        <v>1.1000000000000001</v>
      </c>
      <c r="E99" s="36"/>
      <c r="F99" s="36"/>
      <c r="G99" s="123"/>
      <c r="H99" s="184">
        <f t="shared" si="34"/>
        <v>380005432.8108176</v>
      </c>
      <c r="I99" s="184">
        <f t="shared" si="35"/>
        <v>384276116.71725971</v>
      </c>
      <c r="J99" s="20">
        <f t="shared" si="28"/>
        <v>1.1000000000000001</v>
      </c>
    </row>
    <row r="100" spans="1:10" ht="15.75" customHeight="1" x14ac:dyDescent="0.25">
      <c r="A100" s="18" t="s">
        <v>206</v>
      </c>
      <c r="B100" s="181">
        <f>'Fremtind Livsforsikring'!B100+'DNB Livsforsikring'!B100+'Frende Livsforsikring'!B100+'Frende Skadeforsikring'!B100+'Gjensidige Forsikring'!B100+'Gjensidige Pensjon'!B100+'If Skadeforsikring NUF'!B100+KLP!B100+'KLP Skadeforsikring AS'!B100+'Landkreditt Forsikring'!B100+'Nordea Liv '!B100+'Oslo Pensjonsforsikring'!B100+'Protector Forsikring'!B100+'Sparebank 1 Fors.'!B100+'Storebrand Livsforsikring'!B100+'Telenor Forsikring'!B100+'Tryg Forsikring'!B100+'WaterCircles F'!B100+'Euro Accident'!B100+'Ly Forsikring'!B100+'Youplus Livsforsikring'!B100+'Oslo Forsikring'!B100+'Knif Trygghet Forsikring'!B100</f>
        <v>2423996.5242499998</v>
      </c>
      <c r="C100" s="181">
        <f>'Fremtind Livsforsikring'!C100+'DNB Livsforsikring'!C100+'Frende Livsforsikring'!C100+'Frende Skadeforsikring'!C100+'Gjensidige Forsikring'!C100+'Gjensidige Pensjon'!C100+'If Skadeforsikring NUF'!C100+KLP!C100+'KLP Skadeforsikring AS'!C100+'Landkreditt Forsikring'!C100+'Nordea Liv '!C100+'Oslo Pensjonsforsikring'!C100+'Protector Forsikring'!C100+'Sparebank 1 Fors.'!C100+'Storebrand Livsforsikring'!C100+'Telenor Forsikring'!C100+'Tryg Forsikring'!C100+'WaterCircles F'!C100+'Euro Accident'!C100+'Ly Forsikring'!C100+'Youplus Livsforsikring'!C100+'Oslo Forsikring'!C100+'Knif Trygghet Forsikring'!C100</f>
        <v>4267286.0526200002</v>
      </c>
      <c r="D100" s="20">
        <f t="shared" si="24"/>
        <v>76</v>
      </c>
      <c r="E100" s="36">
        <f>'Fremtind Livsforsikring'!F100+'DNB Livsforsikring'!F100+'Frende Livsforsikring'!F100+'Frende Skadeforsikring'!F100+'Gjensidige Forsikring'!F100+'Gjensidige Pensjon'!F100+'If Skadeforsikring NUF'!F100+KLP!F100+'KLP Skadeforsikring AS'!F100+'Landkreditt Forsikring'!F100+'Nordea Liv '!F100+'Oslo Pensjonsforsikring'!F100+'Protector Forsikring'!F100+'Sparebank 1 Fors.'!F100+'Storebrand Livsforsikring'!F100+'Telenor Forsikring'!F100+'Tryg Forsikring'!F100+'WaterCircles F'!F100+'Euro Accident'!F100+'Ly Forsikring'!F100+'Youplus Livsforsikring'!F100+'Oslo Forsikring'!F100+'Knif Trygghet Forsikring'!F100</f>
        <v>654595397.96816003</v>
      </c>
      <c r="F100" s="36">
        <f>'Fremtind Livsforsikring'!G100+'DNB Livsforsikring'!G100+'Frende Livsforsikring'!G100+'Frende Skadeforsikring'!G100+'Gjensidige Forsikring'!G100+'Gjensidige Pensjon'!G100+'If Skadeforsikring NUF'!G100+KLP!G100+'KLP Skadeforsikring AS'!G100+'Landkreditt Forsikring'!G100+'Nordea Liv '!G100+'Oslo Pensjonsforsikring'!G100+'Protector Forsikring'!G100+'Sparebank 1 Fors.'!G100+'Storebrand Livsforsikring'!G100+'Telenor Forsikring'!G100+'Tryg Forsikring'!G100+'WaterCircles F'!G100+'Euro Accident'!G100+'Ly Forsikring'!G100+'Youplus Livsforsikring'!G100+'Oslo Forsikring'!G100+'Knif Trygghet Forsikring'!G100</f>
        <v>779248358.78772497</v>
      </c>
      <c r="G100" s="123">
        <f t="shared" si="25"/>
        <v>19</v>
      </c>
      <c r="H100" s="184">
        <f t="shared" si="34"/>
        <v>657019394.49241006</v>
      </c>
      <c r="I100" s="184">
        <f t="shared" si="35"/>
        <v>783515644.84034503</v>
      </c>
      <c r="J100" s="20">
        <f t="shared" si="28"/>
        <v>19.3</v>
      </c>
    </row>
    <row r="101" spans="1:10" ht="15.75" customHeight="1" x14ac:dyDescent="0.25">
      <c r="A101" s="243" t="s">
        <v>199</v>
      </c>
      <c r="B101" s="36"/>
      <c r="C101" s="36"/>
      <c r="D101" s="23"/>
      <c r="E101" s="36"/>
      <c r="F101" s="36"/>
      <c r="G101" s="123"/>
      <c r="H101" s="184"/>
      <c r="I101" s="184"/>
      <c r="J101" s="20"/>
    </row>
    <row r="102" spans="1:10" ht="15.75" customHeight="1" x14ac:dyDescent="0.25">
      <c r="A102" s="243" t="s">
        <v>200</v>
      </c>
      <c r="B102" s="182"/>
      <c r="C102" s="182"/>
      <c r="D102" s="23"/>
      <c r="E102" s="36"/>
      <c r="F102" s="36"/>
      <c r="G102" s="123"/>
      <c r="H102" s="184"/>
      <c r="I102" s="184"/>
      <c r="J102" s="20"/>
    </row>
    <row r="103" spans="1:10" ht="15.75" customHeight="1" x14ac:dyDescent="0.25">
      <c r="A103" s="243" t="s">
        <v>201</v>
      </c>
      <c r="B103" s="182"/>
      <c r="C103" s="182"/>
      <c r="D103" s="23"/>
      <c r="E103" s="36"/>
      <c r="F103" s="36"/>
      <c r="G103" s="123"/>
      <c r="H103" s="184"/>
      <c r="I103" s="184"/>
      <c r="J103" s="20"/>
    </row>
    <row r="104" spans="1:10" ht="15.75" customHeight="1" x14ac:dyDescent="0.25">
      <c r="A104" s="243" t="s">
        <v>202</v>
      </c>
      <c r="B104" s="36">
        <f>'Fremtind Livsforsikring'!B104+'DNB Livsforsikring'!B104+'Frende Livsforsikring'!B104+'Frende Skadeforsikring'!B104+'Gjensidige Forsikring'!B104+'Gjensidige Pensjon'!B104+'If Skadeforsikring NUF'!B104+KLP!B104+'KLP Skadeforsikring AS'!B104+'Landkreditt Forsikring'!B104+'Nordea Liv '!B104+'Oslo Pensjonsforsikring'!B104+'Protector Forsikring'!B104+'Sparebank 1 Fors.'!B104+'Storebrand Livsforsikring'!B104+'Telenor Forsikring'!B104+'Tryg Forsikring'!B104+'WaterCircles F'!B104+'Euro Accident'!B104+'Ly Forsikring'!B104+'Youplus Livsforsikring'!B104+'Oslo Forsikring'!B104+'Knif Trygghet Forsikring'!B104</f>
        <v>2423996.5242499998</v>
      </c>
      <c r="C104" s="36">
        <f>'Fremtind Livsforsikring'!C104+'DNB Livsforsikring'!C104+'Frende Livsforsikring'!C104+'Frende Skadeforsikring'!C104+'Gjensidige Forsikring'!C104+'Gjensidige Pensjon'!C104+'If Skadeforsikring NUF'!C104+KLP!C104+'KLP Skadeforsikring AS'!C104+'Landkreditt Forsikring'!C104+'Nordea Liv '!C104+'Oslo Pensjonsforsikring'!C104+'Protector Forsikring'!C104+'Sparebank 1 Fors.'!C104+'Storebrand Livsforsikring'!C104+'Telenor Forsikring'!C104+'Tryg Forsikring'!C104+'WaterCircles F'!C104+'Euro Accident'!C104+'Ly Forsikring'!C104+'Youplus Livsforsikring'!C104+'Oslo Forsikring'!C104+'Knif Trygghet Forsikring'!C104</f>
        <v>4267286.0526200002</v>
      </c>
      <c r="D104" s="23">
        <f t="shared" ref="D104" si="41">IF($A$1=4,IF(B104=0, "    ---- ", IF(ABS(ROUND(100/B104*C104-100,1))&lt;999,ROUND(100/B104*C104-100,1),IF(ROUND(100/B104*C104-100,1)&gt;999,999,-999))),"")</f>
        <v>76</v>
      </c>
      <c r="E104" s="36">
        <f>'Fremtind Livsforsikring'!F104+'DNB Livsforsikring'!F104+'Frende Livsforsikring'!F104+'Frende Skadeforsikring'!F104+'Gjensidige Forsikring'!F104+'Gjensidige Pensjon'!F104+'If Skadeforsikring NUF'!F104+KLP!F104+'KLP Skadeforsikring AS'!F104+'Landkreditt Forsikring'!F104+'Nordea Liv '!F104+'Oslo Pensjonsforsikring'!F104+'Protector Forsikring'!F104+'Sparebank 1 Fors.'!F104+'Storebrand Livsforsikring'!F104+'Telenor Forsikring'!F104+'Tryg Forsikring'!F104+'WaterCircles F'!F104+'Euro Accident'!F104+'Ly Forsikring'!F104+'Youplus Livsforsikring'!F104+'Oslo Forsikring'!F104+'Knif Trygghet Forsikring'!F104</f>
        <v>654595397.96816003</v>
      </c>
      <c r="F104" s="36">
        <f>'Fremtind Livsforsikring'!G104+'DNB Livsforsikring'!G104+'Frende Livsforsikring'!G104+'Frende Skadeforsikring'!G104+'Gjensidige Forsikring'!G104+'Gjensidige Pensjon'!G104+'If Skadeforsikring NUF'!G104+KLP!G104+'KLP Skadeforsikring AS'!G104+'Landkreditt Forsikring'!G104+'Nordea Liv '!G104+'Oslo Pensjonsforsikring'!G104+'Protector Forsikring'!G104+'Sparebank 1 Fors.'!G104+'Storebrand Livsforsikring'!G104+'Telenor Forsikring'!G104+'Tryg Forsikring'!G104+'WaterCircles F'!G104+'Euro Accident'!G104+'Ly Forsikring'!G104+'Youplus Livsforsikring'!G104+'Oslo Forsikring'!G104+'Knif Trygghet Forsikring'!G104</f>
        <v>779248358.78772497</v>
      </c>
      <c r="G104" s="123">
        <f t="shared" si="25"/>
        <v>19</v>
      </c>
      <c r="H104" s="184">
        <f t="shared" si="34"/>
        <v>657019394.49241006</v>
      </c>
      <c r="I104" s="184">
        <f t="shared" si="35"/>
        <v>783515644.84034503</v>
      </c>
      <c r="J104" s="20">
        <f t="shared" si="28"/>
        <v>19.3</v>
      </c>
    </row>
    <row r="105" spans="1:10" ht="15.75" customHeight="1" x14ac:dyDescent="0.25">
      <c r="A105" s="243" t="s">
        <v>200</v>
      </c>
      <c r="B105" s="182"/>
      <c r="C105" s="182"/>
      <c r="D105" s="23"/>
      <c r="E105" s="36"/>
      <c r="F105" s="36"/>
      <c r="G105" s="123"/>
      <c r="H105" s="184"/>
      <c r="I105" s="184"/>
      <c r="J105" s="20"/>
    </row>
    <row r="106" spans="1:10" ht="15.75" customHeight="1" x14ac:dyDescent="0.25">
      <c r="A106" s="243" t="s">
        <v>201</v>
      </c>
      <c r="B106" s="182"/>
      <c r="C106" s="182"/>
      <c r="D106" s="23"/>
      <c r="E106" s="36">
        <f>'Fremtind Livsforsikring'!F106+'DNB Livsforsikring'!F106+'Frende Livsforsikring'!F106+'Frende Skadeforsikring'!F106+'Gjensidige Forsikring'!F106+'Gjensidige Pensjon'!F106+'If Skadeforsikring NUF'!F106+KLP!F106+'KLP Skadeforsikring AS'!F106+'Landkreditt Forsikring'!F106+'Nordea Liv '!F106+'Oslo Pensjonsforsikring'!F106+'Protector Forsikring'!F106+'Sparebank 1 Fors.'!F106+'Storebrand Livsforsikring'!F106+'Telenor Forsikring'!F106+'Tryg Forsikring'!F106+'WaterCircles F'!F106+'Euro Accident'!F106+'Ly Forsikring'!F106+'Youplus Livsforsikring'!F106+'Oslo Forsikring'!F106+'Knif Trygghet Forsikring'!F106</f>
        <v>654595397.96816003</v>
      </c>
      <c r="F106" s="36">
        <f>'Fremtind Livsforsikring'!G106+'DNB Livsforsikring'!G106+'Frende Livsforsikring'!G106+'Frende Skadeforsikring'!G106+'Gjensidige Forsikring'!G106+'Gjensidige Pensjon'!G106+'If Skadeforsikring NUF'!G106+KLP!G106+'KLP Skadeforsikring AS'!G106+'Landkreditt Forsikring'!G106+'Nordea Liv '!G106+'Oslo Pensjonsforsikring'!G106+'Protector Forsikring'!G106+'Sparebank 1 Fors.'!G106+'Storebrand Livsforsikring'!G106+'Telenor Forsikring'!G106+'Tryg Forsikring'!G106+'WaterCircles F'!G106+'Euro Accident'!G106+'Ly Forsikring'!G106+'Youplus Livsforsikring'!G106+'Oslo Forsikring'!G106+'Knif Trygghet Forsikring'!G106</f>
        <v>779248358.78772497</v>
      </c>
      <c r="G106" s="123">
        <f t="shared" si="25"/>
        <v>19</v>
      </c>
      <c r="H106" s="184">
        <f t="shared" si="34"/>
        <v>654595397.96816003</v>
      </c>
      <c r="I106" s="184">
        <f t="shared" si="35"/>
        <v>779248358.78772497</v>
      </c>
      <c r="J106" s="20">
        <f t="shared" si="28"/>
        <v>19</v>
      </c>
    </row>
    <row r="107" spans="1:10" ht="15.75" customHeight="1" x14ac:dyDescent="0.25">
      <c r="A107" s="18" t="s">
        <v>207</v>
      </c>
      <c r="B107" s="181">
        <f>'Fremtind Livsforsikring'!B107+'DNB Livsforsikring'!B107+'Frende Livsforsikring'!B107+'Frende Skadeforsikring'!B107+'Gjensidige Forsikring'!B107+'Gjensidige Pensjon'!B107+'If Skadeforsikring NUF'!B107+KLP!B107+'KLP Skadeforsikring AS'!B107+'Landkreditt Forsikring'!B107+'Nordea Liv '!B107+'Oslo Pensjonsforsikring'!B107+'Protector Forsikring'!B107+'Sparebank 1 Fors.'!B107+'Storebrand Livsforsikring'!B107+'Telenor Forsikring'!B107+'Tryg Forsikring'!B107+'WaterCircles F'!B107+'Euro Accident'!B107+'Ly Forsikring'!B107+'Youplus Livsforsikring'!B107+'Oslo Forsikring'!B107+'Knif Trygghet Forsikring'!B107</f>
        <v>4249034.8</v>
      </c>
      <c r="C107" s="181">
        <f>'Fremtind Livsforsikring'!C107+'DNB Livsforsikring'!C107+'Frende Livsforsikring'!C107+'Frende Skadeforsikring'!C107+'Gjensidige Forsikring'!C107+'Gjensidige Pensjon'!C107+'If Skadeforsikring NUF'!C107+KLP!C107+'KLP Skadeforsikring AS'!C107+'Landkreditt Forsikring'!C107+'Nordea Liv '!C107+'Oslo Pensjonsforsikring'!C107+'Protector Forsikring'!C107+'Sparebank 1 Fors.'!C107+'Storebrand Livsforsikring'!C107+'Telenor Forsikring'!C107+'Tryg Forsikring'!C107+'WaterCircles F'!C107+'Euro Accident'!C107+'Ly Forsikring'!C107+'Youplus Livsforsikring'!C107+'Oslo Forsikring'!C107+'Knif Trygghet Forsikring'!C107</f>
        <v>4090831.8679999998</v>
      </c>
      <c r="D107" s="20">
        <f t="shared" si="24"/>
        <v>-3.7</v>
      </c>
      <c r="E107" s="36">
        <f>'Fremtind Livsforsikring'!F107+'DNB Livsforsikring'!F107+'Frende Livsforsikring'!F107+'Frende Skadeforsikring'!F107+'Gjensidige Forsikring'!F107+'Gjensidige Pensjon'!F107+'If Skadeforsikring NUF'!F107+KLP!F107+'KLP Skadeforsikring AS'!F107+'Landkreditt Forsikring'!F107+'Nordea Liv '!F107+'Oslo Pensjonsforsikring'!F107+'Protector Forsikring'!F107+'Sparebank 1 Fors.'!F107+'Storebrand Livsforsikring'!F107+'Telenor Forsikring'!F107+'Tryg Forsikring'!F107+'WaterCircles F'!F107+'Euro Accident'!F107+'Ly Forsikring'!F107+'Youplus Livsforsikring'!F107+'Oslo Forsikring'!F107+'Knif Trygghet Forsikring'!F107</f>
        <v>424780.5636799999</v>
      </c>
      <c r="F107" s="36">
        <f>'Fremtind Livsforsikring'!G107+'DNB Livsforsikring'!G107+'Frende Livsforsikring'!G107+'Frende Skadeforsikring'!G107+'Gjensidige Forsikring'!G107+'Gjensidige Pensjon'!G107+'If Skadeforsikring NUF'!G107+KLP!G107+'KLP Skadeforsikring AS'!G107+'Landkreditt Forsikring'!G107+'Nordea Liv '!G107+'Oslo Pensjonsforsikring'!G107+'Protector Forsikring'!G107+'Sparebank 1 Fors.'!G107+'Storebrand Livsforsikring'!G107+'Telenor Forsikring'!G107+'Tryg Forsikring'!G107+'WaterCircles F'!G107+'Euro Accident'!G107+'Ly Forsikring'!G107+'Youplus Livsforsikring'!G107+'Oslo Forsikring'!G107+'Knif Trygghet Forsikring'!G107</f>
        <v>426202.75090999994</v>
      </c>
      <c r="G107" s="123">
        <f t="shared" si="25"/>
        <v>0.3</v>
      </c>
      <c r="H107" s="184">
        <f t="shared" si="34"/>
        <v>4673815.3636799995</v>
      </c>
      <c r="I107" s="184">
        <f t="shared" si="35"/>
        <v>4517034.6189099997</v>
      </c>
      <c r="J107" s="20">
        <f t="shared" si="28"/>
        <v>-3.4</v>
      </c>
    </row>
    <row r="108" spans="1:10" ht="15.75" customHeight="1" x14ac:dyDescent="0.25">
      <c r="A108" s="18" t="s">
        <v>208</v>
      </c>
      <c r="B108" s="181">
        <f>'Fremtind Livsforsikring'!B108+'DNB Livsforsikring'!B108+'Frende Livsforsikring'!B108+'Frende Skadeforsikring'!B108+'Gjensidige Forsikring'!B108+'Gjensidige Pensjon'!B108+'If Skadeforsikring NUF'!B108+KLP!B108+'KLP Skadeforsikring AS'!B108+'Landkreditt Forsikring'!B108+'Nordea Liv '!B108+'Oslo Pensjonsforsikring'!B108+'Protector Forsikring'!B108+'Sparebank 1 Fors.'!B108+'Storebrand Livsforsikring'!B108+'Telenor Forsikring'!B108+'Tryg Forsikring'!B108+'WaterCircles F'!B108+'Euro Accident'!B108+'Ly Forsikring'!B108+'Youplus Livsforsikring'!B108+'Oslo Forsikring'!B108+'Knif Trygghet Forsikring'!B108</f>
        <v>331602644.38026559</v>
      </c>
      <c r="C108" s="181">
        <f>'Fremtind Livsforsikring'!C108+'DNB Livsforsikring'!C108+'Frende Livsforsikring'!C108+'Frende Skadeforsikring'!C108+'Gjensidige Forsikring'!C108+'Gjensidige Pensjon'!C108+'If Skadeforsikring NUF'!C108+KLP!C108+'KLP Skadeforsikring AS'!C108+'Landkreditt Forsikring'!C108+'Nordea Liv '!C108+'Oslo Pensjonsforsikring'!C108+'Protector Forsikring'!C108+'Sparebank 1 Fors.'!C108+'Storebrand Livsforsikring'!C108+'Telenor Forsikring'!C108+'Tryg Forsikring'!C108+'WaterCircles F'!C108+'Euro Accident'!C108+'Ly Forsikring'!C108+'Youplus Livsforsikring'!C108+'Oslo Forsikring'!C108+'Knif Trygghet Forsikring'!C108</f>
        <v>332640799.13652211</v>
      </c>
      <c r="D108" s="20">
        <f t="shared" si="24"/>
        <v>0.3</v>
      </c>
      <c r="E108" s="36">
        <f>'Fremtind Livsforsikring'!F108+'DNB Livsforsikring'!F108+'Frende Livsforsikring'!F108+'Frende Skadeforsikring'!F108+'Gjensidige Forsikring'!F108+'Gjensidige Pensjon'!F108+'If Skadeforsikring NUF'!F108+KLP!F108+'KLP Skadeforsikring AS'!F108+'Landkreditt Forsikring'!F108+'Nordea Liv '!F108+'Oslo Pensjonsforsikring'!F108+'Protector Forsikring'!F108+'Sparebank 1 Fors.'!F108+'Storebrand Livsforsikring'!F108+'Telenor Forsikring'!F108+'Tryg Forsikring'!F108+'WaterCircles F'!F108+'Euro Accident'!F108+'Ly Forsikring'!F108+'Youplus Livsforsikring'!F108+'Oslo Forsikring'!F108+'Knif Trygghet Forsikring'!F108</f>
        <v>23789541.900520001</v>
      </c>
      <c r="F108" s="36">
        <f>'Fremtind Livsforsikring'!G108+'DNB Livsforsikring'!G108+'Frende Livsforsikring'!G108+'Frende Skadeforsikring'!G108+'Gjensidige Forsikring'!G108+'Gjensidige Pensjon'!G108+'If Skadeforsikring NUF'!G108+KLP!G108+'KLP Skadeforsikring AS'!G108+'Landkreditt Forsikring'!G108+'Nordea Liv '!G108+'Oslo Pensjonsforsikring'!G108+'Protector Forsikring'!G108+'Sparebank 1 Fors.'!G108+'Storebrand Livsforsikring'!G108+'Telenor Forsikring'!G108+'Tryg Forsikring'!G108+'WaterCircles F'!G108+'Euro Accident'!G108+'Ly Forsikring'!G108+'Youplus Livsforsikring'!G108+'Oslo Forsikring'!G108+'Knif Trygghet Forsikring'!G108</f>
        <v>26112595.021947499</v>
      </c>
      <c r="G108" s="123">
        <f t="shared" si="25"/>
        <v>9.8000000000000007</v>
      </c>
      <c r="H108" s="184">
        <f t="shared" si="34"/>
        <v>355392186.28078562</v>
      </c>
      <c r="I108" s="184">
        <f t="shared" si="35"/>
        <v>358753394.15846962</v>
      </c>
      <c r="J108" s="20">
        <f t="shared" si="28"/>
        <v>0.9</v>
      </c>
    </row>
    <row r="109" spans="1:10" ht="15.75" customHeight="1" x14ac:dyDescent="0.25">
      <c r="A109" s="18" t="s">
        <v>209</v>
      </c>
      <c r="B109" s="181">
        <f>'Fremtind Livsforsikring'!B109+'DNB Livsforsikring'!B109+'Frende Livsforsikring'!B109+'Frende Skadeforsikring'!B109+'Gjensidige Forsikring'!B109+'Gjensidige Pensjon'!B109+'If Skadeforsikring NUF'!B109+KLP!B109+'KLP Skadeforsikring AS'!B109+'Landkreditt Forsikring'!B109+'Nordea Liv '!B109+'Oslo Pensjonsforsikring'!B109+'Protector Forsikring'!B109+'Sparebank 1 Fors.'!B109+'Storebrand Livsforsikring'!B109+'Telenor Forsikring'!B109+'Tryg Forsikring'!B109+'WaterCircles F'!B109+'Euro Accident'!B109+'Ly Forsikring'!B109+'Youplus Livsforsikring'!B109+'Oslo Forsikring'!B109+'Knif Trygghet Forsikring'!B109</f>
        <v>2240091.1341981702</v>
      </c>
      <c r="C109" s="181">
        <f>'Fremtind Livsforsikring'!C109+'DNB Livsforsikring'!C109+'Frende Livsforsikring'!C109+'Frende Skadeforsikring'!C109+'Gjensidige Forsikring'!C109+'Gjensidige Pensjon'!C109+'If Skadeforsikring NUF'!C109+KLP!C109+'KLP Skadeforsikring AS'!C109+'Landkreditt Forsikring'!C109+'Nordea Liv '!C109+'Oslo Pensjonsforsikring'!C109+'Protector Forsikring'!C109+'Sparebank 1 Fors.'!C109+'Storebrand Livsforsikring'!C109+'Telenor Forsikring'!C109+'Tryg Forsikring'!C109+'WaterCircles F'!C109+'Euro Accident'!C109+'Ly Forsikring'!C109+'Youplus Livsforsikring'!C109+'Oslo Forsikring'!C109+'Knif Trygghet Forsikring'!C109</f>
        <v>2596744.0183332302</v>
      </c>
      <c r="D109" s="20">
        <f t="shared" si="24"/>
        <v>15.9</v>
      </c>
      <c r="E109" s="36">
        <f>'Fremtind Livsforsikring'!F109+'DNB Livsforsikring'!F109+'Frende Livsforsikring'!F109+'Frende Skadeforsikring'!F109+'Gjensidige Forsikring'!F109+'Gjensidige Pensjon'!F109+'If Skadeforsikring NUF'!F109+KLP!F109+'KLP Skadeforsikring AS'!F109+'Landkreditt Forsikring'!F109+'Nordea Liv '!F109+'Oslo Pensjonsforsikring'!F109+'Protector Forsikring'!F109+'Sparebank 1 Fors.'!F109+'Storebrand Livsforsikring'!F109+'Telenor Forsikring'!F109+'Tryg Forsikring'!F109+'WaterCircles F'!F109+'Euro Accident'!F109+'Ly Forsikring'!F109+'Youplus Livsforsikring'!F109+'Oslo Forsikring'!F109+'Knif Trygghet Forsikring'!F109</f>
        <v>249889324.56426001</v>
      </c>
      <c r="F109" s="36">
        <f>'Fremtind Livsforsikring'!G109+'DNB Livsforsikring'!G109+'Frende Livsforsikring'!G109+'Frende Skadeforsikring'!G109+'Gjensidige Forsikring'!G109+'Gjensidige Pensjon'!G109+'If Skadeforsikring NUF'!G109+KLP!G109+'KLP Skadeforsikring AS'!G109+'Landkreditt Forsikring'!G109+'Nordea Liv '!G109+'Oslo Pensjonsforsikring'!G109+'Protector Forsikring'!G109+'Sparebank 1 Fors.'!G109+'Storebrand Livsforsikring'!G109+'Telenor Forsikring'!G109+'Tryg Forsikring'!G109+'WaterCircles F'!G109+'Euro Accident'!G109+'Ly Forsikring'!G109+'Youplus Livsforsikring'!G109+'Oslo Forsikring'!G109+'Knif Trygghet Forsikring'!G109</f>
        <v>305906629.72371995</v>
      </c>
      <c r="G109" s="123">
        <f t="shared" si="25"/>
        <v>22.4</v>
      </c>
      <c r="H109" s="184">
        <f t="shared" si="34"/>
        <v>252129415.69845816</v>
      </c>
      <c r="I109" s="184">
        <f t="shared" si="35"/>
        <v>308503373.74205321</v>
      </c>
      <c r="J109" s="20">
        <f t="shared" si="28"/>
        <v>22.4</v>
      </c>
    </row>
    <row r="110" spans="1:10" ht="15.75" customHeight="1" x14ac:dyDescent="0.25">
      <c r="A110" s="18" t="s">
        <v>210</v>
      </c>
      <c r="B110" s="181">
        <f>'Fremtind Livsforsikring'!B110+'DNB Livsforsikring'!B110+'Frende Livsforsikring'!B110+'Frende Skadeforsikring'!B110+'Gjensidige Forsikring'!B110+'Gjensidige Pensjon'!B110+'If Skadeforsikring NUF'!B110+KLP!B110+'KLP Skadeforsikring AS'!B110+'Landkreditt Forsikring'!B110+'Nordea Liv '!B110+'Oslo Pensjonsforsikring'!B110+'Protector Forsikring'!B110+'Sparebank 1 Fors.'!B110+'Storebrand Livsforsikring'!B110+'Telenor Forsikring'!B110+'Tryg Forsikring'!B110+'WaterCircles F'!B110+'Euro Accident'!B110+'Ly Forsikring'!B110+'Youplus Livsforsikring'!B110+'Oslo Forsikring'!B110+'Knif Trygghet Forsikring'!B110</f>
        <v>3512138.9653500002</v>
      </c>
      <c r="C110" s="181">
        <f>'Fremtind Livsforsikring'!C110+'DNB Livsforsikring'!C110+'Frende Livsforsikring'!C110+'Frende Skadeforsikring'!C110+'Gjensidige Forsikring'!C110+'Gjensidige Pensjon'!C110+'If Skadeforsikring NUF'!C110+KLP!C110+'KLP Skadeforsikring AS'!C110+'Landkreditt Forsikring'!C110+'Nordea Liv '!C110+'Oslo Pensjonsforsikring'!C110+'Protector Forsikring'!C110+'Sparebank 1 Fors.'!C110+'Storebrand Livsforsikring'!C110+'Telenor Forsikring'!C110+'Tryg Forsikring'!C110+'WaterCircles F'!C110+'Euro Accident'!C110+'Ly Forsikring'!C110+'Youplus Livsforsikring'!C110+'Oslo Forsikring'!C110+'Knif Trygghet Forsikring'!C110</f>
        <v>4784130.9028900005</v>
      </c>
      <c r="D110" s="20">
        <f t="shared" si="24"/>
        <v>36.200000000000003</v>
      </c>
      <c r="E110" s="36"/>
      <c r="F110" s="36"/>
      <c r="G110" s="123"/>
      <c r="H110" s="184">
        <f t="shared" si="34"/>
        <v>3512138.9653500002</v>
      </c>
      <c r="I110" s="184">
        <f t="shared" si="35"/>
        <v>4784130.9028900005</v>
      </c>
      <c r="J110" s="20">
        <f t="shared" si="28"/>
        <v>36.200000000000003</v>
      </c>
    </row>
    <row r="111" spans="1:10" s="35" customFormat="1" ht="15.75" customHeight="1" x14ac:dyDescent="0.25">
      <c r="A111" s="10" t="s">
        <v>172</v>
      </c>
      <c r="B111" s="253">
        <f>'Fremtind Livsforsikring'!B111+'DNB Livsforsikring'!B111+'Frende Livsforsikring'!B111+'Frende Skadeforsikring'!B111+'Gjensidige Forsikring'!B111+'Gjensidige Pensjon'!B111+'If Skadeforsikring NUF'!B111+KLP!B111+'KLP Skadeforsikring AS'!B111+'Landkreditt Forsikring'!B111+'Nordea Liv '!B111+'Oslo Pensjonsforsikring'!B111+'Protector Forsikring'!B111+'Sparebank 1 Fors.'!B111+'Storebrand Livsforsikring'!B111+'Telenor Forsikring'!B111+'Tryg Forsikring'!B111+'WaterCircles F'!B111+'Euro Accident'!B111+'Ly Forsikring'!B111+'Youplus Livsforsikring'!B111+'Oslo Forsikring'!B111+'Knif Trygghet Forsikring'!B111</f>
        <v>564211.92837999994</v>
      </c>
      <c r="C111" s="253">
        <f>'Fremtind Livsforsikring'!C111+'DNB Livsforsikring'!C111+'Frende Livsforsikring'!C111+'Frende Skadeforsikring'!C111+'Gjensidige Forsikring'!C111+'Gjensidige Pensjon'!C111+'If Skadeforsikring NUF'!C111+KLP!C111+'KLP Skadeforsikring AS'!C111+'Landkreditt Forsikring'!C111+'Nordea Liv '!C111+'Oslo Pensjonsforsikring'!C111+'Protector Forsikring'!C111+'Sparebank 1 Fors.'!C111+'Storebrand Livsforsikring'!C111+'Telenor Forsikring'!C111+'Tryg Forsikring'!C111+'WaterCircles F'!C111+'Euro Accident'!C111+'Ly Forsikring'!C111+'Youplus Livsforsikring'!C111+'Oslo Forsikring'!C111+'Knif Trygghet Forsikring'!C111</f>
        <v>2468963.4357099999</v>
      </c>
      <c r="D111" s="21">
        <f t="shared" si="24"/>
        <v>337.6</v>
      </c>
      <c r="E111" s="183">
        <f>'Fremtind Livsforsikring'!F111+'DNB Livsforsikring'!F111+'Frende Livsforsikring'!F111+'Frende Skadeforsikring'!F111+'Gjensidige Forsikring'!F111+'Gjensidige Pensjon'!F111+'If Skadeforsikring NUF'!F111+KLP!F111+'KLP Skadeforsikring AS'!F111+'Landkreditt Forsikring'!F111+'Nordea Liv '!F111+'Oslo Pensjonsforsikring'!F111+'Protector Forsikring'!F111+'Sparebank 1 Fors.'!F111+'Storebrand Livsforsikring'!F111+'Telenor Forsikring'!F111+'Tryg Forsikring'!F111+'WaterCircles F'!F111+'Euro Accident'!F111+'Ly Forsikring'!F111+'Youplus Livsforsikring'!F111+'Oslo Forsikring'!F111+'Knif Trygghet Forsikring'!F111</f>
        <v>51331188.795369998</v>
      </c>
      <c r="F111" s="183">
        <f>'Fremtind Livsforsikring'!G111+'DNB Livsforsikring'!G111+'Frende Livsforsikring'!G111+'Frende Skadeforsikring'!G111+'Gjensidige Forsikring'!G111+'Gjensidige Pensjon'!G111+'If Skadeforsikring NUF'!G111+KLP!G111+'KLP Skadeforsikring AS'!G111+'Landkreditt Forsikring'!G111+'Nordea Liv '!G111+'Oslo Pensjonsforsikring'!G111+'Protector Forsikring'!G111+'Sparebank 1 Fors.'!G111+'Storebrand Livsforsikring'!G111+'Telenor Forsikring'!G111+'Tryg Forsikring'!G111+'WaterCircles F'!G111+'Euro Accident'!G111+'Ly Forsikring'!G111+'Youplus Livsforsikring'!G111+'Oslo Forsikring'!G111+'Knif Trygghet Forsikring'!G111</f>
        <v>68906594.601389989</v>
      </c>
      <c r="G111" s="127">
        <f t="shared" si="25"/>
        <v>34.200000000000003</v>
      </c>
      <c r="H111" s="273">
        <f t="shared" si="34"/>
        <v>51895400.723749995</v>
      </c>
      <c r="I111" s="273">
        <f t="shared" si="35"/>
        <v>71375558.037099987</v>
      </c>
      <c r="J111" s="21">
        <f t="shared" si="28"/>
        <v>37.5</v>
      </c>
    </row>
    <row r="112" spans="1:10" ht="15.75" customHeight="1" x14ac:dyDescent="0.25">
      <c r="A112" s="18" t="s">
        <v>197</v>
      </c>
      <c r="B112" s="181">
        <f>'Fremtind Livsforsikring'!B112+'DNB Livsforsikring'!B112+'Frende Livsforsikring'!B112+'Frende Skadeforsikring'!B112+'Gjensidige Forsikring'!B112+'Gjensidige Pensjon'!B112+'If Skadeforsikring NUF'!B112+KLP!B112+'KLP Skadeforsikring AS'!B112+'Landkreditt Forsikring'!B112+'Nordea Liv '!B112+'Oslo Pensjonsforsikring'!B112+'Protector Forsikring'!B112+'Sparebank 1 Fors.'!B112+'Storebrand Livsforsikring'!B112+'Telenor Forsikring'!B112+'Tryg Forsikring'!B112+'WaterCircles F'!B112+'Euro Accident'!B112+'Ly Forsikring'!B112+'Youplus Livsforsikring'!B112+'Oslo Forsikring'!B112+'Knif Trygghet Forsikring'!B112</f>
        <v>410810.59558999998</v>
      </c>
      <c r="C112" s="181">
        <f>'Fremtind Livsforsikring'!C112+'DNB Livsforsikring'!C112+'Frende Livsforsikring'!C112+'Frende Skadeforsikring'!C112+'Gjensidige Forsikring'!C112+'Gjensidige Pensjon'!C112+'If Skadeforsikring NUF'!C112+KLP!C112+'KLP Skadeforsikring AS'!C112+'Landkreditt Forsikring'!C112+'Nordea Liv '!C112+'Oslo Pensjonsforsikring'!C112+'Protector Forsikring'!C112+'Sparebank 1 Fors.'!C112+'Storebrand Livsforsikring'!C112+'Telenor Forsikring'!C112+'Tryg Forsikring'!C112+'WaterCircles F'!C112+'Euro Accident'!C112+'Ly Forsikring'!C112+'Youplus Livsforsikring'!C112+'Oslo Forsikring'!C112+'Knif Trygghet Forsikring'!C112</f>
        <v>2242281.7701599998</v>
      </c>
      <c r="D112" s="20">
        <f t="shared" ref="D112:D126" si="42">IF(B112=0, "    ---- ", IF(ABS(ROUND(100/B112*C112-100,1))&lt;999,ROUND(100/B112*C112-100,1),IF(ROUND(100/B112*C112-100,1)&gt;999,999,-999)))</f>
        <v>445.8</v>
      </c>
      <c r="E112" s="36">
        <f>'Fremtind Livsforsikring'!F112+'DNB Livsforsikring'!F112+'Frende Livsforsikring'!F112+'Frende Skadeforsikring'!F112+'Gjensidige Forsikring'!F112+'Gjensidige Pensjon'!F112+'If Skadeforsikring NUF'!F112+KLP!F112+'KLP Skadeforsikring AS'!F112+'Landkreditt Forsikring'!F112+'Nordea Liv '!F112+'Oslo Pensjonsforsikring'!F112+'Protector Forsikring'!F112+'Sparebank 1 Fors.'!F112+'Storebrand Livsforsikring'!F112+'Telenor Forsikring'!F112+'Tryg Forsikring'!F112+'WaterCircles F'!F112+'Euro Accident'!F112+'Ly Forsikring'!F112+'Youplus Livsforsikring'!F112+'Oslo Forsikring'!F112+'Knif Trygghet Forsikring'!F112</f>
        <v>1148.367</v>
      </c>
      <c r="F112" s="36">
        <f>'Fremtind Livsforsikring'!G112+'DNB Livsforsikring'!G112+'Frende Livsforsikring'!G112+'Frende Skadeforsikring'!G112+'Gjensidige Forsikring'!G112+'Gjensidige Pensjon'!G112+'If Skadeforsikring NUF'!G112+KLP!G112+'KLP Skadeforsikring AS'!G112+'Landkreditt Forsikring'!G112+'Nordea Liv '!G112+'Oslo Pensjonsforsikring'!G112+'Protector Forsikring'!G112+'Sparebank 1 Fors.'!G112+'Storebrand Livsforsikring'!G112+'Telenor Forsikring'!G112+'Tryg Forsikring'!G112+'WaterCircles F'!G112+'Euro Accident'!G112+'Ly Forsikring'!G112+'Youplus Livsforsikring'!G112+'Oslo Forsikring'!G112+'Knif Trygghet Forsikring'!G112</f>
        <v>7671.9089999999997</v>
      </c>
      <c r="G112" s="123">
        <f t="shared" si="25"/>
        <v>568.1</v>
      </c>
      <c r="H112" s="184">
        <f t="shared" ref="H112:H126" si="43">SUM(B112,E112)</f>
        <v>411958.96259000001</v>
      </c>
      <c r="I112" s="184">
        <f t="shared" ref="I112:I126" si="44">SUM(C112,F112)</f>
        <v>2249953.6791599998</v>
      </c>
      <c r="J112" s="20">
        <f t="shared" ref="J112:J126" si="45">IF(H112=0, "    ---- ", IF(ABS(ROUND(100/H112*I112-100,1))&lt;999,ROUND(100/H112*I112-100,1),IF(ROUND(100/H112*I112-100,1)&gt;999,999,-999)))</f>
        <v>446.2</v>
      </c>
    </row>
    <row r="113" spans="1:10" ht="15.75" customHeight="1" x14ac:dyDescent="0.25">
      <c r="A113" s="18" t="s">
        <v>198</v>
      </c>
      <c r="B113" s="181">
        <f>'Fremtind Livsforsikring'!B113+'DNB Livsforsikring'!B113+'Frende Livsforsikring'!B113+'Frende Skadeforsikring'!B113+'Gjensidige Forsikring'!B113+'Gjensidige Pensjon'!B113+'If Skadeforsikring NUF'!B113+KLP!B113+'KLP Skadeforsikring AS'!B113+'Landkreditt Forsikring'!B113+'Nordea Liv '!B113+'Oslo Pensjonsforsikring'!B113+'Protector Forsikring'!B113+'Sparebank 1 Fors.'!B113+'Storebrand Livsforsikring'!B113+'Telenor Forsikring'!B113+'Tryg Forsikring'!B113+'WaterCircles F'!B113+'Euro Accident'!B113+'Ly Forsikring'!B113+'Youplus Livsforsikring'!B113+'Oslo Forsikring'!B113+'Knif Trygghet Forsikring'!B113</f>
        <v>0</v>
      </c>
      <c r="C113" s="181">
        <f>'Fremtind Livsforsikring'!C113+'DNB Livsforsikring'!C113+'Frende Livsforsikring'!C113+'Frende Skadeforsikring'!C113+'Gjensidige Forsikring'!C113+'Gjensidige Pensjon'!C113+'If Skadeforsikring NUF'!C113+KLP!C113+'KLP Skadeforsikring AS'!C113+'Landkreditt Forsikring'!C113+'Nordea Liv '!C113+'Oslo Pensjonsforsikring'!C113+'Protector Forsikring'!C113+'Sparebank 1 Fors.'!C113+'Storebrand Livsforsikring'!C113+'Telenor Forsikring'!C113+'Tryg Forsikring'!C113+'WaterCircles F'!C113+'Euro Accident'!C113+'Ly Forsikring'!C113+'Youplus Livsforsikring'!C113+'Oslo Forsikring'!C113+'Knif Trygghet Forsikring'!C113</f>
        <v>36872.297229999996</v>
      </c>
      <c r="D113" s="20" t="str">
        <f t="shared" si="42"/>
        <v xml:space="preserve">    ---- </v>
      </c>
      <c r="E113" s="36">
        <f>'Fremtind Livsforsikring'!F113+'DNB Livsforsikring'!F113+'Frende Livsforsikring'!F113+'Frende Skadeforsikring'!F113+'Gjensidige Forsikring'!F113+'Gjensidige Pensjon'!F113+'If Skadeforsikring NUF'!F113+KLP!F113+'KLP Skadeforsikring AS'!F113+'Landkreditt Forsikring'!F113+'Nordea Liv '!F113+'Oslo Pensjonsforsikring'!F113+'Protector Forsikring'!F113+'Sparebank 1 Fors.'!F113+'Storebrand Livsforsikring'!F113+'Telenor Forsikring'!F113+'Tryg Forsikring'!F113+'WaterCircles F'!F113+'Euro Accident'!F113+'Ly Forsikring'!F113+'Youplus Livsforsikring'!F113+'Oslo Forsikring'!F113+'Knif Trygghet Forsikring'!F113</f>
        <v>51323489.872369997</v>
      </c>
      <c r="F113" s="36">
        <f>'Fremtind Livsforsikring'!G113+'DNB Livsforsikring'!G113+'Frende Livsforsikring'!G113+'Frende Skadeforsikring'!G113+'Gjensidige Forsikring'!G113+'Gjensidige Pensjon'!G113+'If Skadeforsikring NUF'!G113+KLP!G113+'KLP Skadeforsikring AS'!G113+'Landkreditt Forsikring'!G113+'Nordea Liv '!G113+'Oslo Pensjonsforsikring'!G113+'Protector Forsikring'!G113+'Sparebank 1 Fors.'!G113+'Storebrand Livsforsikring'!G113+'Telenor Forsikring'!G113+'Tryg Forsikring'!G113+'WaterCircles F'!G113+'Euro Accident'!G113+'Ly Forsikring'!G113+'Youplus Livsforsikring'!G113+'Oslo Forsikring'!G113+'Knif Trygghet Forsikring'!G113</f>
        <v>68427460.64508</v>
      </c>
      <c r="G113" s="127">
        <f t="shared" si="25"/>
        <v>33.299999999999997</v>
      </c>
      <c r="H113" s="184">
        <f t="shared" si="43"/>
        <v>51323489.872369997</v>
      </c>
      <c r="I113" s="184">
        <f t="shared" si="44"/>
        <v>68464332.942310005</v>
      </c>
      <c r="J113" s="21">
        <f t="shared" si="45"/>
        <v>33.4</v>
      </c>
    </row>
    <row r="114" spans="1:10" ht="15.75" customHeight="1" x14ac:dyDescent="0.25">
      <c r="A114" s="18" t="s">
        <v>211</v>
      </c>
      <c r="B114" s="181">
        <f>'Fremtind Livsforsikring'!B114+'DNB Livsforsikring'!B114+'Frende Livsforsikring'!B114+'Frende Skadeforsikring'!B114+'Gjensidige Forsikring'!B114+'Gjensidige Pensjon'!B114+'If Skadeforsikring NUF'!B114+KLP!B114+'KLP Skadeforsikring AS'!B114+'Landkreditt Forsikring'!B114+'Nordea Liv '!B114+'Oslo Pensjonsforsikring'!B114+'Protector Forsikring'!B114+'Sparebank 1 Fors.'!B114+'Storebrand Livsforsikring'!B114+'Telenor Forsikring'!B114+'Tryg Forsikring'!B114+'WaterCircles F'!B114+'Euro Accident'!B114+'Ly Forsikring'!B114+'Youplus Livsforsikring'!B114+'Oslo Forsikring'!B114+'Knif Trygghet Forsikring'!B114</f>
        <v>153401.33279000001</v>
      </c>
      <c r="C114" s="181">
        <f>'Fremtind Livsforsikring'!C114+'DNB Livsforsikring'!C114+'Frende Livsforsikring'!C114+'Frende Skadeforsikring'!C114+'Gjensidige Forsikring'!C114+'Gjensidige Pensjon'!C114+'If Skadeforsikring NUF'!C114+KLP!C114+'KLP Skadeforsikring AS'!C114+'Landkreditt Forsikring'!C114+'Nordea Liv '!C114+'Oslo Pensjonsforsikring'!C114+'Protector Forsikring'!C114+'Sparebank 1 Fors.'!C114+'Storebrand Livsforsikring'!C114+'Telenor Forsikring'!C114+'Tryg Forsikring'!C114+'WaterCircles F'!C114+'Euro Accident'!C114+'Ly Forsikring'!C114+'Youplus Livsforsikring'!C114+'Oslo Forsikring'!C114+'Knif Trygghet Forsikring'!C114</f>
        <v>189809.36832000001</v>
      </c>
      <c r="D114" s="20">
        <f t="shared" si="42"/>
        <v>23.7</v>
      </c>
      <c r="E114" s="36">
        <f>'Fremtind Livsforsikring'!F114+'DNB Livsforsikring'!F114+'Frende Livsforsikring'!F114+'Frende Skadeforsikring'!F114+'Gjensidige Forsikring'!F114+'Gjensidige Pensjon'!F114+'If Skadeforsikring NUF'!F114+KLP!F114+'KLP Skadeforsikring AS'!F114+'Landkreditt Forsikring'!F114+'Nordea Liv '!F114+'Oslo Pensjonsforsikring'!F114+'Protector Forsikring'!F114+'Sparebank 1 Fors.'!F114+'Storebrand Livsforsikring'!F114+'Telenor Forsikring'!F114+'Tryg Forsikring'!F114+'WaterCircles F'!F114+'Euro Accident'!F114+'Ly Forsikring'!F114+'Youplus Livsforsikring'!F114+'Oslo Forsikring'!F114+'Knif Trygghet Forsikring'!F114</f>
        <v>6550.5559999999996</v>
      </c>
      <c r="F114" s="36">
        <f>'Fremtind Livsforsikring'!G114+'DNB Livsforsikring'!G114+'Frende Livsforsikring'!G114+'Frende Skadeforsikring'!G114+'Gjensidige Forsikring'!G114+'Gjensidige Pensjon'!G114+'If Skadeforsikring NUF'!G114+KLP!G114+'KLP Skadeforsikring AS'!G114+'Landkreditt Forsikring'!G114+'Nordea Liv '!G114+'Oslo Pensjonsforsikring'!G114+'Protector Forsikring'!G114+'Sparebank 1 Fors.'!G114+'Storebrand Livsforsikring'!G114+'Telenor Forsikring'!G114+'Tryg Forsikring'!G114+'WaterCircles F'!G114+'Euro Accident'!G114+'Ly Forsikring'!G114+'Youplus Livsforsikring'!G114+'Oslo Forsikring'!G114+'Knif Trygghet Forsikring'!G114</f>
        <v>471462.04730999999</v>
      </c>
      <c r="G114" s="127">
        <f t="shared" si="25"/>
        <v>999</v>
      </c>
      <c r="H114" s="184">
        <f t="shared" si="43"/>
        <v>159951.88879000003</v>
      </c>
      <c r="I114" s="184">
        <f t="shared" si="44"/>
        <v>661271.41562999994</v>
      </c>
      <c r="J114" s="21">
        <f t="shared" si="45"/>
        <v>313.39999999999998</v>
      </c>
    </row>
    <row r="115" spans="1:10" ht="15.75" customHeight="1" x14ac:dyDescent="0.25">
      <c r="A115" s="243" t="s">
        <v>212</v>
      </c>
      <c r="B115" s="36"/>
      <c r="C115" s="36"/>
      <c r="D115" s="23"/>
      <c r="E115" s="36"/>
      <c r="F115" s="36"/>
      <c r="G115" s="123"/>
      <c r="H115" s="184"/>
      <c r="I115" s="184"/>
      <c r="J115" s="20"/>
    </row>
    <row r="116" spans="1:10" ht="15.75" customHeight="1" x14ac:dyDescent="0.25">
      <c r="A116" s="18" t="s">
        <v>213</v>
      </c>
      <c r="B116" s="181">
        <f>'Fremtind Livsforsikring'!B116+'DNB Livsforsikring'!B116+'Frende Livsforsikring'!B116+'Frende Skadeforsikring'!B116+'Gjensidige Forsikring'!B116+'Gjensidige Pensjon'!B116+'If Skadeforsikring NUF'!B116+KLP!B116+'KLP Skadeforsikring AS'!B116+'Landkreditt Forsikring'!B116+'Nordea Liv '!B116+'Oslo Pensjonsforsikring'!B116+'Protector Forsikring'!B116+'Sparebank 1 Fors.'!B116+'Storebrand Livsforsikring'!B116+'Telenor Forsikring'!B116+'Tryg Forsikring'!B116+'WaterCircles F'!B116+'Euro Accident'!B116+'Ly Forsikring'!B116+'Youplus Livsforsikring'!B116+'Oslo Forsikring'!B116+'Knif Trygghet Forsikring'!B116</f>
        <v>57332.159760000002</v>
      </c>
      <c r="C116" s="181">
        <f>'Fremtind Livsforsikring'!C116+'DNB Livsforsikring'!C116+'Frende Livsforsikring'!C116+'Frende Skadeforsikring'!C116+'Gjensidige Forsikring'!C116+'Gjensidige Pensjon'!C116+'If Skadeforsikring NUF'!C116+KLP!C116+'KLP Skadeforsikring AS'!C116+'Landkreditt Forsikring'!C116+'Nordea Liv '!C116+'Oslo Pensjonsforsikring'!C116+'Protector Forsikring'!C116+'Sparebank 1 Fors.'!C116+'Storebrand Livsforsikring'!C116+'Telenor Forsikring'!C116+'Tryg Forsikring'!C116+'WaterCircles F'!C116+'Euro Accident'!C116+'Ly Forsikring'!C116+'Youplus Livsforsikring'!C116+'Oslo Forsikring'!C116+'Knif Trygghet Forsikring'!C116</f>
        <v>1017928.96409</v>
      </c>
      <c r="D116" s="20">
        <f t="shared" si="42"/>
        <v>999</v>
      </c>
      <c r="E116" s="36">
        <f>'Fremtind Livsforsikring'!F116+'DNB Livsforsikring'!F116+'Frende Livsforsikring'!F116+'Frende Skadeforsikring'!F116+'Gjensidige Forsikring'!F116+'Gjensidige Pensjon'!F116+'If Skadeforsikring NUF'!F116+KLP!F116+'KLP Skadeforsikring AS'!F116+'Landkreditt Forsikring'!F116+'Nordea Liv '!F116+'Oslo Pensjonsforsikring'!F116+'Protector Forsikring'!F116+'Sparebank 1 Fors.'!F116+'Storebrand Livsforsikring'!F116+'Telenor Forsikring'!F116+'Tryg Forsikring'!F116+'WaterCircles F'!F116+'Euro Accident'!F116+'Ly Forsikring'!F116+'Youplus Livsforsikring'!F116+'Oslo Forsikring'!F116+'Knif Trygghet Forsikring'!F116</f>
        <v>1148.367</v>
      </c>
      <c r="F116" s="36">
        <f>'Fremtind Livsforsikring'!G116+'DNB Livsforsikring'!G116+'Frende Livsforsikring'!G116+'Frende Skadeforsikring'!G116+'Gjensidige Forsikring'!G116+'Gjensidige Pensjon'!G116+'If Skadeforsikring NUF'!G116+KLP!G116+'KLP Skadeforsikring AS'!G116+'Landkreditt Forsikring'!G116+'Nordea Liv '!G116+'Oslo Pensjonsforsikring'!G116+'Protector Forsikring'!G116+'Sparebank 1 Fors.'!G116+'Storebrand Livsforsikring'!G116+'Telenor Forsikring'!G116+'Tryg Forsikring'!G116+'WaterCircles F'!G116+'Euro Accident'!G116+'Ly Forsikring'!G116+'Youplus Livsforsikring'!G116+'Oslo Forsikring'!G116+'Knif Trygghet Forsikring'!G116</f>
        <v>7671.9089999999997</v>
      </c>
      <c r="G116" s="123">
        <f t="shared" si="25"/>
        <v>568.1</v>
      </c>
      <c r="H116" s="184">
        <f t="shared" si="43"/>
        <v>58480.526760000001</v>
      </c>
      <c r="I116" s="184">
        <f t="shared" si="44"/>
        <v>1025600.87309</v>
      </c>
      <c r="J116" s="20">
        <f t="shared" si="45"/>
        <v>999</v>
      </c>
    </row>
    <row r="117" spans="1:10" ht="15.75" customHeight="1" x14ac:dyDescent="0.25">
      <c r="A117" s="18" t="s">
        <v>209</v>
      </c>
      <c r="B117" s="181"/>
      <c r="C117" s="181"/>
      <c r="D117" s="20"/>
      <c r="E117" s="36">
        <f>'Fremtind Livsforsikring'!F117+'DNB Livsforsikring'!F117+'Frende Livsforsikring'!F117+'Frende Skadeforsikring'!F117+'Gjensidige Forsikring'!F117+'Gjensidige Pensjon'!F117+'If Skadeforsikring NUF'!F117+KLP!F117+'KLP Skadeforsikring AS'!F117+'Landkreditt Forsikring'!F117+'Nordea Liv '!F117+'Oslo Pensjonsforsikring'!F117+'Protector Forsikring'!F117+'Sparebank 1 Fors.'!F117+'Storebrand Livsforsikring'!F117+'Telenor Forsikring'!F117+'Tryg Forsikring'!F117+'WaterCircles F'!F117+'Euro Accident'!F117+'Ly Forsikring'!F117+'Youplus Livsforsikring'!F117+'Oslo Forsikring'!F117+'Knif Trygghet Forsikring'!F117</f>
        <v>34397443.247129999</v>
      </c>
      <c r="F117" s="36">
        <f>'Fremtind Livsforsikring'!G117+'DNB Livsforsikring'!G117+'Frende Livsforsikring'!G117+'Frende Skadeforsikring'!G117+'Gjensidige Forsikring'!G117+'Gjensidige Pensjon'!G117+'If Skadeforsikring NUF'!G117+KLP!G117+'KLP Skadeforsikring AS'!G117+'Landkreditt Forsikring'!G117+'Nordea Liv '!G117+'Oslo Pensjonsforsikring'!G117+'Protector Forsikring'!G117+'Sparebank 1 Fors.'!G117+'Storebrand Livsforsikring'!G117+'Telenor Forsikring'!G117+'Tryg Forsikring'!G117+'WaterCircles F'!G117+'Euro Accident'!G117+'Ly Forsikring'!G117+'Youplus Livsforsikring'!G117+'Oslo Forsikring'!G117+'Knif Trygghet Forsikring'!G117</f>
        <v>42362724.783210002</v>
      </c>
      <c r="G117" s="123">
        <f t="shared" si="25"/>
        <v>23.2</v>
      </c>
      <c r="H117" s="184">
        <f t="shared" si="43"/>
        <v>34397443.247129999</v>
      </c>
      <c r="I117" s="184">
        <f t="shared" si="44"/>
        <v>42362724.783210002</v>
      </c>
      <c r="J117" s="20">
        <f t="shared" si="45"/>
        <v>23.2</v>
      </c>
    </row>
    <row r="118" spans="1:10" ht="15.75" customHeight="1" x14ac:dyDescent="0.25">
      <c r="A118" s="18" t="s">
        <v>210</v>
      </c>
      <c r="B118" s="181"/>
      <c r="C118" s="181"/>
      <c r="D118" s="20"/>
      <c r="E118" s="36"/>
      <c r="F118" s="36"/>
      <c r="G118" s="123"/>
      <c r="H118" s="184"/>
      <c r="I118" s="184"/>
      <c r="J118" s="20"/>
    </row>
    <row r="119" spans="1:10" s="35" customFormat="1" ht="15.75" customHeight="1" x14ac:dyDescent="0.25">
      <c r="A119" s="10" t="s">
        <v>173</v>
      </c>
      <c r="B119" s="273">
        <f>'Fremtind Livsforsikring'!B119+'DNB Livsforsikring'!B119+'Frende Livsforsikring'!B119+'Frende Skadeforsikring'!B119+'Gjensidige Forsikring'!B119+'Gjensidige Pensjon'!B119+'If Skadeforsikring NUF'!B119+KLP!B119+'KLP Skadeforsikring AS'!B119+'Landkreditt Forsikring'!B119+'Nordea Liv '!B119+'Oslo Pensjonsforsikring'!B119+'Protector Forsikring'!B119+'Sparebank 1 Fors.'!B119+'Storebrand Livsforsikring'!B119+'Telenor Forsikring'!B119+'Tryg Forsikring'!B119+'WaterCircles F'!B119+'Euro Accident'!B119+'Ly Forsikring'!B119+'Youplus Livsforsikring'!B119+'Oslo Forsikring'!B119+'Knif Trygghet Forsikring'!B119</f>
        <v>310085.11394000018</v>
      </c>
      <c r="C119" s="273">
        <f>'Fremtind Livsforsikring'!C119+'DNB Livsforsikring'!C119+'Frende Livsforsikring'!C119+'Frende Skadeforsikring'!C119+'Gjensidige Forsikring'!C119+'Gjensidige Pensjon'!C119+'If Skadeforsikring NUF'!C119+KLP!C119+'KLP Skadeforsikring AS'!C119+'Landkreditt Forsikring'!C119+'Nordea Liv '!C119+'Oslo Pensjonsforsikring'!C119+'Protector Forsikring'!C119+'Sparebank 1 Fors.'!C119+'Storebrand Livsforsikring'!C119+'Telenor Forsikring'!C119+'Tryg Forsikring'!C119+'WaterCircles F'!C119+'Euro Accident'!C119+'Ly Forsikring'!C119+'Youplus Livsforsikring'!C119+'Oslo Forsikring'!C119+'Knif Trygghet Forsikring'!C119</f>
        <v>224467.12405000065</v>
      </c>
      <c r="D119" s="21">
        <f t="shared" si="42"/>
        <v>-27.6</v>
      </c>
      <c r="E119" s="183">
        <f>'Fremtind Livsforsikring'!F119+'DNB Livsforsikring'!F119+'Frende Livsforsikring'!F119+'Frende Skadeforsikring'!F119+'Gjensidige Forsikring'!F119+'Gjensidige Pensjon'!F119+'If Skadeforsikring NUF'!F119+KLP!F119+'KLP Skadeforsikring AS'!F119+'Landkreditt Forsikring'!F119+'Nordea Liv '!F119+'Oslo Pensjonsforsikring'!F119+'Protector Forsikring'!F119+'Sparebank 1 Fors.'!F119+'Storebrand Livsforsikring'!F119+'Telenor Forsikring'!F119+'Tryg Forsikring'!F119+'WaterCircles F'!F119+'Euro Accident'!F119+'Ly Forsikring'!F119+'Youplus Livsforsikring'!F119+'Oslo Forsikring'!F119+'Knif Trygghet Forsikring'!F119</f>
        <v>55958450.498789996</v>
      </c>
      <c r="F119" s="183">
        <f>'Fremtind Livsforsikring'!G119+'DNB Livsforsikring'!G119+'Frende Livsforsikring'!G119+'Frende Skadeforsikring'!G119+'Gjensidige Forsikring'!G119+'Gjensidige Pensjon'!G119+'If Skadeforsikring NUF'!G119+KLP!G119+'KLP Skadeforsikring AS'!G119+'Landkreditt Forsikring'!G119+'Nordea Liv '!G119+'Oslo Pensjonsforsikring'!G119+'Protector Forsikring'!G119+'Sparebank 1 Fors.'!G119+'Storebrand Livsforsikring'!G119+'Telenor Forsikring'!G119+'Tryg Forsikring'!G119+'WaterCircles F'!G119+'Euro Accident'!G119+'Ly Forsikring'!G119+'Youplus Livsforsikring'!G119+'Oslo Forsikring'!G119+'Knif Trygghet Forsikring'!G119</f>
        <v>73211582.635839999</v>
      </c>
      <c r="G119" s="127">
        <f t="shared" si="25"/>
        <v>30.8</v>
      </c>
      <c r="H119" s="273">
        <f t="shared" si="43"/>
        <v>56268535.612729996</v>
      </c>
      <c r="I119" s="273">
        <f t="shared" si="44"/>
        <v>73436049.759890005</v>
      </c>
      <c r="J119" s="21">
        <f t="shared" si="45"/>
        <v>30.5</v>
      </c>
    </row>
    <row r="120" spans="1:10" ht="15.75" customHeight="1" x14ac:dyDescent="0.25">
      <c r="A120" s="18" t="s">
        <v>197</v>
      </c>
      <c r="B120" s="184">
        <f>'Fremtind Livsforsikring'!B120+'DNB Livsforsikring'!B120+'Frende Livsforsikring'!B120+'Frende Skadeforsikring'!B120+'Gjensidige Forsikring'!B120+'Gjensidige Pensjon'!B120+'If Skadeforsikring NUF'!B120+KLP!B120+'KLP Skadeforsikring AS'!B120+'Landkreditt Forsikring'!B120+'Nordea Liv '!B120+'Oslo Pensjonsforsikring'!B120+'Protector Forsikring'!B120+'Sparebank 1 Fors.'!B120+'Storebrand Livsforsikring'!B120+'Telenor Forsikring'!B120+'Tryg Forsikring'!B120+'WaterCircles F'!B120+'Euro Accident'!B120+'Ly Forsikring'!B120+'Youplus Livsforsikring'!B120+'Oslo Forsikring'!B120+'Knif Trygghet Forsikring'!B120</f>
        <v>161241.26071000018</v>
      </c>
      <c r="C120" s="184">
        <f>'Fremtind Livsforsikring'!C120+'DNB Livsforsikring'!C120+'Frende Livsforsikring'!C120+'Frende Skadeforsikring'!C120+'Gjensidige Forsikring'!C120+'Gjensidige Pensjon'!C120+'If Skadeforsikring NUF'!C120+KLP!C120+'KLP Skadeforsikring AS'!C120+'Landkreditt Forsikring'!C120+'Nordea Liv '!C120+'Oslo Pensjonsforsikring'!C120+'Protector Forsikring'!C120+'Sparebank 1 Fors.'!C120+'Storebrand Livsforsikring'!C120+'Telenor Forsikring'!C120+'Tryg Forsikring'!C120+'WaterCircles F'!C120+'Euro Accident'!C120+'Ly Forsikring'!C120+'Youplus Livsforsikring'!C120+'Oslo Forsikring'!C120+'Knif Trygghet Forsikring'!C120</f>
        <v>-280390.94696999935</v>
      </c>
      <c r="D120" s="20">
        <f t="shared" si="42"/>
        <v>-273.89999999999998</v>
      </c>
      <c r="E120" s="36"/>
      <c r="F120" s="36"/>
      <c r="G120" s="123"/>
      <c r="H120" s="184">
        <f t="shared" si="43"/>
        <v>161241.26071000018</v>
      </c>
      <c r="I120" s="184">
        <f t="shared" si="44"/>
        <v>-280390.94696999935</v>
      </c>
      <c r="J120" s="20">
        <f t="shared" si="45"/>
        <v>-273.89999999999998</v>
      </c>
    </row>
    <row r="121" spans="1:10" ht="15.75" customHeight="1" x14ac:dyDescent="0.25">
      <c r="A121" s="18" t="s">
        <v>198</v>
      </c>
      <c r="B121" s="184">
        <f>'Fremtind Livsforsikring'!B121+'DNB Livsforsikring'!B121+'Frende Livsforsikring'!B121+'Frende Skadeforsikring'!B121+'Gjensidige Forsikring'!B121+'Gjensidige Pensjon'!B121+'If Skadeforsikring NUF'!B121+KLP!B121+'KLP Skadeforsikring AS'!B121+'Landkreditt Forsikring'!B121+'Nordea Liv '!B121+'Oslo Pensjonsforsikring'!B121+'Protector Forsikring'!B121+'Sparebank 1 Fors.'!B121+'Storebrand Livsforsikring'!B121+'Telenor Forsikring'!B121+'Tryg Forsikring'!B121+'WaterCircles F'!B121+'Euro Accident'!B121+'Ly Forsikring'!B121+'Youplus Livsforsikring'!B121+'Oslo Forsikring'!B121+'Knif Trygghet Forsikring'!B121</f>
        <v>18067.370620000002</v>
      </c>
      <c r="C121" s="184">
        <f>'Fremtind Livsforsikring'!C121+'DNB Livsforsikring'!C121+'Frende Livsforsikring'!C121+'Frende Skadeforsikring'!C121+'Gjensidige Forsikring'!C121+'Gjensidige Pensjon'!C121+'If Skadeforsikring NUF'!C121+KLP!C121+'KLP Skadeforsikring AS'!C121+'Landkreditt Forsikring'!C121+'Nordea Liv '!C121+'Oslo Pensjonsforsikring'!C121+'Protector Forsikring'!C121+'Sparebank 1 Fors.'!C121+'Storebrand Livsforsikring'!C121+'Telenor Forsikring'!C121+'Tryg Forsikring'!C121+'WaterCircles F'!C121+'Euro Accident'!C121+'Ly Forsikring'!C121+'Youplus Livsforsikring'!C121+'Oslo Forsikring'!C121+'Knif Trygghet Forsikring'!C121</f>
        <v>55932.700389999998</v>
      </c>
      <c r="D121" s="20">
        <f t="shared" si="42"/>
        <v>209.6</v>
      </c>
      <c r="E121" s="36">
        <f>'Fremtind Livsforsikring'!F121+'DNB Livsforsikring'!F121+'Frende Livsforsikring'!F121+'Frende Skadeforsikring'!F121+'Gjensidige Forsikring'!F121+'Gjensidige Pensjon'!F121+'If Skadeforsikring NUF'!F121+KLP!F121+'KLP Skadeforsikring AS'!F121+'Landkreditt Forsikring'!F121+'Nordea Liv '!F121+'Oslo Pensjonsforsikring'!F121+'Protector Forsikring'!F121+'Sparebank 1 Fors.'!F121+'Storebrand Livsforsikring'!F121+'Telenor Forsikring'!F121+'Tryg Forsikring'!F121+'WaterCircles F'!F121+'Euro Accident'!F121+'Ly Forsikring'!F121+'Youplus Livsforsikring'!F121+'Oslo Forsikring'!F121+'Knif Trygghet Forsikring'!F121</f>
        <v>55958450.498789996</v>
      </c>
      <c r="F121" s="36">
        <f>'Fremtind Livsforsikring'!G121+'DNB Livsforsikring'!G121+'Frende Livsforsikring'!G121+'Frende Skadeforsikring'!G121+'Gjensidige Forsikring'!G121+'Gjensidige Pensjon'!G121+'If Skadeforsikring NUF'!G121+KLP!G121+'KLP Skadeforsikring AS'!G121+'Landkreditt Forsikring'!G121+'Nordea Liv '!G121+'Oslo Pensjonsforsikring'!G121+'Protector Forsikring'!G121+'Sparebank 1 Fors.'!G121+'Storebrand Livsforsikring'!G121+'Telenor Forsikring'!G121+'Tryg Forsikring'!G121+'WaterCircles F'!G121+'Euro Accident'!G121+'Ly Forsikring'!G121+'Youplus Livsforsikring'!G121+'Oslo Forsikring'!G121+'Knif Trygghet Forsikring'!G121</f>
        <v>73211582.635839999</v>
      </c>
      <c r="G121" s="123">
        <f t="shared" si="25"/>
        <v>30.8</v>
      </c>
      <c r="H121" s="184">
        <f t="shared" si="43"/>
        <v>55976517.869409993</v>
      </c>
      <c r="I121" s="184">
        <f t="shared" si="44"/>
        <v>73267515.336229995</v>
      </c>
      <c r="J121" s="20">
        <f t="shared" si="45"/>
        <v>30.9</v>
      </c>
    </row>
    <row r="122" spans="1:10" ht="15.75" customHeight="1" x14ac:dyDescent="0.25">
      <c r="A122" s="18" t="s">
        <v>211</v>
      </c>
      <c r="B122" s="184">
        <f>'Fremtind Livsforsikring'!B122+'DNB Livsforsikring'!B122+'Frende Livsforsikring'!B122+'Frende Skadeforsikring'!B122+'Gjensidige Forsikring'!B122+'Gjensidige Pensjon'!B122+'If Skadeforsikring NUF'!B122+KLP!B122+'KLP Skadeforsikring AS'!B122+'Landkreditt Forsikring'!B122+'Nordea Liv '!B122+'Oslo Pensjonsforsikring'!B122+'Protector Forsikring'!B122+'Sparebank 1 Fors.'!B122+'Storebrand Livsforsikring'!B122+'Telenor Forsikring'!B122+'Tryg Forsikring'!B122+'WaterCircles F'!B122+'Euro Accident'!B122+'Ly Forsikring'!B122+'Youplus Livsforsikring'!B122+'Oslo Forsikring'!B122+'Knif Trygghet Forsikring'!B122</f>
        <v>130776.48260999999</v>
      </c>
      <c r="C122" s="184">
        <f>'Fremtind Livsforsikring'!C122+'DNB Livsforsikring'!C122+'Frende Livsforsikring'!C122+'Frende Skadeforsikring'!C122+'Gjensidige Forsikring'!C122+'Gjensidige Pensjon'!C122+'If Skadeforsikring NUF'!C122+KLP!C122+'KLP Skadeforsikring AS'!C122+'Landkreditt Forsikring'!C122+'Nordea Liv '!C122+'Oslo Pensjonsforsikring'!C122+'Protector Forsikring'!C122+'Sparebank 1 Fors.'!C122+'Storebrand Livsforsikring'!C122+'Telenor Forsikring'!C122+'Tryg Forsikring'!C122+'WaterCircles F'!C122+'Euro Accident'!C122+'Ly Forsikring'!C122+'Youplus Livsforsikring'!C122+'Oslo Forsikring'!C122+'Knif Trygghet Forsikring'!C122</f>
        <v>448925.37063000002</v>
      </c>
      <c r="D122" s="20">
        <f t="shared" si="42"/>
        <v>243.3</v>
      </c>
      <c r="E122" s="36"/>
      <c r="F122" s="36"/>
      <c r="G122" s="123"/>
      <c r="H122" s="184">
        <f t="shared" si="43"/>
        <v>130776.48260999999</v>
      </c>
      <c r="I122" s="184">
        <f t="shared" si="44"/>
        <v>448925.37063000002</v>
      </c>
      <c r="J122" s="20">
        <f t="shared" si="45"/>
        <v>243.3</v>
      </c>
    </row>
    <row r="123" spans="1:10" ht="15.75" customHeight="1" x14ac:dyDescent="0.25">
      <c r="A123" s="243" t="s">
        <v>214</v>
      </c>
      <c r="B123" s="36"/>
      <c r="C123" s="36"/>
      <c r="D123" s="23"/>
      <c r="E123" s="36"/>
      <c r="F123" s="36"/>
      <c r="G123" s="123"/>
      <c r="H123" s="184"/>
      <c r="I123" s="184"/>
      <c r="J123" s="20"/>
    </row>
    <row r="124" spans="1:10" ht="15.75" customHeight="1" x14ac:dyDescent="0.25">
      <c r="A124" s="18" t="s">
        <v>208</v>
      </c>
      <c r="B124" s="184">
        <f>'Fremtind Livsforsikring'!B124+'DNB Livsforsikring'!B124+'Frende Livsforsikring'!B124+'Frende Skadeforsikring'!B124+'Gjensidige Forsikring'!B124+'Gjensidige Pensjon'!B124+'If Skadeforsikring NUF'!B124+KLP!B124+'KLP Skadeforsikring AS'!B124+'Landkreditt Forsikring'!B124+'Nordea Liv '!B124+'Oslo Pensjonsforsikring'!B124+'Protector Forsikring'!B124+'Sparebank 1 Fors.'!B124+'Storebrand Livsforsikring'!B124+'Telenor Forsikring'!B124+'Tryg Forsikring'!B124+'WaterCircles F'!B124+'Euro Accident'!B124+'Ly Forsikring'!B124+'Youplus Livsforsikring'!B124+'Oslo Forsikring'!B124+'Knif Trygghet Forsikring'!B124</f>
        <v>22820.760999999999</v>
      </c>
      <c r="C124" s="184">
        <f>'Fremtind Livsforsikring'!C124+'DNB Livsforsikring'!C124+'Frende Livsforsikring'!C124+'Frende Skadeforsikring'!C124+'Gjensidige Forsikring'!C124+'Gjensidige Pensjon'!C124+'If Skadeforsikring NUF'!C124+KLP!C124+'KLP Skadeforsikring AS'!C124+'Landkreditt Forsikring'!C124+'Nordea Liv '!C124+'Oslo Pensjonsforsikring'!C124+'Protector Forsikring'!C124+'Sparebank 1 Fors.'!C124+'Storebrand Livsforsikring'!C124+'Telenor Forsikring'!C124+'Tryg Forsikring'!C124+'WaterCircles F'!C124+'Euro Accident'!C124+'Ly Forsikring'!C124+'Youplus Livsforsikring'!C124+'Oslo Forsikring'!C124+'Knif Trygghet Forsikring'!C124</f>
        <v>26579.976999999999</v>
      </c>
      <c r="D124" s="20">
        <f t="shared" si="42"/>
        <v>16.5</v>
      </c>
      <c r="E124" s="36">
        <f>'Fremtind Livsforsikring'!F124+'DNB Livsforsikring'!F124+'Frende Livsforsikring'!F124+'Frende Skadeforsikring'!F124+'Gjensidige Forsikring'!F124+'Gjensidige Pensjon'!F124+'If Skadeforsikring NUF'!F124+KLP!F124+'KLP Skadeforsikring AS'!F124+'Landkreditt Forsikring'!F124+'Nordea Liv '!F124+'Oslo Pensjonsforsikring'!F124+'Protector Forsikring'!F124+'Sparebank 1 Fors.'!F124+'Storebrand Livsforsikring'!F124+'Telenor Forsikring'!F124+'Tryg Forsikring'!F124+'WaterCircles F'!F124+'Euro Accident'!F124+'Ly Forsikring'!F124+'Youplus Livsforsikring'!F124+'Oslo Forsikring'!F124+'Knif Trygghet Forsikring'!F124</f>
        <v>25743.476999999999</v>
      </c>
      <c r="F124" s="36">
        <f>'Fremtind Livsforsikring'!G124+'DNB Livsforsikring'!G124+'Frende Livsforsikring'!G124+'Frende Skadeforsikring'!G124+'Gjensidige Forsikring'!G124+'Gjensidige Pensjon'!G124+'If Skadeforsikring NUF'!G124+KLP!G124+'KLP Skadeforsikring AS'!G124+'Landkreditt Forsikring'!G124+'Nordea Liv '!G124+'Oslo Pensjonsforsikring'!G124+'Protector Forsikring'!G124+'Sparebank 1 Fors.'!G124+'Storebrand Livsforsikring'!G124+'Telenor Forsikring'!G124+'Tryg Forsikring'!G124+'WaterCircles F'!G124+'Euro Accident'!G124+'Ly Forsikring'!G124+'Youplus Livsforsikring'!G124+'Oslo Forsikring'!G124+'Knif Trygghet Forsikring'!G124</f>
        <v>59215.648000000001</v>
      </c>
      <c r="G124" s="123">
        <f t="shared" si="25"/>
        <v>130</v>
      </c>
      <c r="H124" s="184">
        <f t="shared" si="43"/>
        <v>48564.237999999998</v>
      </c>
      <c r="I124" s="184">
        <f t="shared" si="44"/>
        <v>85795.625</v>
      </c>
      <c r="J124" s="20">
        <f t="shared" si="45"/>
        <v>76.7</v>
      </c>
    </row>
    <row r="125" spans="1:10" ht="15.75" customHeight="1" x14ac:dyDescent="0.25">
      <c r="A125" s="18" t="s">
        <v>209</v>
      </c>
      <c r="B125" s="184">
        <f>'Fremtind Livsforsikring'!B125+'DNB Livsforsikring'!B125+'Frende Livsforsikring'!B125+'Frende Skadeforsikring'!B125+'Gjensidige Forsikring'!B125+'Gjensidige Pensjon'!B125+'If Skadeforsikring NUF'!B125+KLP!B125+'KLP Skadeforsikring AS'!B125+'Landkreditt Forsikring'!B125+'Nordea Liv '!B125+'Oslo Pensjonsforsikring'!B125+'Protector Forsikring'!B125+'Sparebank 1 Fors.'!B125+'Storebrand Livsforsikring'!B125+'Telenor Forsikring'!B125+'Tryg Forsikring'!B125+'WaterCircles F'!B125+'Euro Accident'!B125+'Ly Forsikring'!B125+'Youplus Livsforsikring'!B125+'Oslo Forsikring'!B125+'Knif Trygghet Forsikring'!B125</f>
        <v>3345.88184</v>
      </c>
      <c r="C125" s="184">
        <f>'Fremtind Livsforsikring'!C125+'DNB Livsforsikring'!C125+'Frende Livsforsikring'!C125+'Frende Skadeforsikring'!C125+'Gjensidige Forsikring'!C125+'Gjensidige Pensjon'!C125+'If Skadeforsikring NUF'!C125+KLP!C125+'KLP Skadeforsikring AS'!C125+'Landkreditt Forsikring'!C125+'Nordea Liv '!C125+'Oslo Pensjonsforsikring'!C125+'Protector Forsikring'!C125+'Sparebank 1 Fors.'!C125+'Storebrand Livsforsikring'!C125+'Telenor Forsikring'!C125+'Tryg Forsikring'!C125+'WaterCircles F'!C125+'Euro Accident'!C125+'Ly Forsikring'!C125+'Youplus Livsforsikring'!C125+'Oslo Forsikring'!C125+'Knif Trygghet Forsikring'!C125</f>
        <v>2113.8291300000001</v>
      </c>
      <c r="D125" s="20">
        <f t="shared" si="42"/>
        <v>-36.799999999999997</v>
      </c>
      <c r="E125" s="36">
        <f>'Fremtind Livsforsikring'!F125+'DNB Livsforsikring'!F125+'Frende Livsforsikring'!F125+'Frende Skadeforsikring'!F125+'Gjensidige Forsikring'!F125+'Gjensidige Pensjon'!F125+'If Skadeforsikring NUF'!F125+KLP!F125+'KLP Skadeforsikring AS'!F125+'Landkreditt Forsikring'!F125+'Nordea Liv '!F125+'Oslo Pensjonsforsikring'!F125+'Protector Forsikring'!F125+'Sparebank 1 Fors.'!F125+'Storebrand Livsforsikring'!F125+'Telenor Forsikring'!F125+'Tryg Forsikring'!F125+'WaterCircles F'!F125+'Euro Accident'!F125+'Ly Forsikring'!F125+'Youplus Livsforsikring'!F125+'Oslo Forsikring'!F125+'Knif Trygghet Forsikring'!F125</f>
        <v>34175334.3825</v>
      </c>
      <c r="F125" s="36">
        <f>'Fremtind Livsforsikring'!G125+'DNB Livsforsikring'!G125+'Frende Livsforsikring'!G125+'Frende Skadeforsikring'!G125+'Gjensidige Forsikring'!G125+'Gjensidige Pensjon'!G125+'If Skadeforsikring NUF'!G125+KLP!G125+'KLP Skadeforsikring AS'!G125+'Landkreditt Forsikring'!G125+'Nordea Liv '!G125+'Oslo Pensjonsforsikring'!G125+'Protector Forsikring'!G125+'Sparebank 1 Fors.'!G125+'Storebrand Livsforsikring'!G125+'Telenor Forsikring'!G125+'Tryg Forsikring'!G125+'WaterCircles F'!G125+'Euro Accident'!G125+'Ly Forsikring'!G125+'Youplus Livsforsikring'!G125+'Oslo Forsikring'!G125+'Knif Trygghet Forsikring'!G125</f>
        <v>41115004.273929998</v>
      </c>
      <c r="G125" s="123">
        <f t="shared" si="25"/>
        <v>20.3</v>
      </c>
      <c r="H125" s="184">
        <f t="shared" si="43"/>
        <v>34178680.264339998</v>
      </c>
      <c r="I125" s="184">
        <f t="shared" si="44"/>
        <v>41117118.10306</v>
      </c>
      <c r="J125" s="20">
        <f t="shared" si="45"/>
        <v>20.3</v>
      </c>
    </row>
    <row r="126" spans="1:10" ht="15.75" customHeight="1" x14ac:dyDescent="0.25">
      <c r="A126" s="7" t="s">
        <v>210</v>
      </c>
      <c r="B126" s="185">
        <f>'Fremtind Livsforsikring'!B126+'DNB Livsforsikring'!B126+'Frende Livsforsikring'!B126+'Frende Skadeforsikring'!B126+'Gjensidige Forsikring'!B126+'Gjensidige Pensjon'!B126+'If Skadeforsikring NUF'!B126+KLP!B126+'KLP Skadeforsikring AS'!B126+'Landkreditt Forsikring'!B126+'Nordea Liv '!B126+'Oslo Pensjonsforsikring'!B126+'Protector Forsikring'!B126+'Sparebank 1 Fors.'!B126+'Storebrand Livsforsikring'!B126+'Telenor Forsikring'!B126+'Tryg Forsikring'!B126+'WaterCircles F'!B126+'Euro Accident'!B126+'Ly Forsikring'!B126+'Youplus Livsforsikring'!B126+'Oslo Forsikring'!B126+'Knif Trygghet Forsikring'!B126</f>
        <v>254.89525</v>
      </c>
      <c r="C126" s="185">
        <f>'Fremtind Livsforsikring'!C126+'DNB Livsforsikring'!C126+'Frende Livsforsikring'!C126+'Frende Skadeforsikring'!C126+'Gjensidige Forsikring'!C126+'Gjensidige Pensjon'!C126+'If Skadeforsikring NUF'!C126+KLP!C126+'KLP Skadeforsikring AS'!C126+'Landkreditt Forsikring'!C126+'Nordea Liv '!C126+'Oslo Pensjonsforsikring'!C126+'Protector Forsikring'!C126+'Sparebank 1 Fors.'!C126+'Storebrand Livsforsikring'!C126+'Telenor Forsikring'!C126+'Tryg Forsikring'!C126+'WaterCircles F'!C126+'Euro Accident'!C126+'Ly Forsikring'!C126+'Youplus Livsforsikring'!C126+'Oslo Forsikring'!C126+'Knif Trygghet Forsikring'!C126</f>
        <v>0</v>
      </c>
      <c r="D126" s="19">
        <f t="shared" si="42"/>
        <v>-100</v>
      </c>
      <c r="E126" s="37"/>
      <c r="F126" s="37"/>
      <c r="G126" s="124"/>
      <c r="H126" s="185">
        <f t="shared" si="43"/>
        <v>254.89525</v>
      </c>
      <c r="I126" s="186">
        <f t="shared" si="44"/>
        <v>0</v>
      </c>
      <c r="J126" s="19">
        <f t="shared" si="45"/>
        <v>-100</v>
      </c>
    </row>
    <row r="127" spans="1:10" ht="15.75" customHeight="1" x14ac:dyDescent="0.25">
      <c r="A127" s="115"/>
    </row>
    <row r="128" spans="1:10" ht="15.75" customHeight="1" x14ac:dyDescent="0.25">
      <c r="A128" s="22"/>
    </row>
    <row r="129" spans="1:10" ht="15.75" customHeight="1" x14ac:dyDescent="0.3">
      <c r="A129" s="110" t="s">
        <v>215</v>
      </c>
    </row>
    <row r="130" spans="1:10" ht="15.75" customHeight="1" x14ac:dyDescent="0.3">
      <c r="A130" s="22"/>
      <c r="B130" s="774"/>
      <c r="C130" s="774"/>
      <c r="D130" s="774"/>
      <c r="E130" s="774"/>
      <c r="F130" s="774"/>
      <c r="G130" s="774"/>
      <c r="H130" s="774"/>
      <c r="I130" s="774"/>
      <c r="J130" s="774"/>
    </row>
    <row r="131" spans="1:10" ht="20.100000000000001" customHeight="1" x14ac:dyDescent="0.25">
      <c r="A131" s="108"/>
      <c r="B131" s="771" t="s">
        <v>46</v>
      </c>
      <c r="C131" s="772"/>
      <c r="D131" s="773"/>
      <c r="E131" s="772" t="s">
        <v>70</v>
      </c>
      <c r="F131" s="772"/>
      <c r="G131" s="772"/>
      <c r="H131" s="771" t="s">
        <v>121</v>
      </c>
      <c r="I131" s="772"/>
      <c r="J131" s="773"/>
    </row>
    <row r="132" spans="1:10" ht="15.75" customHeight="1" x14ac:dyDescent="0.25">
      <c r="A132" s="105"/>
      <c r="B132" s="200" t="s">
        <v>491</v>
      </c>
      <c r="C132" s="200" t="s">
        <v>492</v>
      </c>
      <c r="D132" s="16" t="s">
        <v>166</v>
      </c>
      <c r="E132" s="200" t="s">
        <v>491</v>
      </c>
      <c r="F132" s="200" t="s">
        <v>492</v>
      </c>
      <c r="G132" s="16" t="s">
        <v>166</v>
      </c>
      <c r="H132" s="200" t="s">
        <v>491</v>
      </c>
      <c r="I132" s="200" t="s">
        <v>492</v>
      </c>
      <c r="J132" s="16" t="s">
        <v>166</v>
      </c>
    </row>
    <row r="133" spans="1:10" ht="15.75" customHeight="1" x14ac:dyDescent="0.25">
      <c r="A133" s="737"/>
      <c r="B133" s="12"/>
      <c r="C133" s="12"/>
      <c r="D133" s="14" t="s">
        <v>167</v>
      </c>
      <c r="E133" s="13"/>
      <c r="F133" s="13"/>
      <c r="G133" s="12" t="s">
        <v>167</v>
      </c>
      <c r="H133" s="13"/>
      <c r="I133" s="13"/>
      <c r="J133" s="12" t="s">
        <v>167</v>
      </c>
    </row>
    <row r="134" spans="1:10" s="35" customFormat="1" ht="15.75" customHeight="1" x14ac:dyDescent="0.25">
      <c r="A134" s="11" t="s">
        <v>216</v>
      </c>
      <c r="B134" s="183">
        <f>'Fremtind Livsforsikring'!B134+'DNB Livsforsikring'!B134+'Frende Livsforsikring'!B134+'Frende Skadeforsikring'!B134+'Gjensidige Forsikring'!B134+'Gjensidige Pensjon'!B134+'If Skadeforsikring NUF'!B134+KLP!B134+'KLP Skadeforsikring AS'!B134+'Landkreditt Forsikring'!B134+'Nordea Liv '!B134+'Oslo Pensjonsforsikring'!B134+'Protector Forsikring'!B134+'Sparebank 1 Fors.'!B134+'Storebrand Livsforsikring'!B134+'Telenor Forsikring'!B134+'Tryg Forsikring'!B134+'WaterCircles F'!B134+'Euro Accident'!B134+'Ly Forsikring'!B134+'Youplus Livsforsikring'!B134+'Oslo Forsikring'!B134+'Knif Trygghet Forsikring'!B134</f>
        <v>70782245.241020009</v>
      </c>
      <c r="C134" s="183">
        <f>'Fremtind Livsforsikring'!C134+'DNB Livsforsikring'!C134+'Frende Livsforsikring'!C134+'Frende Skadeforsikring'!C134+'Gjensidige Forsikring'!C134+'Gjensidige Pensjon'!C134+'If Skadeforsikring NUF'!C134+KLP!C134+'KLP Skadeforsikring AS'!C134+'Landkreditt Forsikring'!C134+'Nordea Liv '!C134+'Oslo Pensjonsforsikring'!C134+'Protector Forsikring'!C134+'Sparebank 1 Fors.'!C134+'Storebrand Livsforsikring'!C134+'Telenor Forsikring'!C134+'Tryg Forsikring'!C134+'WaterCircles F'!C134+'Euro Accident'!C134+'Ly Forsikring'!C134+'Youplus Livsforsikring'!C134+'Oslo Forsikring'!C134+'Knif Trygghet Forsikring'!C134</f>
        <v>75207414.399560004</v>
      </c>
      <c r="D134" s="8">
        <f t="shared" ref="D134:D137" si="46">IF(B134=0, "    ---- ", IF(ABS(ROUND(100/B134*C134-100,1))&lt;999,ROUND(100/B134*C134-100,1),IF(ROUND(100/B134*C134-100,1)&gt;999,999,-999)))</f>
        <v>6.3</v>
      </c>
      <c r="E134" s="183">
        <f>'Fremtind Livsforsikring'!F134+'DNB Livsforsikring'!F134+'Frende Livsforsikring'!F134+'Frende Skadeforsikring'!F134+'Gjensidige Forsikring'!F134+'Gjensidige Pensjon'!F134+'If Skadeforsikring NUF'!F134+KLP!F134+'KLP Skadeforsikring AS'!F134+'Landkreditt Forsikring'!F134+'Nordea Liv '!F134+'Oslo Pensjonsforsikring'!F134+'Protector Forsikring'!F134+'Sparebank 1 Fors.'!F134+'Storebrand Livsforsikring'!F134+'Telenor Forsikring'!F134+'Tryg Forsikring'!F134+'WaterCircles F'!F134+'Euro Accident'!F134+'Ly Forsikring'!F134+'Youplus Livsforsikring'!F134+'Oslo Forsikring'!F134+'Knif Trygghet Forsikring'!F134</f>
        <v>212249.59526999999</v>
      </c>
      <c r="F134" s="183">
        <f>'Fremtind Livsforsikring'!G134+'DNB Livsforsikring'!G134+'Frende Livsforsikring'!G134+'Frende Skadeforsikring'!G134+'Gjensidige Forsikring'!G134+'Gjensidige Pensjon'!G134+'If Skadeforsikring NUF'!G134+KLP!G134+'KLP Skadeforsikring AS'!G134+'Landkreditt Forsikring'!G134+'Nordea Liv '!G134+'Oslo Pensjonsforsikring'!G134+'Protector Forsikring'!G134+'Sparebank 1 Fors.'!G134+'Storebrand Livsforsikring'!G134+'Telenor Forsikring'!G134+'Tryg Forsikring'!G134+'WaterCircles F'!G134+'Euro Accident'!G134+'Ly Forsikring'!G134+'Youplus Livsforsikring'!G134+'Oslo Forsikring'!G134+'Knif Trygghet Forsikring'!G134</f>
        <v>225395.45800000001</v>
      </c>
      <c r="G134" s="8">
        <f t="shared" ref="G134:G136" si="47">IF(E134=0, "    ---- ", IF(ABS(ROUND(100/E134*F134-100,1))&lt;999,ROUND(100/E134*F134-100,1),IF(ROUND(100/E134*F134-100,1)&gt;999,999,-999)))</f>
        <v>6.2</v>
      </c>
      <c r="H134" s="183">
        <f t="shared" ref="H134:I137" si="48">SUM(B134,E134)</f>
        <v>70994494.836290002</v>
      </c>
      <c r="I134" s="183">
        <f t="shared" si="48"/>
        <v>75432809.857560009</v>
      </c>
      <c r="J134" s="8">
        <f t="shared" ref="J134:J137" si="49">IF(H134=0, "    ---- ", IF(ABS(ROUND(100/H134*I134-100,1))&lt;999,ROUND(100/H134*I134-100,1),IF(ROUND(100/H134*I134-100,1)&gt;999,999,-999)))</f>
        <v>6.3</v>
      </c>
    </row>
    <row r="135" spans="1:10" s="35" customFormat="1" ht="15.75" customHeight="1" x14ac:dyDescent="0.25">
      <c r="A135" s="10" t="s">
        <v>217</v>
      </c>
      <c r="B135" s="183">
        <f>'Fremtind Livsforsikring'!B135+'DNB Livsforsikring'!B135+'Frende Livsforsikring'!B135+'Frende Skadeforsikring'!B135+'Gjensidige Forsikring'!B135+'Gjensidige Pensjon'!B135+'If Skadeforsikring NUF'!B135+KLP!B135+'KLP Skadeforsikring AS'!B135+'Landkreditt Forsikring'!B135+'Nordea Liv '!B135+'Oslo Pensjonsforsikring'!B135+'Protector Forsikring'!B135+'Sparebank 1 Fors.'!B135+'Storebrand Livsforsikring'!B135+'Telenor Forsikring'!B135+'Tryg Forsikring'!B135+'WaterCircles F'!B135+'Euro Accident'!B135+'Ly Forsikring'!B135+'Youplus Livsforsikring'!B135+'Oslo Forsikring'!B135+'Knif Trygghet Forsikring'!B135</f>
        <v>953621309.54842997</v>
      </c>
      <c r="C135" s="183">
        <f>'Fremtind Livsforsikring'!C135+'DNB Livsforsikring'!C135+'Frende Livsforsikring'!C135+'Frende Skadeforsikring'!C135+'Gjensidige Forsikring'!C135+'Gjensidige Pensjon'!C135+'If Skadeforsikring NUF'!C135+KLP!C135+'KLP Skadeforsikring AS'!C135+'Landkreditt Forsikring'!C135+'Nordea Liv '!C135+'Oslo Pensjonsforsikring'!C135+'Protector Forsikring'!C135+'Sparebank 1 Fors.'!C135+'Storebrand Livsforsikring'!C135+'Telenor Forsikring'!C135+'Tryg Forsikring'!C135+'WaterCircles F'!C135+'Euro Accident'!C135+'Ly Forsikring'!C135+'Youplus Livsforsikring'!C135+'Oslo Forsikring'!C135+'Knif Trygghet Forsikring'!C135</f>
        <v>1038486655.7005399</v>
      </c>
      <c r="D135" s="8">
        <f t="shared" si="46"/>
        <v>8.9</v>
      </c>
      <c r="E135" s="183">
        <f>'Fremtind Livsforsikring'!F135+'DNB Livsforsikring'!F135+'Frende Livsforsikring'!F135+'Frende Skadeforsikring'!F135+'Gjensidige Forsikring'!F135+'Gjensidige Pensjon'!F135+'If Skadeforsikring NUF'!F135+KLP!F135+'KLP Skadeforsikring AS'!F135+'Landkreditt Forsikring'!F135+'Nordea Liv '!F135+'Oslo Pensjonsforsikring'!F135+'Protector Forsikring'!F135+'Sparebank 1 Fors.'!F135+'Storebrand Livsforsikring'!F135+'Telenor Forsikring'!F135+'Tryg Forsikring'!F135+'WaterCircles F'!F135+'Euro Accident'!F135+'Ly Forsikring'!F135+'Youplus Livsforsikring'!F135+'Oslo Forsikring'!F135+'Knif Trygghet Forsikring'!F135</f>
        <v>2886767.1387900002</v>
      </c>
      <c r="F135" s="183">
        <f>'Fremtind Livsforsikring'!G135+'DNB Livsforsikring'!G135+'Frende Livsforsikring'!G135+'Frende Skadeforsikring'!G135+'Gjensidige Forsikring'!G135+'Gjensidige Pensjon'!G135+'If Skadeforsikring NUF'!G135+KLP!G135+'KLP Skadeforsikring AS'!G135+'Landkreditt Forsikring'!G135+'Nordea Liv '!G135+'Oslo Pensjonsforsikring'!G135+'Protector Forsikring'!G135+'Sparebank 1 Fors.'!G135+'Storebrand Livsforsikring'!G135+'Telenor Forsikring'!G135+'Tryg Forsikring'!G135+'WaterCircles F'!G135+'Euro Accident'!G135+'Ly Forsikring'!G135+'Youplus Livsforsikring'!G135+'Oslo Forsikring'!G135+'Knif Trygghet Forsikring'!G135</f>
        <v>3013494.0432199999</v>
      </c>
      <c r="G135" s="8">
        <f t="shared" si="47"/>
        <v>4.4000000000000004</v>
      </c>
      <c r="H135" s="183">
        <f t="shared" si="48"/>
        <v>956508076.68721998</v>
      </c>
      <c r="I135" s="183">
        <f t="shared" si="48"/>
        <v>1041500149.74376</v>
      </c>
      <c r="J135" s="8">
        <f t="shared" si="49"/>
        <v>8.9</v>
      </c>
    </row>
    <row r="136" spans="1:10" s="35" customFormat="1" ht="15.75" customHeight="1" x14ac:dyDescent="0.25">
      <c r="A136" s="10" t="s">
        <v>218</v>
      </c>
      <c r="B136" s="183">
        <f>'Fremtind Livsforsikring'!B136+'DNB Livsforsikring'!B136+'Frende Livsforsikring'!B136+'Frende Skadeforsikring'!B136+'Gjensidige Forsikring'!B136+'Gjensidige Pensjon'!B136+'If Skadeforsikring NUF'!B136+KLP!B136+'KLP Skadeforsikring AS'!B136+'Landkreditt Forsikring'!B136+'Nordea Liv '!B136+'Oslo Pensjonsforsikring'!B136+'Protector Forsikring'!B136+'Sparebank 1 Fors.'!B136+'Storebrand Livsforsikring'!B136+'Telenor Forsikring'!B136+'Tryg Forsikring'!B136+'WaterCircles F'!B136+'Euro Accident'!B136+'Ly Forsikring'!B136+'Youplus Livsforsikring'!B136+'Oslo Forsikring'!B136+'Knif Trygghet Forsikring'!B136</f>
        <v>2231569.9409999996</v>
      </c>
      <c r="C136" s="183">
        <f>'Fremtind Livsforsikring'!C136+'DNB Livsforsikring'!C136+'Frende Livsforsikring'!C136+'Frende Skadeforsikring'!C136+'Gjensidige Forsikring'!C136+'Gjensidige Pensjon'!C136+'If Skadeforsikring NUF'!C136+KLP!C136+'KLP Skadeforsikring AS'!C136+'Landkreditt Forsikring'!C136+'Nordea Liv '!C136+'Oslo Pensjonsforsikring'!C136+'Protector Forsikring'!C136+'Sparebank 1 Fors.'!C136+'Storebrand Livsforsikring'!C136+'Telenor Forsikring'!C136+'Tryg Forsikring'!C136+'WaterCircles F'!C136+'Euro Accident'!C136+'Ly Forsikring'!C136+'Youplus Livsforsikring'!C136+'Oslo Forsikring'!C136+'Knif Trygghet Forsikring'!C136</f>
        <v>3312231.7239999999</v>
      </c>
      <c r="D136" s="8">
        <f t="shared" si="46"/>
        <v>48.4</v>
      </c>
      <c r="E136" s="183">
        <f>'Fremtind Livsforsikring'!F136+'DNB Livsforsikring'!F136+'Frende Livsforsikring'!F136+'Frende Skadeforsikring'!F136+'Gjensidige Forsikring'!F136+'Gjensidige Pensjon'!F136+'If Skadeforsikring NUF'!F136+KLP!F136+'KLP Skadeforsikring AS'!F136+'Landkreditt Forsikring'!F136+'Nordea Liv '!F136+'Oslo Pensjonsforsikring'!F136+'Protector Forsikring'!F136+'Sparebank 1 Fors.'!F136+'Storebrand Livsforsikring'!F136+'Telenor Forsikring'!F136+'Tryg Forsikring'!F136+'WaterCircles F'!F136+'Euro Accident'!F136+'Ly Forsikring'!F136+'Youplus Livsforsikring'!F136+'Oslo Forsikring'!F136+'Knif Trygghet Forsikring'!F136</f>
        <v>-1022.97</v>
      </c>
      <c r="F136" s="183">
        <f>'Fremtind Livsforsikring'!G136+'DNB Livsforsikring'!G136+'Frende Livsforsikring'!G136+'Frende Skadeforsikring'!G136+'Gjensidige Forsikring'!G136+'Gjensidige Pensjon'!G136+'If Skadeforsikring NUF'!G136+KLP!G136+'KLP Skadeforsikring AS'!G136+'Landkreditt Forsikring'!G136+'Nordea Liv '!G136+'Oslo Pensjonsforsikring'!G136+'Protector Forsikring'!G136+'Sparebank 1 Fors.'!G136+'Storebrand Livsforsikring'!G136+'Telenor Forsikring'!G136+'Tryg Forsikring'!G136+'WaterCircles F'!G136+'Euro Accident'!G136+'Ly Forsikring'!G136+'Youplus Livsforsikring'!G136+'Oslo Forsikring'!G136+'Knif Trygghet Forsikring'!G136</f>
        <v>-3933.2139999999999</v>
      </c>
      <c r="G136" s="8">
        <f t="shared" si="47"/>
        <v>284.5</v>
      </c>
      <c r="H136" s="183">
        <f t="shared" si="48"/>
        <v>2230546.9709999994</v>
      </c>
      <c r="I136" s="183">
        <f t="shared" si="48"/>
        <v>3308298.51</v>
      </c>
      <c r="J136" s="8">
        <f t="shared" si="49"/>
        <v>48.3</v>
      </c>
    </row>
    <row r="137" spans="1:10" s="35" customFormat="1" ht="15.75" customHeight="1" x14ac:dyDescent="0.25">
      <c r="A137" s="33" t="s">
        <v>219</v>
      </c>
      <c r="B137" s="223">
        <f>'Fremtind Livsforsikring'!B137+'DNB Livsforsikring'!B137+'Frende Livsforsikring'!B137+'Frende Skadeforsikring'!B137+'Gjensidige Forsikring'!B137+'Gjensidige Pensjon'!B137+'If Skadeforsikring NUF'!B137+KLP!B137+'KLP Skadeforsikring AS'!B137+'Landkreditt Forsikring'!B137+'Nordea Liv '!B137+'Oslo Pensjonsforsikring'!B137+'Protector Forsikring'!B137+'Sparebank 1 Fors.'!B137+'Storebrand Livsforsikring'!B137+'Telenor Forsikring'!B137+'Tryg Forsikring'!B137+'WaterCircles F'!B137+'Euro Accident'!B137+'Ly Forsikring'!B137+'Youplus Livsforsikring'!B137+'Oslo Forsikring'!B137+'Knif Trygghet Forsikring'!B137</f>
        <v>2423007.9249999998</v>
      </c>
      <c r="C137" s="223">
        <f>'Fremtind Livsforsikring'!C137+'DNB Livsforsikring'!C137+'Frende Livsforsikring'!C137+'Frende Skadeforsikring'!C137+'Gjensidige Forsikring'!C137+'Gjensidige Pensjon'!C137+'If Skadeforsikring NUF'!C137+KLP!C137+'KLP Skadeforsikring AS'!C137+'Landkreditt Forsikring'!C137+'Nordea Liv '!C137+'Oslo Pensjonsforsikring'!C137+'Protector Forsikring'!C137+'Sparebank 1 Fors.'!C137+'Storebrand Livsforsikring'!C137+'Telenor Forsikring'!C137+'Tryg Forsikring'!C137+'WaterCircles F'!C137+'Euro Accident'!C137+'Ly Forsikring'!C137+'Youplus Livsforsikring'!C137+'Oslo Forsikring'!C137+'Knif Trygghet Forsikring'!C137</f>
        <v>4170740.02</v>
      </c>
      <c r="D137" s="6">
        <f t="shared" si="46"/>
        <v>72.099999999999994</v>
      </c>
      <c r="E137" s="223"/>
      <c r="F137" s="223"/>
      <c r="G137" s="6"/>
      <c r="H137" s="223">
        <f t="shared" si="48"/>
        <v>2423007.9249999998</v>
      </c>
      <c r="I137" s="223">
        <f t="shared" si="48"/>
        <v>4170740.02</v>
      </c>
      <c r="J137" s="6">
        <f t="shared" si="49"/>
        <v>72.099999999999994</v>
      </c>
    </row>
    <row r="138" spans="1:10" ht="15.75" customHeight="1" x14ac:dyDescent="0.25">
      <c r="A138" s="5"/>
      <c r="G138" s="4"/>
      <c r="J138" s="4"/>
    </row>
    <row r="139" spans="1:10" ht="15.75" customHeight="1" x14ac:dyDescent="0.25"/>
    <row r="140" spans="1:10" ht="15.75" customHeight="1" x14ac:dyDescent="0.25"/>
    <row r="141" spans="1:10" ht="15.75" customHeight="1" x14ac:dyDescent="0.25"/>
    <row r="142" spans="1:10" ht="15.75" customHeight="1" x14ac:dyDescent="0.25"/>
    <row r="143" spans="1:10" ht="15.75" customHeight="1" x14ac:dyDescent="0.25"/>
    <row r="144" spans="1:10"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sheetData>
  <mergeCells count="27">
    <mergeCell ref="B18:D18"/>
    <mergeCell ref="E18:G18"/>
    <mergeCell ref="H18:J18"/>
    <mergeCell ref="B2:D2"/>
    <mergeCell ref="E2:G2"/>
    <mergeCell ref="H2:J2"/>
    <mergeCell ref="B4:D4"/>
    <mergeCell ref="E4:G4"/>
    <mergeCell ref="H4:J4"/>
    <mergeCell ref="B63:D63"/>
    <mergeCell ref="E63:G63"/>
    <mergeCell ref="H63:J63"/>
    <mergeCell ref="B19:D19"/>
    <mergeCell ref="E19:G19"/>
    <mergeCell ref="H19:J19"/>
    <mergeCell ref="B62:D62"/>
    <mergeCell ref="E62:G62"/>
    <mergeCell ref="H62:J62"/>
    <mergeCell ref="B42:D42"/>
    <mergeCell ref="E42:G42"/>
    <mergeCell ref="H42:J42"/>
    <mergeCell ref="B131:D131"/>
    <mergeCell ref="E131:G131"/>
    <mergeCell ref="H131:J131"/>
    <mergeCell ref="B130:D130"/>
    <mergeCell ref="E130:G130"/>
    <mergeCell ref="H130:J130"/>
  </mergeCells>
  <conditionalFormatting sqref="A50:A52">
    <cfRule type="expression" dxfId="1362" priority="64">
      <formula>kvartal &lt; 4</formula>
    </cfRule>
  </conditionalFormatting>
  <conditionalFormatting sqref="A69:A74">
    <cfRule type="expression" dxfId="1361" priority="62">
      <formula>kvartal &lt; 4</formula>
    </cfRule>
  </conditionalFormatting>
  <conditionalFormatting sqref="A80:A85">
    <cfRule type="expression" dxfId="1360" priority="61">
      <formula>kvartal &lt; 4</formula>
    </cfRule>
  </conditionalFormatting>
  <conditionalFormatting sqref="A90:A95">
    <cfRule type="expression" dxfId="1359" priority="58">
      <formula>kvartal &lt; 4</formula>
    </cfRule>
  </conditionalFormatting>
  <conditionalFormatting sqref="A101:A106">
    <cfRule type="expression" dxfId="1358" priority="57">
      <formula>kvartal &lt; 4</formula>
    </cfRule>
  </conditionalFormatting>
  <conditionalFormatting sqref="A115">
    <cfRule type="expression" dxfId="1357" priority="56">
      <formula>kvartal &lt; 4</formula>
    </cfRule>
  </conditionalFormatting>
  <conditionalFormatting sqref="A123">
    <cfRule type="expression" dxfId="1356" priority="55">
      <formula>kvartal &lt; 4</formula>
    </cfRule>
  </conditionalFormatting>
  <conditionalFormatting sqref="B50:C52">
    <cfRule type="expression" dxfId="1355" priority="1">
      <formula>kvartal&lt;4</formula>
    </cfRule>
  </conditionalFormatting>
  <conditionalFormatting sqref="B69:C69">
    <cfRule type="expression" dxfId="1354" priority="46">
      <formula>kvartal&lt;4</formula>
    </cfRule>
  </conditionalFormatting>
  <conditionalFormatting sqref="B72:C72">
    <cfRule type="expression" dxfId="1353" priority="45">
      <formula>kvartal&lt;4</formula>
    </cfRule>
  </conditionalFormatting>
  <conditionalFormatting sqref="B80:C80">
    <cfRule type="expression" dxfId="1352" priority="44">
      <formula>kvartal&lt;4</formula>
    </cfRule>
  </conditionalFormatting>
  <conditionalFormatting sqref="B83:C83">
    <cfRule type="expression" dxfId="1351" priority="43">
      <formula>kvartal&lt;4</formula>
    </cfRule>
  </conditionalFormatting>
  <conditionalFormatting sqref="B90:C90">
    <cfRule type="expression" dxfId="1350" priority="38">
      <formula>kvartal&lt;4</formula>
    </cfRule>
  </conditionalFormatting>
  <conditionalFormatting sqref="B93:C93">
    <cfRule type="expression" dxfId="1349" priority="37">
      <formula>kvartal&lt;4</formula>
    </cfRule>
  </conditionalFormatting>
  <conditionalFormatting sqref="B101:C101">
    <cfRule type="expression" dxfId="1348" priority="36">
      <formula>kvartal&lt;4</formula>
    </cfRule>
  </conditionalFormatting>
  <conditionalFormatting sqref="B104:C104">
    <cfRule type="expression" dxfId="1347" priority="35">
      <formula>kvartal&lt;4</formula>
    </cfRule>
  </conditionalFormatting>
  <conditionalFormatting sqref="B115:C115">
    <cfRule type="expression" dxfId="1346" priority="34">
      <formula>kvartal&lt;4</formula>
    </cfRule>
  </conditionalFormatting>
  <conditionalFormatting sqref="B123:C123">
    <cfRule type="expression" dxfId="1345" priority="33">
      <formula>kvartal&lt;4</formula>
    </cfRule>
  </conditionalFormatting>
  <conditionalFormatting sqref="E69:F74">
    <cfRule type="expression" dxfId="1344" priority="5">
      <formula>kvartal&lt;4</formula>
    </cfRule>
  </conditionalFormatting>
  <conditionalFormatting sqref="E80:F85">
    <cfRule type="expression" dxfId="1343" priority="4">
      <formula>kvartal&lt;4</formula>
    </cfRule>
  </conditionalFormatting>
  <conditionalFormatting sqref="E90:F95">
    <cfRule type="expression" dxfId="1342" priority="3">
      <formula>kvartal&lt;4</formula>
    </cfRule>
  </conditionalFormatting>
  <conditionalFormatting sqref="E101:F106">
    <cfRule type="expression" dxfId="1341" priority="2">
      <formula>kvartal&lt;4</formula>
    </cfRule>
  </conditionalFormatting>
  <conditionalFormatting sqref="E115:F115">
    <cfRule type="expression" dxfId="1340" priority="26">
      <formula>kvartal&lt;4</formula>
    </cfRule>
  </conditionalFormatting>
  <conditionalFormatting sqref="E123:F123">
    <cfRule type="expression" dxfId="1339" priority="25">
      <formula>kvartal&lt;4</formula>
    </cfRule>
  </conditionalFormatting>
  <conditionalFormatting sqref="H69:I74">
    <cfRule type="expression" dxfId="1338" priority="78">
      <formula>kvartal&lt;4</formula>
    </cfRule>
  </conditionalFormatting>
  <conditionalFormatting sqref="H80:I85">
    <cfRule type="expression" dxfId="1337" priority="75">
      <formula>kvartal&lt;4</formula>
    </cfRule>
  </conditionalFormatting>
  <conditionalFormatting sqref="H90:I95">
    <cfRule type="expression" dxfId="1336" priority="71">
      <formula>kvartal&lt;4</formula>
    </cfRule>
  </conditionalFormatting>
  <conditionalFormatting sqref="H101:I106">
    <cfRule type="expression" dxfId="1335" priority="70">
      <formula>kvartal&lt;4</formula>
    </cfRule>
  </conditionalFormatting>
  <conditionalFormatting sqref="H115:I115">
    <cfRule type="expression" dxfId="1334" priority="69">
      <formula>kvartal&lt;4</formula>
    </cfRule>
  </conditionalFormatting>
  <conditionalFormatting sqref="H123:I123">
    <cfRule type="expression" dxfId="1333" priority="68">
      <formula>kvartal&lt;4</formula>
    </cfRule>
  </conditionalFormatting>
  <pageMargins left="0.23622047244094491" right="0.23622047244094491" top="0.62992125984251968" bottom="0.59055118110236227" header="0.51181102362204722" footer="0.51181102362204722"/>
  <pageSetup paperSize="9" scale="55" fitToHeight="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R144"/>
  <sheetViews>
    <sheetView showGridLines="0" zoomScaleNormal="10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8" x14ac:dyDescent="0.25">
      <c r="A1" s="128" t="s">
        <v>220</v>
      </c>
      <c r="B1" s="735"/>
      <c r="C1" s="197" t="s">
        <v>481</v>
      </c>
      <c r="O1" s="733"/>
    </row>
    <row r="2" spans="1:18" ht="15.6" x14ac:dyDescent="0.3">
      <c r="A2" s="110" t="s">
        <v>165</v>
      </c>
      <c r="B2" s="779"/>
      <c r="C2" s="779"/>
      <c r="D2" s="779"/>
      <c r="E2" s="656"/>
      <c r="F2" s="779"/>
      <c r="G2" s="779"/>
      <c r="H2" s="779"/>
      <c r="I2" s="245"/>
      <c r="J2" s="779"/>
      <c r="K2" s="779"/>
      <c r="L2" s="779"/>
      <c r="M2" s="245"/>
    </row>
    <row r="3" spans="1:18" ht="15.6" x14ac:dyDescent="0.3">
      <c r="A3" s="122"/>
      <c r="B3" s="245"/>
      <c r="C3" s="245"/>
      <c r="D3" s="245"/>
      <c r="E3" s="245"/>
      <c r="F3" s="245"/>
      <c r="G3" s="245"/>
      <c r="H3" s="245"/>
      <c r="I3" s="245"/>
      <c r="J3" s="245"/>
      <c r="K3" s="245"/>
      <c r="L3" s="245"/>
      <c r="M3" s="245"/>
    </row>
    <row r="4" spans="1:18" x14ac:dyDescent="0.25">
      <c r="A4" s="108"/>
      <c r="B4" s="775" t="s">
        <v>46</v>
      </c>
      <c r="C4" s="776"/>
      <c r="D4" s="776"/>
      <c r="E4" s="247"/>
      <c r="F4" s="775" t="s">
        <v>70</v>
      </c>
      <c r="G4" s="776"/>
      <c r="H4" s="776"/>
      <c r="I4" s="249"/>
      <c r="J4" s="775" t="s">
        <v>121</v>
      </c>
      <c r="K4" s="776"/>
      <c r="L4" s="776"/>
      <c r="M4" s="249"/>
    </row>
    <row r="5" spans="1:18"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8" x14ac:dyDescent="0.25">
      <c r="A6" s="736"/>
      <c r="B6" s="116"/>
      <c r="C6" s="116"/>
      <c r="D6" s="195" t="s">
        <v>167</v>
      </c>
      <c r="E6" s="116" t="s">
        <v>89</v>
      </c>
      <c r="F6" s="120"/>
      <c r="G6" s="120"/>
      <c r="H6" s="193" t="s">
        <v>167</v>
      </c>
      <c r="I6" s="116" t="s">
        <v>89</v>
      </c>
      <c r="J6" s="120"/>
      <c r="K6" s="120"/>
      <c r="L6" s="193" t="s">
        <v>167</v>
      </c>
      <c r="M6" s="116" t="s">
        <v>89</v>
      </c>
    </row>
    <row r="7" spans="1:18" ht="15.6" x14ac:dyDescent="0.25">
      <c r="A7" s="11" t="s">
        <v>168</v>
      </c>
      <c r="B7" s="251">
        <v>139439</v>
      </c>
      <c r="C7" s="252">
        <v>122654</v>
      </c>
      <c r="D7" s="288">
        <f>IF(B7=0, "    ---- ", IF(ABS(ROUND(100/B7*C7-100,1))&lt;999,ROUND(100/B7*C7-100,1),IF(ROUND(100/B7*C7-100,1)&gt;999,999,-999)))</f>
        <v>-12</v>
      </c>
      <c r="E7" s="8">
        <f>IFERROR(100/'Skjema total MA'!C7*C7,0)</f>
        <v>2.1072628448960358</v>
      </c>
      <c r="F7" s="251">
        <v>499859</v>
      </c>
      <c r="G7" s="252">
        <v>495887</v>
      </c>
      <c r="H7" s="288">
        <f>IF(F7=0, "    ---- ", IF(ABS(ROUND(100/F7*G7-100,1))&lt;999,ROUND(100/F7*G7-100,1),IF(ROUND(100/F7*G7-100,1)&gt;999,999,-999)))</f>
        <v>-0.8</v>
      </c>
      <c r="I7" s="119">
        <f>IFERROR(100/'Skjema total MA'!F7*G7,0)</f>
        <v>4.1288933463385673</v>
      </c>
      <c r="J7" s="253">
        <f t="shared" ref="J7:K12" si="0">SUM(B7,F7)</f>
        <v>639298</v>
      </c>
      <c r="K7" s="254">
        <f t="shared" si="0"/>
        <v>618541</v>
      </c>
      <c r="L7" s="348">
        <f>IF(J7=0, "    ---- ", IF(ABS(ROUND(100/J7*K7-100,1))&lt;999,ROUND(100/J7*K7-100,1),IF(ROUND(100/J7*K7-100,1)&gt;999,999,-999)))</f>
        <v>-3.2</v>
      </c>
      <c r="M7" s="8">
        <f>IFERROR(100/'Skjema total MA'!I7*K7,0)</f>
        <v>3.4689657273623475</v>
      </c>
    </row>
    <row r="8" spans="1:18" ht="15.6" x14ac:dyDescent="0.25">
      <c r="A8" s="18" t="s">
        <v>169</v>
      </c>
      <c r="B8" s="228">
        <v>25053</v>
      </c>
      <c r="C8" s="229">
        <v>23400.835999999999</v>
      </c>
      <c r="D8" s="123">
        <f t="shared" ref="D8:D12" si="1">IF(B8=0, "    ---- ", IF(ABS(ROUND(100/B8*C8-100,1))&lt;999,ROUND(100/B8*C8-100,1),IF(ROUND(100/B8*C8-100,1)&gt;999,999,-999)))</f>
        <v>-6.6</v>
      </c>
      <c r="E8" s="23">
        <f>IFERROR(100/'Skjema total MA'!C8*C8,0)</f>
        <v>0.59487203120541055</v>
      </c>
      <c r="F8" s="232"/>
      <c r="G8" s="233"/>
      <c r="H8" s="123"/>
      <c r="I8" s="132"/>
      <c r="J8" s="181">
        <f t="shared" si="0"/>
        <v>25053</v>
      </c>
      <c r="K8" s="234">
        <f t="shared" si="0"/>
        <v>23400.835999999999</v>
      </c>
      <c r="L8" s="123">
        <f t="shared" ref="L8:L9" si="2">IF(J8=0, "    ---- ", IF(ABS(ROUND(100/J8*K8-100,1))&lt;999,ROUND(100/J8*K8-100,1),IF(ROUND(100/J8*K8-100,1)&gt;999,999,-999)))</f>
        <v>-6.6</v>
      </c>
      <c r="M8" s="23">
        <f>IFERROR(100/'Skjema total MA'!I8*K8,0)</f>
        <v>0.59487203120541055</v>
      </c>
    </row>
    <row r="9" spans="1:18" ht="15.6" x14ac:dyDescent="0.25">
      <c r="A9" s="18" t="s">
        <v>170</v>
      </c>
      <c r="B9" s="228">
        <v>18551</v>
      </c>
      <c r="C9" s="229">
        <v>16153.349</v>
      </c>
      <c r="D9" s="123">
        <f t="shared" si="1"/>
        <v>-12.9</v>
      </c>
      <c r="E9" s="23">
        <f>IFERROR(100/'Skjema total MA'!C9*C9,0)</f>
        <v>1.4937404075011087</v>
      </c>
      <c r="F9" s="232"/>
      <c r="G9" s="233"/>
      <c r="H9" s="123"/>
      <c r="I9" s="132"/>
      <c r="J9" s="181">
        <f t="shared" si="0"/>
        <v>18551</v>
      </c>
      <c r="K9" s="234">
        <f t="shared" si="0"/>
        <v>16153.349</v>
      </c>
      <c r="L9" s="123">
        <f t="shared" si="2"/>
        <v>-12.9</v>
      </c>
      <c r="M9" s="23">
        <f>IFERROR(100/'Skjema total MA'!I9*K9,0)</f>
        <v>1.4937404075011087</v>
      </c>
    </row>
    <row r="10" spans="1:18" ht="15.6" x14ac:dyDescent="0.25">
      <c r="A10" s="10" t="s">
        <v>171</v>
      </c>
      <c r="B10" s="255">
        <v>5868734</v>
      </c>
      <c r="C10" s="256">
        <v>5077037.6958499895</v>
      </c>
      <c r="D10" s="127">
        <f t="shared" si="1"/>
        <v>-13.5</v>
      </c>
      <c r="E10" s="8">
        <f>IFERROR(100/'Skjema total MA'!C10*C10,0)</f>
        <v>32.677545323446466</v>
      </c>
      <c r="F10" s="255">
        <v>9237392.3010410406</v>
      </c>
      <c r="G10" s="256">
        <v>10196235.103</v>
      </c>
      <c r="H10" s="127">
        <f t="shared" ref="H10:H12" si="3">IF(F10=0, "    ---- ", IF(ABS(ROUND(100/F10*G10-100,1))&lt;999,ROUND(100/F10*G10-100,1),IF(ROUND(100/F10*G10-100,1)&gt;999,999,-999)))</f>
        <v>10.4</v>
      </c>
      <c r="I10" s="119">
        <f>IFERROR(100/'Skjema total MA'!F10*G10,0)</f>
        <v>9.3601483582050502</v>
      </c>
      <c r="J10" s="253">
        <f t="shared" si="0"/>
        <v>15106126.301041041</v>
      </c>
      <c r="K10" s="254">
        <f t="shared" si="0"/>
        <v>15273272.798849989</v>
      </c>
      <c r="L10" s="349">
        <f t="shared" ref="L10:L12" si="4">IF(J10=0, "    ---- ", IF(ABS(ROUND(100/J10*K10-100,1))&lt;999,ROUND(100/J10*K10-100,1),IF(ROUND(100/J10*K10-100,1)&gt;999,999,-999)))</f>
        <v>1.1000000000000001</v>
      </c>
      <c r="M10" s="8">
        <f>IFERROR(100/'Skjema total MA'!I10*K10,0)</f>
        <v>12.270725907850096</v>
      </c>
      <c r="R10" s="22"/>
    </row>
    <row r="11" spans="1:18" s="35" customFormat="1" ht="15.6" x14ac:dyDescent="0.25">
      <c r="A11" s="10" t="s">
        <v>172</v>
      </c>
      <c r="B11" s="255">
        <v>1517</v>
      </c>
      <c r="C11" s="256">
        <v>333</v>
      </c>
      <c r="D11" s="127">
        <f t="shared" si="1"/>
        <v>-78</v>
      </c>
      <c r="E11" s="8">
        <f>IFERROR(100/'Skjema total MA'!C11*C11,0)</f>
        <v>100</v>
      </c>
      <c r="F11" s="255">
        <v>82497</v>
      </c>
      <c r="G11" s="256">
        <v>58167.144</v>
      </c>
      <c r="H11" s="127">
        <f t="shared" si="3"/>
        <v>-29.5</v>
      </c>
      <c r="I11" s="119">
        <f>IFERROR(100/'Skjema total MA'!F11*G11,0)</f>
        <v>8.9531910539115813</v>
      </c>
      <c r="J11" s="253">
        <f t="shared" si="0"/>
        <v>84014</v>
      </c>
      <c r="K11" s="254">
        <f t="shared" si="0"/>
        <v>58500.144</v>
      </c>
      <c r="L11" s="349">
        <f t="shared" si="4"/>
        <v>-30.4</v>
      </c>
      <c r="M11" s="8">
        <f>IFERROR(100/'Skjema total MA'!I11*K11,0)</f>
        <v>8.9998340596681103</v>
      </c>
      <c r="N11" s="107"/>
      <c r="O11" s="22"/>
    </row>
    <row r="12" spans="1:18" s="35" customFormat="1" ht="15.6" x14ac:dyDescent="0.25">
      <c r="A12" s="33" t="s">
        <v>173</v>
      </c>
      <c r="B12" s="257">
        <v>1579</v>
      </c>
      <c r="C12" s="258">
        <v>342</v>
      </c>
      <c r="D12" s="125">
        <f t="shared" si="1"/>
        <v>-78.3</v>
      </c>
      <c r="E12" s="30">
        <f>IFERROR(100/'Skjema total MA'!C12*C12,0)</f>
        <v>100</v>
      </c>
      <c r="F12" s="257">
        <v>72981</v>
      </c>
      <c r="G12" s="258">
        <v>63941</v>
      </c>
      <c r="H12" s="125">
        <f t="shared" si="3"/>
        <v>-12.4</v>
      </c>
      <c r="I12" s="125">
        <f>IFERROR(100/'Skjema total MA'!F12*G12,0)</f>
        <v>10.003171371090179</v>
      </c>
      <c r="J12" s="259">
        <f t="shared" si="0"/>
        <v>74560</v>
      </c>
      <c r="K12" s="260">
        <f t="shared" si="0"/>
        <v>64283</v>
      </c>
      <c r="L12" s="350">
        <f t="shared" si="4"/>
        <v>-13.8</v>
      </c>
      <c r="M12" s="30">
        <f>IFERROR(100/'Skjema total MA'!I12*K12,0)</f>
        <v>10.051297318812969</v>
      </c>
      <c r="N12" s="107"/>
      <c r="O12" s="22"/>
      <c r="R12" s="107"/>
    </row>
    <row r="13" spans="1:18" s="35" customFormat="1" x14ac:dyDescent="0.25">
      <c r="A13" s="107"/>
      <c r="B13" s="109"/>
      <c r="C13" s="27"/>
      <c r="D13" s="118"/>
      <c r="E13" s="118"/>
      <c r="F13" s="109"/>
      <c r="G13" s="27"/>
      <c r="H13" s="118"/>
      <c r="I13" s="118"/>
      <c r="J13" s="38"/>
      <c r="K13" s="38"/>
      <c r="L13" s="118"/>
      <c r="M13" s="118"/>
      <c r="N13" s="107"/>
      <c r="O13" s="107"/>
    </row>
    <row r="14" spans="1:18" x14ac:dyDescent="0.25">
      <c r="A14" s="114" t="s">
        <v>174</v>
      </c>
    </row>
    <row r="16" spans="1:18"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116" t="s">
        <v>89</v>
      </c>
      <c r="F21" s="120"/>
      <c r="G21" s="120"/>
      <c r="H21" s="193" t="s">
        <v>167</v>
      </c>
      <c r="I21" s="116" t="s">
        <v>89</v>
      </c>
      <c r="J21" s="120"/>
      <c r="K21" s="120"/>
      <c r="L21" s="116" t="s">
        <v>167</v>
      </c>
      <c r="M21" s="116" t="s">
        <v>89</v>
      </c>
    </row>
    <row r="22" spans="1:13" ht="15.6" x14ac:dyDescent="0.25">
      <c r="A22" s="11" t="s">
        <v>168</v>
      </c>
      <c r="B22" s="255">
        <v>270186</v>
      </c>
      <c r="C22" s="255">
        <v>260403</v>
      </c>
      <c r="D22" s="288">
        <f t="shared" ref="D22:D37" si="5">IF(B22=0, "    ---- ", IF(ABS(ROUND(100/B22*C22-100,1))&lt;999,ROUND(100/B22*C22-100,1),IF(ROUND(100/B22*C22-100,1)&gt;999,999,-999)))</f>
        <v>-3.6</v>
      </c>
      <c r="E22" s="8">
        <f>IFERROR(100/'Skjema total MA'!C22*C22,0)</f>
        <v>9.6918817424728125</v>
      </c>
      <c r="F22" s="263">
        <v>20376</v>
      </c>
      <c r="G22" s="263">
        <v>19098</v>
      </c>
      <c r="H22" s="288">
        <f t="shared" ref="H22:H35" si="6">IF(F22=0, "    ---- ", IF(ABS(ROUND(100/F22*G22-100,1))&lt;999,ROUND(100/F22*G22-100,1),IF(ROUND(100/F22*G22-100,1)&gt;999,999,-999)))</f>
        <v>-6.3</v>
      </c>
      <c r="I22" s="8">
        <f>IFERROR(100/'Skjema total MA'!F22*G22,0)</f>
        <v>1.6233226646407408</v>
      </c>
      <c r="J22" s="261">
        <f t="shared" ref="J22:K35" si="7">SUM(B22,F22)</f>
        <v>290562</v>
      </c>
      <c r="K22" s="261">
        <f t="shared" si="7"/>
        <v>279501</v>
      </c>
      <c r="L22" s="348">
        <f t="shared" ref="L22:L35" si="8">IF(J22=0, "    ---- ", IF(ABS(ROUND(100/J22*K22-100,1))&lt;999,ROUND(100/J22*K22-100,1),IF(ROUND(100/J22*K22-100,1)&gt;999,999,-999)))</f>
        <v>-3.8</v>
      </c>
      <c r="M22" s="21">
        <f>IFERROR(100/'Skjema total MA'!I22*K22,0)</f>
        <v>7.2347891081544056</v>
      </c>
    </row>
    <row r="23" spans="1:13" ht="15.6" x14ac:dyDescent="0.25">
      <c r="A23" s="389" t="s">
        <v>177</v>
      </c>
      <c r="B23" s="228">
        <v>242069</v>
      </c>
      <c r="C23" s="228">
        <v>232003.239915354</v>
      </c>
      <c r="D23" s="123">
        <f t="shared" si="5"/>
        <v>-4.2</v>
      </c>
      <c r="E23" s="8">
        <f>IFERROR(100/'Skjema total MA'!C23*C23,0)</f>
        <v>14.318466027528366</v>
      </c>
      <c r="F23" s="237">
        <v>13188</v>
      </c>
      <c r="G23" s="237">
        <v>12508</v>
      </c>
      <c r="H23" s="123">
        <f t="shared" si="6"/>
        <v>-5.2</v>
      </c>
      <c r="I23" s="341">
        <f>IFERROR(100/'Skjema total MA'!F23*G23,0)</f>
        <v>27.668087202183781</v>
      </c>
      <c r="J23" s="237">
        <f t="shared" ref="J23:J25" si="9">SUM(B23,F23)</f>
        <v>255257</v>
      </c>
      <c r="K23" s="237">
        <f t="shared" ref="K23:K25" si="10">SUM(C23,G23)</f>
        <v>244511.239915354</v>
      </c>
      <c r="L23" s="123">
        <f t="shared" si="8"/>
        <v>-4.2</v>
      </c>
      <c r="M23" s="20">
        <f>IFERROR(100/'Skjema total MA'!I23*K23,0)</f>
        <v>14.680816695905614</v>
      </c>
    </row>
    <row r="24" spans="1:13" ht="15.6" x14ac:dyDescent="0.25">
      <c r="A24" s="389" t="s">
        <v>178</v>
      </c>
      <c r="B24" s="228">
        <v>7363</v>
      </c>
      <c r="C24" s="228">
        <v>9260.52647828101</v>
      </c>
      <c r="D24" s="123">
        <f t="shared" si="5"/>
        <v>25.8</v>
      </c>
      <c r="E24" s="8">
        <f>IFERROR(100/'Skjema total MA'!C24*C24,0)</f>
        <v>72.915123151166156</v>
      </c>
      <c r="F24" s="237">
        <v>194</v>
      </c>
      <c r="G24" s="237">
        <v>221</v>
      </c>
      <c r="H24" s="123">
        <f t="shared" si="6"/>
        <v>13.9</v>
      </c>
      <c r="I24" s="341">
        <f>IFERROR(100/'Skjema total MA'!F24*G24,0)</f>
        <v>36.249974575809681</v>
      </c>
      <c r="J24" s="237">
        <f t="shared" si="9"/>
        <v>7557</v>
      </c>
      <c r="K24" s="237">
        <f t="shared" si="10"/>
        <v>9481.52647828101</v>
      </c>
      <c r="L24" s="123">
        <f t="shared" si="8"/>
        <v>25.5</v>
      </c>
      <c r="M24" s="20">
        <f>IFERROR(100/'Skjema total MA'!I24*K24,0)</f>
        <v>71.23571014410463</v>
      </c>
    </row>
    <row r="25" spans="1:13" ht="15.6" x14ac:dyDescent="0.25">
      <c r="A25" s="389" t="s">
        <v>179</v>
      </c>
      <c r="B25" s="228">
        <v>20754</v>
      </c>
      <c r="C25" s="228">
        <v>19139.2336063652</v>
      </c>
      <c r="D25" s="123">
        <f t="shared" si="5"/>
        <v>-7.8</v>
      </c>
      <c r="E25" s="8">
        <f>IFERROR(100/'Skjema total MA'!C25*C25,0)</f>
        <v>100</v>
      </c>
      <c r="F25" s="237">
        <v>6994</v>
      </c>
      <c r="G25" s="237">
        <v>6369</v>
      </c>
      <c r="H25" s="123">
        <f t="shared" si="6"/>
        <v>-8.9</v>
      </c>
      <c r="I25" s="341">
        <f>IFERROR(100/'Skjema total MA'!F25*G25,0)</f>
        <v>42.276896169706035</v>
      </c>
      <c r="J25" s="237">
        <f t="shared" si="9"/>
        <v>27748</v>
      </c>
      <c r="K25" s="237">
        <f t="shared" si="10"/>
        <v>25508.2336063652</v>
      </c>
      <c r="L25" s="123">
        <f t="shared" si="8"/>
        <v>-8.1</v>
      </c>
      <c r="M25" s="20">
        <f>IFERROR(100/'Skjema total MA'!I25*K25,0)</f>
        <v>74.576320918438697</v>
      </c>
    </row>
    <row r="26" spans="1:13" ht="15.6" x14ac:dyDescent="0.25">
      <c r="A26" s="389" t="s">
        <v>180</v>
      </c>
      <c r="B26" s="228"/>
      <c r="C26" s="228"/>
      <c r="D26" s="123"/>
      <c r="E26" s="8"/>
      <c r="F26" s="237"/>
      <c r="G26" s="237"/>
      <c r="H26" s="123"/>
      <c r="I26" s="341"/>
      <c r="J26" s="237"/>
      <c r="K26" s="237"/>
      <c r="L26" s="123"/>
      <c r="M26" s="20"/>
    </row>
    <row r="27" spans="1:13" x14ac:dyDescent="0.25">
      <c r="A27" s="389" t="s">
        <v>181</v>
      </c>
      <c r="B27" s="228"/>
      <c r="C27" s="228"/>
      <c r="D27" s="123"/>
      <c r="E27" s="8"/>
      <c r="F27" s="237"/>
      <c r="G27" s="237"/>
      <c r="H27" s="123"/>
      <c r="I27" s="341"/>
      <c r="J27" s="237"/>
      <c r="K27" s="237"/>
      <c r="L27" s="123"/>
      <c r="M27" s="20"/>
    </row>
    <row r="28" spans="1:13" ht="15.6" x14ac:dyDescent="0.25">
      <c r="A28" s="39" t="s">
        <v>182</v>
      </c>
      <c r="B28" s="36">
        <v>100383.643</v>
      </c>
      <c r="C28" s="234">
        <v>96556.311000000002</v>
      </c>
      <c r="D28" s="123">
        <f t="shared" si="5"/>
        <v>-3.8</v>
      </c>
      <c r="E28" s="8">
        <f>IFERROR(100/'Skjema total MA'!C28*C28,0)</f>
        <v>2.8511748911767927</v>
      </c>
      <c r="F28" s="181"/>
      <c r="G28" s="234"/>
      <c r="H28" s="123"/>
      <c r="I28" s="23"/>
      <c r="J28" s="36">
        <f t="shared" si="7"/>
        <v>100383.643</v>
      </c>
      <c r="K28" s="36">
        <f t="shared" si="7"/>
        <v>96556.311000000002</v>
      </c>
      <c r="L28" s="206">
        <f t="shared" si="8"/>
        <v>-3.8</v>
      </c>
      <c r="M28" s="20">
        <f>IFERROR(100/'Skjema total MA'!I28*K28,0)</f>
        <v>2.8511748911767927</v>
      </c>
    </row>
    <row r="29" spans="1:13" ht="15.6" x14ac:dyDescent="0.25">
      <c r="A29" s="10" t="s">
        <v>171</v>
      </c>
      <c r="B29" s="183">
        <v>19160256</v>
      </c>
      <c r="C29" s="183">
        <v>18409413.07911</v>
      </c>
      <c r="D29" s="127">
        <f t="shared" si="5"/>
        <v>-3.9</v>
      </c>
      <c r="E29" s="8">
        <f>IFERROR(100/'Skjema total MA'!C29*C29,0)</f>
        <v>41.735718759746753</v>
      </c>
      <c r="F29" s="253">
        <v>5016289.6900000004</v>
      </c>
      <c r="G29" s="253">
        <v>5009948.7920000004</v>
      </c>
      <c r="H29" s="127">
        <f t="shared" si="6"/>
        <v>-0.1</v>
      </c>
      <c r="I29" s="8">
        <f>IFERROR(100/'Skjema total MA'!F29*G29,0)</f>
        <v>15.69107601761401</v>
      </c>
      <c r="J29" s="183">
        <f t="shared" si="7"/>
        <v>24176545.690000001</v>
      </c>
      <c r="K29" s="183">
        <f t="shared" si="7"/>
        <v>23419361.87111</v>
      </c>
      <c r="L29" s="349">
        <f t="shared" si="8"/>
        <v>-3.1</v>
      </c>
      <c r="M29" s="21">
        <f>IFERROR(100/'Skjema total MA'!I29*K29,0)</f>
        <v>30.799492846110397</v>
      </c>
    </row>
    <row r="30" spans="1:13" ht="15.6" x14ac:dyDescent="0.25">
      <c r="A30" s="389" t="s">
        <v>177</v>
      </c>
      <c r="B30" s="228">
        <v>3733809.318</v>
      </c>
      <c r="C30" s="228">
        <v>3479572.97185886</v>
      </c>
      <c r="D30" s="123">
        <f t="shared" si="5"/>
        <v>-6.8</v>
      </c>
      <c r="E30" s="8">
        <f>IFERROR(100/'Skjema total MA'!C30*C30,0)</f>
        <v>18.153199839522447</v>
      </c>
      <c r="F30" s="237">
        <v>1645489.1540000001</v>
      </c>
      <c r="G30" s="237">
        <v>1647373.004</v>
      </c>
      <c r="H30" s="123">
        <f t="shared" si="6"/>
        <v>0.1</v>
      </c>
      <c r="I30" s="341">
        <f>IFERROR(100/'Skjema total MA'!F30*G30,0)</f>
        <v>44.085200449197082</v>
      </c>
      <c r="J30" s="237">
        <f t="shared" ref="J30:J32" si="11">SUM(B30,F30)</f>
        <v>5379298.4720000001</v>
      </c>
      <c r="K30" s="237">
        <f t="shared" ref="K30:K32" si="12">SUM(C30,G30)</f>
        <v>5126945.9758588597</v>
      </c>
      <c r="L30" s="123">
        <f t="shared" si="8"/>
        <v>-4.7</v>
      </c>
      <c r="M30" s="20">
        <f>IFERROR(100/'Skjema total MA'!I30*K30,0)</f>
        <v>22.383899002116383</v>
      </c>
    </row>
    <row r="31" spans="1:13" ht="15.6" x14ac:dyDescent="0.25">
      <c r="A31" s="389" t="s">
        <v>178</v>
      </c>
      <c r="B31" s="228">
        <v>14057317.875</v>
      </c>
      <c r="C31" s="228">
        <v>13342872.348438</v>
      </c>
      <c r="D31" s="123">
        <f t="shared" si="5"/>
        <v>-5.0999999999999996</v>
      </c>
      <c r="E31" s="8">
        <f>IFERROR(100/'Skjema total MA'!C31*C31,0)</f>
        <v>60.692725742172861</v>
      </c>
      <c r="F31" s="237">
        <v>2763687.7659999998</v>
      </c>
      <c r="G31" s="237">
        <v>2669544.7250000001</v>
      </c>
      <c r="H31" s="123">
        <f t="shared" si="6"/>
        <v>-3.4</v>
      </c>
      <c r="I31" s="341">
        <f>IFERROR(100/'Skjema total MA'!F31*G31,0)</f>
        <v>36.2348358386296</v>
      </c>
      <c r="J31" s="237">
        <f t="shared" si="11"/>
        <v>16821005.640999999</v>
      </c>
      <c r="K31" s="237">
        <f t="shared" si="12"/>
        <v>16012417.073438</v>
      </c>
      <c r="L31" s="123">
        <f t="shared" si="8"/>
        <v>-4.8</v>
      </c>
      <c r="M31" s="20">
        <f>IFERROR(100/'Skjema total MA'!I31*K31,0)</f>
        <v>54.553728562723386</v>
      </c>
    </row>
    <row r="32" spans="1:13" ht="15.6" x14ac:dyDescent="0.25">
      <c r="A32" s="389" t="s">
        <v>179</v>
      </c>
      <c r="B32" s="228">
        <v>1369128.807</v>
      </c>
      <c r="C32" s="228">
        <v>1586967.75881315</v>
      </c>
      <c r="D32" s="123">
        <f t="shared" si="5"/>
        <v>15.9</v>
      </c>
      <c r="E32" s="8">
        <f>IFERROR(100/'Skjema total MA'!C32*C32,0)</f>
        <v>58.101192112956738</v>
      </c>
      <c r="F32" s="237">
        <v>607112.77</v>
      </c>
      <c r="G32" s="237">
        <v>693031.06299999997</v>
      </c>
      <c r="H32" s="123">
        <f t="shared" si="6"/>
        <v>14.2</v>
      </c>
      <c r="I32" s="341">
        <f>IFERROR(100/'Skjema total MA'!F32*G32,0)</f>
        <v>9.2853586690117371</v>
      </c>
      <c r="J32" s="237">
        <f t="shared" si="11"/>
        <v>1976241.577</v>
      </c>
      <c r="K32" s="237">
        <f t="shared" si="12"/>
        <v>2279998.8218131498</v>
      </c>
      <c r="L32" s="123">
        <f t="shared" si="8"/>
        <v>15.4</v>
      </c>
      <c r="M32" s="20">
        <f>IFERROR(100/'Skjema total MA'!I32*K32,0)</f>
        <v>22.363709879718424</v>
      </c>
    </row>
    <row r="33" spans="1:13" ht="15.6" x14ac:dyDescent="0.25">
      <c r="A33" s="389" t="s">
        <v>180</v>
      </c>
      <c r="B33" s="228"/>
      <c r="C33" s="228"/>
      <c r="D33" s="123"/>
      <c r="E33" s="8"/>
      <c r="F33" s="237"/>
      <c r="G33" s="237"/>
      <c r="H33" s="123"/>
      <c r="I33" s="341"/>
      <c r="J33" s="237"/>
      <c r="K33" s="237"/>
      <c r="L33" s="123"/>
      <c r="M33" s="20"/>
    </row>
    <row r="34" spans="1:13" ht="15.6" x14ac:dyDescent="0.25">
      <c r="A34" s="10" t="s">
        <v>172</v>
      </c>
      <c r="B34" s="183">
        <v>5277</v>
      </c>
      <c r="C34" s="254">
        <v>108124</v>
      </c>
      <c r="D34" s="127">
        <f t="shared" si="5"/>
        <v>999</v>
      </c>
      <c r="E34" s="8">
        <f>IFERROR(100/'Skjema total MA'!C34*C34,0)</f>
        <v>82.083810919771793</v>
      </c>
      <c r="F34" s="253">
        <v>-610166</v>
      </c>
      <c r="G34" s="254">
        <v>55988</v>
      </c>
      <c r="H34" s="127">
        <f t="shared" si="6"/>
        <v>-109.2</v>
      </c>
      <c r="I34" s="8">
        <f>IFERROR(100/'Skjema total MA'!F34*G34,0)</f>
        <v>20.81193237989341</v>
      </c>
      <c r="J34" s="183">
        <f t="shared" si="7"/>
        <v>-604889</v>
      </c>
      <c r="K34" s="183">
        <f t="shared" si="7"/>
        <v>164112</v>
      </c>
      <c r="L34" s="349">
        <f t="shared" si="8"/>
        <v>-127.1</v>
      </c>
      <c r="M34" s="21">
        <f>IFERROR(100/'Skjema total MA'!I34*K34,0)</f>
        <v>40.951967347839187</v>
      </c>
    </row>
    <row r="35" spans="1:13" ht="15.6" x14ac:dyDescent="0.25">
      <c r="A35" s="10" t="s">
        <v>173</v>
      </c>
      <c r="B35" s="183">
        <v>-602658</v>
      </c>
      <c r="C35" s="254">
        <v>23428</v>
      </c>
      <c r="D35" s="127">
        <f t="shared" si="5"/>
        <v>-103.9</v>
      </c>
      <c r="E35" s="8">
        <f>IFERROR(100/'Skjema total MA'!C35*C35,0)</f>
        <v>93.43133715897649</v>
      </c>
      <c r="F35" s="253">
        <v>8048</v>
      </c>
      <c r="G35" s="254">
        <v>-6721</v>
      </c>
      <c r="H35" s="127">
        <f t="shared" si="6"/>
        <v>-183.5</v>
      </c>
      <c r="I35" s="8">
        <f>IFERROR(100/'Skjema total MA'!F35*G35,0)</f>
        <v>-2.7007446505044737</v>
      </c>
      <c r="J35" s="183">
        <f t="shared" si="7"/>
        <v>-594610</v>
      </c>
      <c r="K35" s="183">
        <f t="shared" si="7"/>
        <v>16707</v>
      </c>
      <c r="L35" s="349">
        <f t="shared" si="8"/>
        <v>-102.8</v>
      </c>
      <c r="M35" s="21">
        <f>IFERROR(100/'Skjema total MA'!I35*K35,0)</f>
        <v>6.098950168089587</v>
      </c>
    </row>
    <row r="36" spans="1:13" ht="15.6" x14ac:dyDescent="0.25">
      <c r="A36" s="9" t="s">
        <v>184</v>
      </c>
      <c r="B36" s="183">
        <v>4842</v>
      </c>
      <c r="C36" s="254">
        <v>4199</v>
      </c>
      <c r="D36" s="127">
        <f t="shared" si="5"/>
        <v>-13.3</v>
      </c>
      <c r="E36" s="8">
        <f>IFERROR(100/'Skjema total MA'!C36*C36,0)</f>
        <v>23.745970706328112</v>
      </c>
      <c r="F36" s="264"/>
      <c r="G36" s="265"/>
      <c r="H36" s="127"/>
      <c r="I36" s="355"/>
      <c r="J36" s="183">
        <f t="shared" ref="J36:J37" si="13">SUM(B36,F36)</f>
        <v>4842</v>
      </c>
      <c r="K36" s="183">
        <f t="shared" ref="K36:K37" si="14">SUM(C36,G36)</f>
        <v>4199</v>
      </c>
      <c r="L36" s="349"/>
      <c r="M36" s="21">
        <f>IFERROR(100/'Skjema total MA'!I36*K36,0)</f>
        <v>23.745970706328112</v>
      </c>
    </row>
    <row r="37" spans="1:13" ht="15.6" x14ac:dyDescent="0.25">
      <c r="A37" s="9" t="s">
        <v>185</v>
      </c>
      <c r="B37" s="183">
        <v>2107869.9819999998</v>
      </c>
      <c r="C37" s="254">
        <v>1937961.51621</v>
      </c>
      <c r="D37" s="127">
        <f t="shared" si="5"/>
        <v>-8.1</v>
      </c>
      <c r="E37" s="8">
        <f>IFERROR(100/'Skjema total MA'!C37*C37,0)</f>
        <v>83.301237029591135</v>
      </c>
      <c r="F37" s="264"/>
      <c r="G37" s="266"/>
      <c r="H37" s="127"/>
      <c r="I37" s="355"/>
      <c r="J37" s="183">
        <f t="shared" si="13"/>
        <v>2107869.9819999998</v>
      </c>
      <c r="K37" s="183">
        <f t="shared" si="14"/>
        <v>1937961.51621</v>
      </c>
      <c r="L37" s="349"/>
      <c r="M37" s="21">
        <f>IFERROR(100/'Skjema total MA'!I37*K37,0)</f>
        <v>83.301237029591135</v>
      </c>
    </row>
    <row r="38" spans="1:13" ht="15.6" x14ac:dyDescent="0.25">
      <c r="A38" s="9" t="s">
        <v>186</v>
      </c>
      <c r="B38" s="183"/>
      <c r="C38" s="254"/>
      <c r="D38" s="127"/>
      <c r="E38" s="21"/>
      <c r="F38" s="264"/>
      <c r="G38" s="265"/>
      <c r="H38" s="127"/>
      <c r="I38" s="355"/>
      <c r="J38" s="183"/>
      <c r="K38" s="183"/>
      <c r="L38" s="349"/>
      <c r="M38" s="21"/>
    </row>
    <row r="39" spans="1:13" ht="15.6" x14ac:dyDescent="0.25">
      <c r="A39" s="15" t="s">
        <v>187</v>
      </c>
      <c r="B39" s="223"/>
      <c r="C39" s="260"/>
      <c r="D39" s="125"/>
      <c r="E39" s="30"/>
      <c r="F39" s="267"/>
      <c r="G39" s="268"/>
      <c r="H39" s="125"/>
      <c r="I39" s="30"/>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629286</v>
      </c>
      <c r="C47" s="256">
        <v>652864</v>
      </c>
      <c r="D47" s="348">
        <f t="shared" ref="D47:D57" si="15">IF(B47=0, "    ---- ", IF(ABS(ROUND(100/B47*C47-100,1))&lt;999,ROUND(100/B47*C47-100,1),IF(ROUND(100/B47*C47-100,1)&gt;999,999,-999)))</f>
        <v>3.7</v>
      </c>
      <c r="E47" s="8">
        <f>IFERROR(100/'Skjema total MA'!C47*C47,0)</f>
        <v>9.1186201583336359</v>
      </c>
      <c r="F47" s="109"/>
      <c r="G47" s="27"/>
      <c r="H47" s="118"/>
      <c r="I47" s="118"/>
      <c r="J47" s="31"/>
      <c r="K47" s="31"/>
      <c r="L47" s="118"/>
      <c r="M47" s="118"/>
    </row>
    <row r="48" spans="1:13" ht="15.6" x14ac:dyDescent="0.25">
      <c r="A48" s="18" t="s">
        <v>189</v>
      </c>
      <c r="B48" s="228">
        <v>629286</v>
      </c>
      <c r="C48" s="229">
        <v>652864</v>
      </c>
      <c r="D48" s="206">
        <f t="shared" si="15"/>
        <v>3.7</v>
      </c>
      <c r="E48" s="23">
        <f>IFERROR(100/'Skjema total MA'!C48*C48,0)</f>
        <v>15.984135911592839</v>
      </c>
      <c r="F48" s="109"/>
      <c r="G48" s="27"/>
      <c r="H48" s="109"/>
      <c r="I48" s="109"/>
      <c r="J48" s="27"/>
      <c r="K48" s="27"/>
      <c r="L48" s="118"/>
      <c r="M48" s="118"/>
    </row>
    <row r="49" spans="1:13" ht="15.6" x14ac:dyDescent="0.25">
      <c r="A49" s="18" t="s">
        <v>190</v>
      </c>
      <c r="B49" s="36"/>
      <c r="C49" s="234"/>
      <c r="D49" s="206"/>
      <c r="E49" s="23"/>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c r="C51" s="238"/>
      <c r="D51" s="206"/>
      <c r="E51" s="20"/>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v>44984.148000000001</v>
      </c>
      <c r="C53" s="256">
        <v>48790</v>
      </c>
      <c r="D53" s="349">
        <f t="shared" si="15"/>
        <v>8.5</v>
      </c>
      <c r="E53" s="8">
        <f>IFERROR(100/'Skjema total MA'!C53*C53,0)</f>
        <v>14.990932476858724</v>
      </c>
      <c r="F53" s="109"/>
      <c r="G53" s="27"/>
      <c r="H53" s="109"/>
      <c r="I53" s="109"/>
      <c r="J53" s="27"/>
      <c r="K53" s="27"/>
      <c r="L53" s="118"/>
      <c r="M53" s="118"/>
    </row>
    <row r="54" spans="1:13" ht="15.6" x14ac:dyDescent="0.25">
      <c r="A54" s="18" t="s">
        <v>189</v>
      </c>
      <c r="B54" s="228">
        <v>44984.148000000001</v>
      </c>
      <c r="C54" s="229">
        <v>48790</v>
      </c>
      <c r="D54" s="206">
        <f t="shared" si="15"/>
        <v>8.5</v>
      </c>
      <c r="E54" s="23">
        <f>IFERROR(100/'Skjema total MA'!C54*C54,0)</f>
        <v>15.319386212460975</v>
      </c>
      <c r="F54" s="109"/>
      <c r="G54" s="27"/>
      <c r="H54" s="109"/>
      <c r="I54" s="109"/>
      <c r="J54" s="27"/>
      <c r="K54" s="27"/>
      <c r="L54" s="118"/>
      <c r="M54" s="118"/>
    </row>
    <row r="55" spans="1:13" ht="15.6" x14ac:dyDescent="0.25">
      <c r="A55" s="18" t="s">
        <v>190</v>
      </c>
      <c r="B55" s="228"/>
      <c r="C55" s="229"/>
      <c r="D55" s="206"/>
      <c r="E55" s="23"/>
      <c r="F55" s="109"/>
      <c r="G55" s="27"/>
      <c r="H55" s="109"/>
      <c r="I55" s="109"/>
      <c r="J55" s="27"/>
      <c r="K55" s="27"/>
      <c r="L55" s="118"/>
      <c r="M55" s="118"/>
    </row>
    <row r="56" spans="1:13" ht="15.6" x14ac:dyDescent="0.25">
      <c r="A56" s="10" t="s">
        <v>195</v>
      </c>
      <c r="B56" s="255">
        <v>70001.747000000003</v>
      </c>
      <c r="C56" s="256">
        <v>51240</v>
      </c>
      <c r="D56" s="349">
        <f t="shared" si="15"/>
        <v>-26.8</v>
      </c>
      <c r="E56" s="8">
        <f>IFERROR(100/'Skjema total MA'!C56*C56,0)</f>
        <v>18.708024076350732</v>
      </c>
      <c r="F56" s="109"/>
      <c r="G56" s="27"/>
      <c r="H56" s="109"/>
      <c r="I56" s="109"/>
      <c r="J56" s="27"/>
      <c r="K56" s="27"/>
      <c r="L56" s="118"/>
      <c r="M56" s="118"/>
    </row>
    <row r="57" spans="1:13" ht="15.6" x14ac:dyDescent="0.25">
      <c r="A57" s="18" t="s">
        <v>189</v>
      </c>
      <c r="B57" s="228">
        <v>70001.747000000003</v>
      </c>
      <c r="C57" s="229">
        <v>51240</v>
      </c>
      <c r="D57" s="206">
        <f t="shared" si="15"/>
        <v>-26.8</v>
      </c>
      <c r="E57" s="23">
        <f>IFERROR(100/'Skjema total MA'!C57*C57,0)</f>
        <v>23.71923875926921</v>
      </c>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v>2418200</v>
      </c>
      <c r="C66" s="291">
        <v>2636912.7709999997</v>
      </c>
      <c r="D66" s="288">
        <f t="shared" ref="D66:D111" si="16">IF(B66=0, "    ---- ", IF(ABS(ROUND(100/B66*C66-100,1))&lt;999,ROUND(100/B66*C66-100,1),IF(ROUND(100/B66*C66-100,1)&gt;999,999,-999)))</f>
        <v>9</v>
      </c>
      <c r="E66" s="8">
        <f>IFERROR(100/'Skjema total MA'!C66*C66,0)</f>
        <v>28.069718387343929</v>
      </c>
      <c r="F66" s="290">
        <v>16339133.662</v>
      </c>
      <c r="G66" s="290">
        <v>17712447.572000001</v>
      </c>
      <c r="H66" s="288">
        <f t="shared" ref="H66:H111" si="17">IF(F66=0, "    ---- ", IF(ABS(ROUND(100/F66*G66-100,1))&lt;999,ROUND(100/F66*G66-100,1),IF(ROUND(100/F66*G66-100,1)&gt;999,999,-999)))</f>
        <v>8.4</v>
      </c>
      <c r="I66" s="8">
        <f>IFERROR(100/'Skjema total MA'!F66*G66,0)</f>
        <v>29.825364596982247</v>
      </c>
      <c r="J66" s="254">
        <f t="shared" ref="J66:K86" si="18">SUM(B66,F66)</f>
        <v>18757333.662</v>
      </c>
      <c r="K66" s="261">
        <f t="shared" si="18"/>
        <v>20349360.343000002</v>
      </c>
      <c r="L66" s="349">
        <f t="shared" ref="L66:L111" si="19">IF(J66=0, "    ---- ", IF(ABS(ROUND(100/J66*K66-100,1))&lt;999,ROUND(100/J66*K66-100,1),IF(ROUND(100/J66*K66-100,1)&gt;999,999,-999)))</f>
        <v>8.5</v>
      </c>
      <c r="M66" s="8">
        <f>IFERROR(100/'Skjema total MA'!I66*K66,0)</f>
        <v>29.585578491276859</v>
      </c>
    </row>
    <row r="67" spans="1:13" x14ac:dyDescent="0.25">
      <c r="A67" s="18" t="s">
        <v>197</v>
      </c>
      <c r="B67" s="36">
        <v>1890975</v>
      </c>
      <c r="C67" s="109">
        <v>1463447.7709999999</v>
      </c>
      <c r="D67" s="123">
        <f t="shared" si="16"/>
        <v>-22.6</v>
      </c>
      <c r="E67" s="23">
        <f>IFERROR(100/'Skjema total MA'!C67*C67,0)</f>
        <v>34.80028783983019</v>
      </c>
      <c r="F67" s="181"/>
      <c r="G67" s="109"/>
      <c r="H67" s="123"/>
      <c r="I67" s="23"/>
      <c r="J67" s="234">
        <f t="shared" si="18"/>
        <v>1890975</v>
      </c>
      <c r="K67" s="36">
        <f t="shared" si="18"/>
        <v>1463447.7709999999</v>
      </c>
      <c r="L67" s="206">
        <f t="shared" si="19"/>
        <v>-22.6</v>
      </c>
      <c r="M67" s="23">
        <f>IFERROR(100/'Skjema total MA'!I67*K67,0)</f>
        <v>34.80028783983019</v>
      </c>
    </row>
    <row r="68" spans="1:13" x14ac:dyDescent="0.25">
      <c r="A68" s="18" t="s">
        <v>198</v>
      </c>
      <c r="B68" s="239"/>
      <c r="C68" s="240"/>
      <c r="D68" s="123"/>
      <c r="E68" s="23"/>
      <c r="F68" s="239">
        <v>16339133.662</v>
      </c>
      <c r="G68" s="240">
        <v>17712447.572000001</v>
      </c>
      <c r="H68" s="123">
        <f t="shared" si="17"/>
        <v>8.4</v>
      </c>
      <c r="I68" s="23">
        <f>IFERROR(100/'Skjema total MA'!F68*G68,0)</f>
        <v>30.972156898248947</v>
      </c>
      <c r="J68" s="234">
        <f t="shared" si="18"/>
        <v>16339133.662</v>
      </c>
      <c r="K68" s="36">
        <f t="shared" si="18"/>
        <v>17712447.572000001</v>
      </c>
      <c r="L68" s="206">
        <f t="shared" si="19"/>
        <v>8.4</v>
      </c>
      <c r="M68" s="23">
        <f>IFERROR(100/'Skjema total MA'!I68*K68,0)</f>
        <v>30.959057917738285</v>
      </c>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v>16339133.662</v>
      </c>
      <c r="G72" s="228">
        <v>17712447.572000001</v>
      </c>
      <c r="H72" s="123">
        <f t="shared" si="17"/>
        <v>8.4</v>
      </c>
      <c r="I72" s="341">
        <f>IFERROR(100/'Skjema total MA'!F72*G72,0)</f>
        <v>30.973515510109074</v>
      </c>
      <c r="J72" s="234">
        <f t="shared" ref="J72" si="20">SUM(B72,F72)</f>
        <v>16339133.662</v>
      </c>
      <c r="K72" s="36">
        <f t="shared" ref="K72" si="21">SUM(C72,G72)</f>
        <v>17712447.572000001</v>
      </c>
      <c r="L72" s="206">
        <f t="shared" si="19"/>
        <v>8.4</v>
      </c>
      <c r="M72" s="20">
        <f>IFERROR(100/'Skjema total MA'!I72*K72,0)</f>
        <v>30.960543097646585</v>
      </c>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v>16339133.662</v>
      </c>
      <c r="G74" s="228">
        <v>17712447.572000001</v>
      </c>
      <c r="H74" s="123">
        <f t="shared" si="17"/>
        <v>8.4</v>
      </c>
      <c r="I74" s="341">
        <f>IFERROR(100/'Skjema total MA'!F74*G74,0)</f>
        <v>30.973515510109074</v>
      </c>
      <c r="J74" s="234">
        <f t="shared" ref="J74" si="22">SUM(B74,F74)</f>
        <v>16339133.662</v>
      </c>
      <c r="K74" s="36">
        <f t="shared" ref="K74" si="23">SUM(C74,G74)</f>
        <v>17712447.572000001</v>
      </c>
      <c r="L74" s="206">
        <f t="shared" si="19"/>
        <v>8.4</v>
      </c>
      <c r="M74" s="20">
        <f>IFERROR(100/'Skjema total MA'!I74*K74,0)</f>
        <v>30.973515510109074</v>
      </c>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v>527225</v>
      </c>
      <c r="C76" s="109">
        <v>1173465</v>
      </c>
      <c r="D76" s="123">
        <f t="shared" ref="D76" si="24">IF(B76=0, "    ---- ", IF(ABS(ROUND(100/B76*C76-100,1))&lt;999,ROUND(100/B76*C76-100,1),IF(ROUND(100/B76*C76-100,1)&gt;999,999,-999)))</f>
        <v>122.6</v>
      </c>
      <c r="E76" s="23">
        <f>IFERROR(100/'Skjema total MA'!C76*C76,0)</f>
        <v>28.001832013933011</v>
      </c>
      <c r="F76" s="181"/>
      <c r="G76" s="109"/>
      <c r="H76" s="123"/>
      <c r="I76" s="23"/>
      <c r="J76" s="234">
        <f t="shared" ref="J76" si="25">SUM(B76,F76)</f>
        <v>527225</v>
      </c>
      <c r="K76" s="36">
        <f t="shared" ref="K76" si="26">SUM(C76,G76)</f>
        <v>1173465</v>
      </c>
      <c r="L76" s="206">
        <f t="shared" ref="L76" si="27">IF(J76=0, "    ---- ", IF(ABS(ROUND(100/J76*K76-100,1))&lt;999,ROUND(100/J76*K76-100,1),IF(ROUND(100/J76*K76-100,1)&gt;999,999,-999)))</f>
        <v>122.6</v>
      </c>
      <c r="M76" s="23">
        <f>IFERROR(100/'Skjema total MA'!I76*K76,0)</f>
        <v>28.001832013933011</v>
      </c>
    </row>
    <row r="77" spans="1:13" ht="15.6" x14ac:dyDescent="0.25">
      <c r="A77" s="18" t="s">
        <v>205</v>
      </c>
      <c r="B77" s="181">
        <v>1865337</v>
      </c>
      <c r="C77" s="181">
        <v>1439629.419</v>
      </c>
      <c r="D77" s="123">
        <f t="shared" si="16"/>
        <v>-22.8</v>
      </c>
      <c r="E77" s="23">
        <f>IFERROR(100/'Skjema total MA'!C77*C77,0)</f>
        <v>34.847927214267592</v>
      </c>
      <c r="F77" s="181">
        <v>16339133.662</v>
      </c>
      <c r="G77" s="109">
        <v>17712447.572000001</v>
      </c>
      <c r="H77" s="123">
        <f t="shared" si="17"/>
        <v>8.4</v>
      </c>
      <c r="I77" s="23">
        <f>IFERROR(100/'Skjema total MA'!F77*G77,0)</f>
        <v>30.979834181230995</v>
      </c>
      <c r="J77" s="234">
        <f t="shared" si="18"/>
        <v>18204470.662</v>
      </c>
      <c r="K77" s="36">
        <f t="shared" si="18"/>
        <v>19152076.991</v>
      </c>
      <c r="L77" s="206">
        <f t="shared" si="19"/>
        <v>5.2</v>
      </c>
      <c r="M77" s="23">
        <f>IFERROR(100/'Skjema total MA'!I77*K77,0)</f>
        <v>31.240493151249353</v>
      </c>
    </row>
    <row r="78" spans="1:13" x14ac:dyDescent="0.25">
      <c r="A78" s="18" t="s">
        <v>197</v>
      </c>
      <c r="B78" s="181">
        <v>1865337</v>
      </c>
      <c r="C78" s="109">
        <v>1439629.419</v>
      </c>
      <c r="D78" s="123">
        <f t="shared" si="16"/>
        <v>-22.8</v>
      </c>
      <c r="E78" s="23">
        <f>IFERROR(100/'Skjema total MA'!C78*C78,0)</f>
        <v>35.053237762715412</v>
      </c>
      <c r="F78" s="181"/>
      <c r="G78" s="109"/>
      <c r="H78" s="123"/>
      <c r="I78" s="23"/>
      <c r="J78" s="234">
        <f t="shared" si="18"/>
        <v>1865337</v>
      </c>
      <c r="K78" s="36">
        <f t="shared" si="18"/>
        <v>1439629.419</v>
      </c>
      <c r="L78" s="206">
        <f t="shared" si="19"/>
        <v>-22.8</v>
      </c>
      <c r="M78" s="23">
        <f>IFERROR(100/'Skjema total MA'!I78*K78,0)</f>
        <v>35.053237762715412</v>
      </c>
    </row>
    <row r="79" spans="1:13" x14ac:dyDescent="0.25">
      <c r="A79" s="18" t="s">
        <v>206</v>
      </c>
      <c r="B79" s="239"/>
      <c r="C79" s="240"/>
      <c r="D79" s="123"/>
      <c r="E79" s="23"/>
      <c r="F79" s="239">
        <v>16339133.662</v>
      </c>
      <c r="G79" s="240">
        <v>17712447.572000001</v>
      </c>
      <c r="H79" s="123">
        <f t="shared" si="17"/>
        <v>8.4</v>
      </c>
      <c r="I79" s="23">
        <f>IFERROR(100/'Skjema total MA'!F79*G79,0)</f>
        <v>30.979834181230995</v>
      </c>
      <c r="J79" s="234">
        <f t="shared" si="18"/>
        <v>16339133.662</v>
      </c>
      <c r="K79" s="36">
        <f t="shared" si="18"/>
        <v>17712447.572000001</v>
      </c>
      <c r="L79" s="206">
        <f t="shared" si="19"/>
        <v>8.4</v>
      </c>
      <c r="M79" s="23">
        <f>IFERROR(100/'Skjema total MA'!I79*K79,0)</f>
        <v>30.966728707419403</v>
      </c>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v>16339133.662</v>
      </c>
      <c r="G83" s="228">
        <v>17712447.572000001</v>
      </c>
      <c r="H83" s="123">
        <f t="shared" si="17"/>
        <v>8.4</v>
      </c>
      <c r="I83" s="341">
        <f>IFERROR(100/'Skjema total MA'!F83*G83,0)</f>
        <v>30.979834181230995</v>
      </c>
      <c r="J83" s="234">
        <f t="shared" ref="J83" si="28">SUM(B83,F83)</f>
        <v>16339133.662</v>
      </c>
      <c r="K83" s="36">
        <f t="shared" ref="K83" si="29">SUM(C83,G83)</f>
        <v>17712447.572000001</v>
      </c>
      <c r="L83" s="206">
        <f t="shared" si="19"/>
        <v>8.4</v>
      </c>
      <c r="M83" s="20">
        <f>IFERROR(100/'Skjema total MA'!I83*K83,0)</f>
        <v>30.966728707419403</v>
      </c>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v>16339133.662</v>
      </c>
      <c r="G85" s="228">
        <v>17712447.572000001</v>
      </c>
      <c r="H85" s="123">
        <f t="shared" si="17"/>
        <v>8.4</v>
      </c>
      <c r="I85" s="341">
        <f>IFERROR(100/'Skjema total MA'!F85*G85,0)</f>
        <v>30.979834181230995</v>
      </c>
      <c r="J85" s="234">
        <f t="shared" ref="J85" si="30">SUM(B85,F85)</f>
        <v>16339133.662</v>
      </c>
      <c r="K85" s="36">
        <f t="shared" ref="K85" si="31">SUM(C85,G85)</f>
        <v>17712447.572000001</v>
      </c>
      <c r="L85" s="206">
        <f t="shared" si="19"/>
        <v>8.4</v>
      </c>
      <c r="M85" s="20">
        <f>IFERROR(100/'Skjema total MA'!I85*K85,0)</f>
        <v>30.979834181230995</v>
      </c>
    </row>
    <row r="86" spans="1:13" ht="15.6" x14ac:dyDescent="0.25">
      <c r="A86" s="18" t="s">
        <v>207</v>
      </c>
      <c r="B86" s="181">
        <v>25638.23</v>
      </c>
      <c r="C86" s="109">
        <v>23818.351999999999</v>
      </c>
      <c r="D86" s="123">
        <f t="shared" si="16"/>
        <v>-7.1</v>
      </c>
      <c r="E86" s="23">
        <f>IFERROR(100/'Skjema total MA'!C86*C86,0)</f>
        <v>24.231490923859806</v>
      </c>
      <c r="F86" s="181"/>
      <c r="G86" s="109"/>
      <c r="H86" s="123"/>
      <c r="I86" s="23"/>
      <c r="J86" s="234">
        <f t="shared" si="18"/>
        <v>25638.23</v>
      </c>
      <c r="K86" s="36">
        <f t="shared" si="18"/>
        <v>23818.351999999999</v>
      </c>
      <c r="L86" s="206">
        <f t="shared" si="19"/>
        <v>-7.1</v>
      </c>
      <c r="M86" s="23">
        <f>IFERROR(100/'Skjema total MA'!I86*K86,0)</f>
        <v>21.17804716323548</v>
      </c>
    </row>
    <row r="87" spans="1:13" ht="15.6" x14ac:dyDescent="0.25">
      <c r="A87" s="10" t="s">
        <v>171</v>
      </c>
      <c r="B87" s="291">
        <v>153696867.42424002</v>
      </c>
      <c r="C87" s="291">
        <v>154021184.89952999</v>
      </c>
      <c r="D87" s="127">
        <f t="shared" si="16"/>
        <v>0.2</v>
      </c>
      <c r="E87" s="8">
        <f>IFERROR(100/'Skjema total MA'!C87*C87,0)</f>
        <v>37.062629975575064</v>
      </c>
      <c r="F87" s="290">
        <v>188001199.61118001</v>
      </c>
      <c r="G87" s="290">
        <v>230817166.30996999</v>
      </c>
      <c r="H87" s="127">
        <f t="shared" si="17"/>
        <v>22.8</v>
      </c>
      <c r="I87" s="8">
        <f>IFERROR(100/'Skjema total MA'!F87*G87,0)</f>
        <v>29.131606190071306</v>
      </c>
      <c r="J87" s="254">
        <f t="shared" ref="J87:K111" si="32">SUM(B87,F87)</f>
        <v>341698067.03542006</v>
      </c>
      <c r="K87" s="183">
        <f t="shared" si="32"/>
        <v>384838351.20949996</v>
      </c>
      <c r="L87" s="349">
        <f t="shared" si="19"/>
        <v>12.6</v>
      </c>
      <c r="M87" s="8">
        <f>IFERROR(100/'Skjema total MA'!I87*K87,0)</f>
        <v>31.860232581171484</v>
      </c>
    </row>
    <row r="88" spans="1:13" x14ac:dyDescent="0.25">
      <c r="A88" s="18" t="s">
        <v>197</v>
      </c>
      <c r="B88" s="181">
        <v>153556465.01800001</v>
      </c>
      <c r="C88" s="109">
        <v>153885702.42899999</v>
      </c>
      <c r="D88" s="123">
        <f t="shared" si="16"/>
        <v>0.2</v>
      </c>
      <c r="E88" s="23">
        <f>IFERROR(100/'Skjema total MA'!C88*C88,0)</f>
        <v>39.62378951903441</v>
      </c>
      <c r="F88" s="181"/>
      <c r="G88" s="109"/>
      <c r="H88" s="123"/>
      <c r="I88" s="23"/>
      <c r="J88" s="234">
        <f t="shared" si="32"/>
        <v>153556465.01800001</v>
      </c>
      <c r="K88" s="36">
        <f t="shared" si="32"/>
        <v>153885702.42899999</v>
      </c>
      <c r="L88" s="206">
        <f t="shared" si="19"/>
        <v>0.2</v>
      </c>
      <c r="M88" s="23">
        <f>IFERROR(100/'Skjema total MA'!I88*K88,0)</f>
        <v>39.62378951903441</v>
      </c>
    </row>
    <row r="89" spans="1:13" x14ac:dyDescent="0.25">
      <c r="A89" s="18" t="s">
        <v>198</v>
      </c>
      <c r="B89" s="181">
        <v>85395.714999999997</v>
      </c>
      <c r="C89" s="109">
        <v>79689.918520000007</v>
      </c>
      <c r="D89" s="123">
        <f t="shared" si="16"/>
        <v>-6.7</v>
      </c>
      <c r="E89" s="23">
        <f>IFERROR(100/'Skjema total MA'!C89*C89,0)</f>
        <v>1.8674613685921646</v>
      </c>
      <c r="F89" s="181">
        <v>188001199.61118001</v>
      </c>
      <c r="G89" s="109">
        <v>230817166.30996999</v>
      </c>
      <c r="H89" s="123">
        <f t="shared" si="17"/>
        <v>22.8</v>
      </c>
      <c r="I89" s="23">
        <f>IFERROR(100/'Skjema total MA'!F89*G89,0)</f>
        <v>29.604296163577267</v>
      </c>
      <c r="J89" s="234">
        <f t="shared" si="32"/>
        <v>188086595.32618001</v>
      </c>
      <c r="K89" s="36">
        <f t="shared" si="32"/>
        <v>230896856.22849</v>
      </c>
      <c r="L89" s="206">
        <f t="shared" si="19"/>
        <v>22.8</v>
      </c>
      <c r="M89" s="23">
        <f>IFERROR(100/'Skjema total MA'!I89*K89,0)</f>
        <v>29.453314290842517</v>
      </c>
    </row>
    <row r="90" spans="1:13" ht="15.6" x14ac:dyDescent="0.25">
      <c r="A90" s="243" t="s">
        <v>199</v>
      </c>
      <c r="B90" s="228"/>
      <c r="C90" s="228"/>
      <c r="D90" s="123"/>
      <c r="E90" s="341"/>
      <c r="F90" s="228">
        <v>308559.92217999999</v>
      </c>
      <c r="G90" s="228">
        <v>315094.03899999999</v>
      </c>
      <c r="H90" s="123">
        <f t="shared" si="17"/>
        <v>2.1</v>
      </c>
      <c r="I90" s="341">
        <f>IFERROR(100/'Skjema total MA'!F90*G90,0)</f>
        <v>93.444557315175999</v>
      </c>
      <c r="J90" s="234">
        <f t="shared" si="32"/>
        <v>308559.92217999999</v>
      </c>
      <c r="K90" s="36">
        <f t="shared" si="32"/>
        <v>315094.03899999999</v>
      </c>
      <c r="L90" s="206">
        <f t="shared" si="19"/>
        <v>2.1</v>
      </c>
      <c r="M90" s="20">
        <f>IFERROR(100/'Skjema total MA'!I90*K90,0)</f>
        <v>93.444557315175999</v>
      </c>
    </row>
    <row r="91" spans="1:13" x14ac:dyDescent="0.25">
      <c r="A91" s="243" t="s">
        <v>200</v>
      </c>
      <c r="B91" s="182"/>
      <c r="C91" s="236"/>
      <c r="D91" s="123"/>
      <c r="E91" s="341"/>
      <c r="F91" s="228">
        <v>308559.92217999999</v>
      </c>
      <c r="G91" s="228">
        <v>315094.03899999999</v>
      </c>
      <c r="H91" s="123">
        <f t="shared" si="17"/>
        <v>2.1</v>
      </c>
      <c r="I91" s="341">
        <f>IFERROR(100/'Skjema total MA'!F91*G91,0)</f>
        <v>100</v>
      </c>
      <c r="J91" s="234">
        <f t="shared" si="32"/>
        <v>308559.92217999999</v>
      </c>
      <c r="K91" s="36">
        <f t="shared" si="32"/>
        <v>315094.03899999999</v>
      </c>
      <c r="L91" s="206">
        <f t="shared" si="19"/>
        <v>2.1</v>
      </c>
      <c r="M91" s="20">
        <f>IFERROR(100/'Skjema total MA'!I91*K91,0)</f>
        <v>100</v>
      </c>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v>85395.714999999997</v>
      </c>
      <c r="C93" s="228">
        <v>79689.918520000007</v>
      </c>
      <c r="D93" s="123">
        <f t="shared" si="16"/>
        <v>-6.7</v>
      </c>
      <c r="E93" s="23">
        <f>IFERROR(100/'Skjema total MA'!C94*C93,0)</f>
        <v>0</v>
      </c>
      <c r="F93" s="228">
        <v>187692639.68900001</v>
      </c>
      <c r="G93" s="228">
        <v>230502072.27096999</v>
      </c>
      <c r="H93" s="123">
        <f t="shared" si="17"/>
        <v>22.8</v>
      </c>
      <c r="I93" s="341">
        <f>IFERROR(100/'Skjema total MA'!F93*G93,0)</f>
        <v>29.576674150044678</v>
      </c>
      <c r="J93" s="234">
        <f t="shared" ref="J93" si="33">SUM(B93,F93)</f>
        <v>187778035.40400001</v>
      </c>
      <c r="K93" s="36">
        <f t="shared" ref="K93" si="34">SUM(C93,G93)</f>
        <v>230581762.18948999</v>
      </c>
      <c r="L93" s="206">
        <f t="shared" si="19"/>
        <v>22.8</v>
      </c>
      <c r="M93" s="20">
        <f>IFERROR(100/'Skjema total MA'!I93*K93,0)</f>
        <v>29.425777728702577</v>
      </c>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v>187692639.68900001</v>
      </c>
      <c r="G95" s="228">
        <v>230502072.27096999</v>
      </c>
      <c r="H95" s="123">
        <f t="shared" si="17"/>
        <v>22.8</v>
      </c>
      <c r="I95" s="341">
        <f>IFERROR(100/'Skjema total MA'!F95*G95,0)</f>
        <v>29.576674150044678</v>
      </c>
      <c r="J95" s="234">
        <f t="shared" ref="J95" si="35">SUM(B95,F95)</f>
        <v>187692639.68900001</v>
      </c>
      <c r="K95" s="36">
        <f t="shared" ref="K95" si="36">SUM(C95,G95)</f>
        <v>230502072.27096999</v>
      </c>
      <c r="L95" s="206">
        <f t="shared" si="19"/>
        <v>22.8</v>
      </c>
      <c r="M95" s="20">
        <f>IFERROR(100/'Skjema total MA'!I95*K95,0)</f>
        <v>29.576674150044678</v>
      </c>
    </row>
    <row r="96" spans="1:13" x14ac:dyDescent="0.25">
      <c r="A96" s="18" t="s">
        <v>221</v>
      </c>
      <c r="B96" s="181"/>
      <c r="C96" s="109"/>
      <c r="D96" s="123"/>
      <c r="E96" s="23"/>
      <c r="F96" s="181"/>
      <c r="G96" s="109"/>
      <c r="H96" s="123"/>
      <c r="I96" s="23"/>
      <c r="J96" s="234"/>
      <c r="K96" s="36"/>
      <c r="L96" s="206"/>
      <c r="M96" s="23"/>
    </row>
    <row r="97" spans="1:13" x14ac:dyDescent="0.25">
      <c r="A97" s="18" t="s">
        <v>222</v>
      </c>
      <c r="B97" s="181">
        <v>55006.69124</v>
      </c>
      <c r="C97" s="109">
        <v>55792.552009999999</v>
      </c>
      <c r="D97" s="123">
        <f t="shared" ref="D97" si="37">IF(B97=0, "    ---- ", IF(ABS(ROUND(100/B97*C97-100,1))&lt;999,ROUND(100/B97*C97-100,1),IF(ROUND(100/B97*C97-100,1)&gt;999,999,-999)))</f>
        <v>1.4</v>
      </c>
      <c r="E97" s="23">
        <f>IFERROR(100/'Skjema total MA'!C98*C97,0)</f>
        <v>1.4359413031404351E-2</v>
      </c>
      <c r="F97" s="181"/>
      <c r="G97" s="109"/>
      <c r="H97" s="123"/>
      <c r="I97" s="23"/>
      <c r="J97" s="234">
        <f t="shared" ref="J97" si="38">SUM(B97,F97)</f>
        <v>55006.69124</v>
      </c>
      <c r="K97" s="36">
        <f t="shared" ref="K97" si="39">SUM(C97,G97)</f>
        <v>55792.552009999999</v>
      </c>
      <c r="L97" s="206">
        <f t="shared" ref="L97" si="40">IF(J97=0, "    ---- ", IF(ABS(ROUND(100/J97*K97-100,1))&lt;999,ROUND(100/J97*K97-100,1),IF(ROUND(100/J97*K97-100,1)&gt;999,999,-999)))</f>
        <v>1.4</v>
      </c>
      <c r="M97" s="23">
        <f>IFERROR(100/'Skjema total MA'!I98*K97,0)</f>
        <v>4.7776113727317016E-3</v>
      </c>
    </row>
    <row r="98" spans="1:13" ht="15.6" x14ac:dyDescent="0.25">
      <c r="A98" s="18" t="s">
        <v>205</v>
      </c>
      <c r="B98" s="181">
        <v>152537108.76576</v>
      </c>
      <c r="C98" s="181">
        <v>152892138.91852</v>
      </c>
      <c r="D98" s="123">
        <f t="shared" si="16"/>
        <v>0.2</v>
      </c>
      <c r="E98" s="23">
        <f>IFERROR(100/'Skjema total MA'!C98*C98,0)</f>
        <v>39.350079766782841</v>
      </c>
      <c r="F98" s="239">
        <v>187692639.68900001</v>
      </c>
      <c r="G98" s="239">
        <v>230502072.27096999</v>
      </c>
      <c r="H98" s="123">
        <f t="shared" si="17"/>
        <v>22.8</v>
      </c>
      <c r="I98" s="23">
        <f>IFERROR(100/'Skjema total MA'!F98*G98,0)</f>
        <v>29.580052324981676</v>
      </c>
      <c r="J98" s="234">
        <f t="shared" si="32"/>
        <v>340229748.45476002</v>
      </c>
      <c r="K98" s="36">
        <f t="shared" si="32"/>
        <v>383394211.18948996</v>
      </c>
      <c r="L98" s="206">
        <f t="shared" si="19"/>
        <v>12.7</v>
      </c>
      <c r="M98" s="23">
        <f>IFERROR(100/'Skjema total MA'!I98*K98,0)</f>
        <v>32.830700113701553</v>
      </c>
    </row>
    <row r="99" spans="1:13" x14ac:dyDescent="0.25">
      <c r="A99" s="18" t="s">
        <v>197</v>
      </c>
      <c r="B99" s="239">
        <v>152451713.05076</v>
      </c>
      <c r="C99" s="240">
        <v>152812449</v>
      </c>
      <c r="D99" s="123">
        <f t="shared" si="16"/>
        <v>0.2</v>
      </c>
      <c r="E99" s="23">
        <f>IFERROR(100/'Skjema total MA'!C99*C99,0)</f>
        <v>39.766314468207085</v>
      </c>
      <c r="F99" s="181"/>
      <c r="G99" s="109"/>
      <c r="H99" s="123"/>
      <c r="I99" s="23"/>
      <c r="J99" s="234">
        <f t="shared" si="32"/>
        <v>152451713.05076</v>
      </c>
      <c r="K99" s="36">
        <f t="shared" si="32"/>
        <v>152812449</v>
      </c>
      <c r="L99" s="206">
        <f t="shared" si="19"/>
        <v>0.2</v>
      </c>
      <c r="M99" s="23">
        <f>IFERROR(100/'Skjema total MA'!I99*K99,0)</f>
        <v>39.766314468207085</v>
      </c>
    </row>
    <row r="100" spans="1:13" x14ac:dyDescent="0.25">
      <c r="A100" s="18" t="s">
        <v>206</v>
      </c>
      <c r="B100" s="239">
        <v>85395.714999999997</v>
      </c>
      <c r="C100" s="240">
        <v>79689.918520000007</v>
      </c>
      <c r="D100" s="123">
        <f t="shared" si="16"/>
        <v>-6.7</v>
      </c>
      <c r="E100" s="23">
        <f>IFERROR(100/'Skjema total MA'!C100*C100,0)</f>
        <v>1.8674613685921646</v>
      </c>
      <c r="F100" s="181">
        <v>187692639.68900001</v>
      </c>
      <c r="G100" s="181">
        <v>230502072.27096999</v>
      </c>
      <c r="H100" s="123">
        <f t="shared" si="17"/>
        <v>22.8</v>
      </c>
      <c r="I100" s="23">
        <f>IFERROR(100/'Skjema total MA'!F100*G100,0)</f>
        <v>29.580052324981676</v>
      </c>
      <c r="J100" s="234">
        <f t="shared" si="32"/>
        <v>187778035.40400001</v>
      </c>
      <c r="K100" s="36">
        <f t="shared" si="32"/>
        <v>230581762.18948999</v>
      </c>
      <c r="L100" s="206">
        <f t="shared" si="19"/>
        <v>22.8</v>
      </c>
      <c r="M100" s="23">
        <f>IFERROR(100/'Skjema total MA'!I100*K100,0)</f>
        <v>29.429120363828222</v>
      </c>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v>85395.714999999997</v>
      </c>
      <c r="C104" s="228">
        <v>79689.918520000007</v>
      </c>
      <c r="D104" s="123">
        <f t="shared" si="16"/>
        <v>-6.7</v>
      </c>
      <c r="E104" s="23">
        <f>IFERROR(100/'Skjema total MA'!C104*C104,0)</f>
        <v>1.8674613685921646</v>
      </c>
      <c r="F104" s="228">
        <v>187692639.68900001</v>
      </c>
      <c r="G104" s="228">
        <v>230502072.27096999</v>
      </c>
      <c r="H104" s="123">
        <f t="shared" si="17"/>
        <v>22.8</v>
      </c>
      <c r="I104" s="341">
        <f>IFERROR(100/'Skjema total MA'!F104*G104,0)</f>
        <v>29.580052324981676</v>
      </c>
      <c r="J104" s="234">
        <f t="shared" ref="J104" si="41">SUM(B104,F104)</f>
        <v>187778035.40400001</v>
      </c>
      <c r="K104" s="36">
        <f t="shared" ref="K104" si="42">SUM(C104,G104)</f>
        <v>230581762.18948999</v>
      </c>
      <c r="L104" s="206">
        <f t="shared" si="19"/>
        <v>22.8</v>
      </c>
      <c r="M104" s="20">
        <f>IFERROR(100/'Skjema total MA'!I104*K104,0)</f>
        <v>29.429120363828222</v>
      </c>
    </row>
    <row r="105" spans="1:13" x14ac:dyDescent="0.25">
      <c r="A105" s="243" t="s">
        <v>200</v>
      </c>
      <c r="B105" s="182"/>
      <c r="C105" s="236"/>
      <c r="D105" s="123"/>
      <c r="E105" s="23">
        <f>IFERROR(100/'Skjema total MA'!C105*C105,0)</f>
        <v>0</v>
      </c>
      <c r="F105" s="228"/>
      <c r="G105" s="228"/>
      <c r="H105" s="123"/>
      <c r="I105" s="341"/>
      <c r="J105" s="237"/>
      <c r="K105" s="237"/>
      <c r="L105" s="123"/>
      <c r="M105" s="20"/>
    </row>
    <row r="106" spans="1:13" x14ac:dyDescent="0.25">
      <c r="A106" s="243" t="s">
        <v>201</v>
      </c>
      <c r="B106" s="182"/>
      <c r="C106" s="236"/>
      <c r="D106" s="123"/>
      <c r="E106" s="23">
        <f>IFERROR(100/'Skjema total MA'!C106*C106,0)</f>
        <v>0</v>
      </c>
      <c r="F106" s="228">
        <v>187692639.68900001</v>
      </c>
      <c r="G106" s="228">
        <v>230502072.27096999</v>
      </c>
      <c r="H106" s="123">
        <f t="shared" si="17"/>
        <v>22.8</v>
      </c>
      <c r="I106" s="341">
        <f>IFERROR(100/'Skjema total MA'!F106*G106,0)</f>
        <v>29.580052324981676</v>
      </c>
      <c r="J106" s="234">
        <f t="shared" ref="J106" si="43">SUM(B106,F106)</f>
        <v>187692639.68900001</v>
      </c>
      <c r="K106" s="36">
        <f t="shared" ref="K106" si="44">SUM(C106,G106)</f>
        <v>230502072.27096999</v>
      </c>
      <c r="L106" s="206">
        <f t="shared" si="19"/>
        <v>22.8</v>
      </c>
      <c r="M106" s="20">
        <f>IFERROR(100/'Skjema total MA'!I106*K106,0)</f>
        <v>29.580052324981676</v>
      </c>
    </row>
    <row r="107" spans="1:13" ht="15.6" x14ac:dyDescent="0.25">
      <c r="A107" s="18" t="s">
        <v>207</v>
      </c>
      <c r="B107" s="181">
        <v>1104751.9669999999</v>
      </c>
      <c r="C107" s="109">
        <v>1073253.0249999999</v>
      </c>
      <c r="D107" s="123">
        <f t="shared" si="16"/>
        <v>-2.9</v>
      </c>
      <c r="E107" s="23">
        <f>IFERROR(100/'Skjema total MA'!C107*C107,0)</f>
        <v>26.235569185704797</v>
      </c>
      <c r="F107" s="181">
        <v>308559.92217999999</v>
      </c>
      <c r="G107" s="109">
        <v>315094.03899999999</v>
      </c>
      <c r="H107" s="123">
        <f t="shared" si="17"/>
        <v>2.1</v>
      </c>
      <c r="I107" s="23">
        <f>IFERROR(100/'Skjema total MA'!F107*G107,0)</f>
        <v>73.930550266799543</v>
      </c>
      <c r="J107" s="234">
        <f t="shared" si="32"/>
        <v>1413311.8891799999</v>
      </c>
      <c r="K107" s="36">
        <f t="shared" si="32"/>
        <v>1388347.0639999998</v>
      </c>
      <c r="L107" s="206">
        <f t="shared" si="19"/>
        <v>-1.8</v>
      </c>
      <c r="M107" s="23">
        <f>IFERROR(100/'Skjema total MA'!I107*K107,0)</f>
        <v>30.735807473953344</v>
      </c>
    </row>
    <row r="108" spans="1:13" ht="15.6" x14ac:dyDescent="0.25">
      <c r="A108" s="18" t="s">
        <v>208</v>
      </c>
      <c r="B108" s="181">
        <v>133286309.69400001</v>
      </c>
      <c r="C108" s="181">
        <v>132239898</v>
      </c>
      <c r="D108" s="123">
        <f t="shared" si="16"/>
        <v>-0.8</v>
      </c>
      <c r="E108" s="23">
        <f>IFERROR(100/'Skjema total MA'!C108*C108,0)</f>
        <v>39.754563584284263</v>
      </c>
      <c r="F108" s="181">
        <v>2124568.3050000002</v>
      </c>
      <c r="G108" s="181">
        <v>2968816.8716475</v>
      </c>
      <c r="H108" s="123">
        <f t="shared" si="17"/>
        <v>39.700000000000003</v>
      </c>
      <c r="I108" s="23">
        <f>IFERROR(100/'Skjema total MA'!F108*G108,0)</f>
        <v>11.369290831310428</v>
      </c>
      <c r="J108" s="234">
        <f t="shared" si="32"/>
        <v>135410877.99900001</v>
      </c>
      <c r="K108" s="36">
        <f t="shared" si="32"/>
        <v>135208714.87164751</v>
      </c>
      <c r="L108" s="206">
        <f t="shared" si="19"/>
        <v>-0.1</v>
      </c>
      <c r="M108" s="23">
        <f>IFERROR(100/'Skjema total MA'!I108*K108,0)</f>
        <v>37.688483808998534</v>
      </c>
    </row>
    <row r="109" spans="1:13" ht="15.6" x14ac:dyDescent="0.25">
      <c r="A109" s="18" t="s">
        <v>209</v>
      </c>
      <c r="B109" s="181">
        <v>85395.714999999997</v>
      </c>
      <c r="C109" s="181">
        <v>79689.918520000007</v>
      </c>
      <c r="D109" s="123">
        <f t="shared" si="16"/>
        <v>-6.7</v>
      </c>
      <c r="E109" s="23">
        <f>IFERROR(100/'Skjema total MA'!C109*C109,0)</f>
        <v>3.0688399764236487</v>
      </c>
      <c r="F109" s="181">
        <v>72181612</v>
      </c>
      <c r="G109" s="181">
        <v>89674943</v>
      </c>
      <c r="H109" s="123">
        <f t="shared" si="17"/>
        <v>24.2</v>
      </c>
      <c r="I109" s="23">
        <f>IFERROR(100/'Skjema total MA'!F109*G109,0)</f>
        <v>29.314481703449857</v>
      </c>
      <c r="J109" s="234">
        <f t="shared" si="32"/>
        <v>72267007.715000004</v>
      </c>
      <c r="K109" s="36">
        <f t="shared" si="32"/>
        <v>89754632.918520004</v>
      </c>
      <c r="L109" s="206">
        <f t="shared" si="19"/>
        <v>24.2</v>
      </c>
      <c r="M109" s="23">
        <f>IFERROR(100/'Skjema total MA'!I109*K109,0)</f>
        <v>29.093566086433118</v>
      </c>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v>244350</v>
      </c>
      <c r="C111" s="118">
        <v>524211</v>
      </c>
      <c r="D111" s="127">
        <f t="shared" si="16"/>
        <v>114.5</v>
      </c>
      <c r="E111" s="8">
        <f>IFERROR(100/'Skjema total MA'!C111*C111,0)</f>
        <v>21.232027676799216</v>
      </c>
      <c r="F111" s="253">
        <v>15425628</v>
      </c>
      <c r="G111" s="118">
        <v>23072674.954</v>
      </c>
      <c r="H111" s="127">
        <f t="shared" si="17"/>
        <v>49.6</v>
      </c>
      <c r="I111" s="8">
        <f>IFERROR(100/'Skjema total MA'!F111*G111,0)</f>
        <v>33.483986674237094</v>
      </c>
      <c r="J111" s="254">
        <f t="shared" si="32"/>
        <v>15669978</v>
      </c>
      <c r="K111" s="183">
        <f t="shared" si="32"/>
        <v>23596885.954</v>
      </c>
      <c r="L111" s="349">
        <f t="shared" si="19"/>
        <v>50.6</v>
      </c>
      <c r="M111" s="8">
        <f>IFERROR(100/'Skjema total MA'!I111*K111,0)</f>
        <v>33.060177185213291</v>
      </c>
    </row>
    <row r="112" spans="1:13" x14ac:dyDescent="0.25">
      <c r="A112" s="18" t="s">
        <v>197</v>
      </c>
      <c r="B112" s="181">
        <v>244350</v>
      </c>
      <c r="C112" s="109">
        <v>524211</v>
      </c>
      <c r="D112" s="123">
        <f t="shared" ref="D112:D124" si="45">IF(B112=0, "    ---- ", IF(ABS(ROUND(100/B112*C112-100,1))&lt;999,ROUND(100/B112*C112-100,1),IF(ROUND(100/B112*C112-100,1)&gt;999,999,-999)))</f>
        <v>114.5</v>
      </c>
      <c r="E112" s="23">
        <f>IFERROR(100/'Skjema total MA'!C112*C112,0)</f>
        <v>23.378462375965999</v>
      </c>
      <c r="F112" s="181"/>
      <c r="G112" s="109"/>
      <c r="H112" s="123"/>
      <c r="I112" s="23"/>
      <c r="J112" s="234">
        <f t="shared" ref="J112:K125" si="46">SUM(B112,F112)</f>
        <v>244350</v>
      </c>
      <c r="K112" s="36">
        <f t="shared" si="46"/>
        <v>524211</v>
      </c>
      <c r="L112" s="206">
        <f t="shared" ref="L112:L125" si="47">IF(J112=0, "    ---- ", IF(ABS(ROUND(100/J112*K112-100,1))&lt;999,ROUND(100/J112*K112-100,1),IF(ROUND(100/J112*K112-100,1)&gt;999,999,-999)))</f>
        <v>114.5</v>
      </c>
      <c r="M112" s="23">
        <f>IFERROR(100/'Skjema total MA'!I112*K112,0)</f>
        <v>23.298746318889087</v>
      </c>
    </row>
    <row r="113" spans="1:13" x14ac:dyDescent="0.25">
      <c r="A113" s="18" t="s">
        <v>198</v>
      </c>
      <c r="B113" s="181"/>
      <c r="C113" s="109"/>
      <c r="D113" s="123"/>
      <c r="E113" s="23"/>
      <c r="F113" s="181">
        <v>15425628</v>
      </c>
      <c r="G113" s="109">
        <v>23072674.954</v>
      </c>
      <c r="H113" s="123">
        <f t="shared" ref="H113:H125" si="48">IF(F113=0, "    ---- ", IF(ABS(ROUND(100/F113*G113-100,1))&lt;999,ROUND(100/F113*G113-100,1),IF(ROUND(100/F113*G113-100,1)&gt;999,999,-999)))</f>
        <v>49.6</v>
      </c>
      <c r="I113" s="23">
        <f>IFERROR(100/'Skjema total MA'!F113*G113,0)</f>
        <v>33.718443935357328</v>
      </c>
      <c r="J113" s="234">
        <f t="shared" si="46"/>
        <v>15425628</v>
      </c>
      <c r="K113" s="36">
        <f t="shared" si="46"/>
        <v>23072674.954</v>
      </c>
      <c r="L113" s="206">
        <f t="shared" si="47"/>
        <v>49.6</v>
      </c>
      <c r="M113" s="23">
        <f>IFERROR(100/'Skjema total MA'!I113*K113,0)</f>
        <v>33.700284458247324</v>
      </c>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v>32635.010470000001</v>
      </c>
      <c r="C116" s="181">
        <v>38511.134420000002</v>
      </c>
      <c r="D116" s="123">
        <f t="shared" si="45"/>
        <v>18</v>
      </c>
      <c r="E116" s="23">
        <f>IFERROR(100/'Skjema total MA'!C116*C116,0)</f>
        <v>3.7832830952430827</v>
      </c>
      <c r="F116" s="181"/>
      <c r="G116" s="181"/>
      <c r="H116" s="123"/>
      <c r="I116" s="23"/>
      <c r="J116" s="234">
        <f t="shared" si="46"/>
        <v>32635.010470000001</v>
      </c>
      <c r="K116" s="36">
        <f t="shared" si="46"/>
        <v>38511.134420000002</v>
      </c>
      <c r="L116" s="206">
        <f t="shared" si="47"/>
        <v>18</v>
      </c>
      <c r="M116" s="23">
        <f>IFERROR(100/'Skjema total MA'!I116*K116,0)</f>
        <v>3.7549826087775293</v>
      </c>
    </row>
    <row r="117" spans="1:13" ht="15.6" x14ac:dyDescent="0.25">
      <c r="A117" s="18" t="s">
        <v>209</v>
      </c>
      <c r="B117" s="181"/>
      <c r="C117" s="181"/>
      <c r="D117" s="123"/>
      <c r="E117" s="23"/>
      <c r="F117" s="181">
        <v>11858811.75</v>
      </c>
      <c r="G117" s="181">
        <v>16105132.318050001</v>
      </c>
      <c r="H117" s="123">
        <f t="shared" si="48"/>
        <v>35.799999999999997</v>
      </c>
      <c r="I117" s="23">
        <f>IFERROR(100/'Skjema total MA'!F117*G117,0)</f>
        <v>38.017224813718997</v>
      </c>
      <c r="J117" s="234">
        <f t="shared" si="46"/>
        <v>11858811.75</v>
      </c>
      <c r="K117" s="36">
        <f t="shared" si="46"/>
        <v>16105132.318050001</v>
      </c>
      <c r="L117" s="206">
        <f t="shared" si="47"/>
        <v>35.799999999999997</v>
      </c>
      <c r="M117" s="23">
        <f>IFERROR(100/'Skjema total MA'!I117*K117,0)</f>
        <v>38.017224813718997</v>
      </c>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v>90649</v>
      </c>
      <c r="C119" s="118">
        <v>-434834</v>
      </c>
      <c r="D119" s="127">
        <f t="shared" si="45"/>
        <v>-579.70000000000005</v>
      </c>
      <c r="E119" s="8">
        <f>IFERROR(100/'Skjema total MA'!C119*C119,0)</f>
        <v>-193.71834598956218</v>
      </c>
      <c r="F119" s="253">
        <v>17574977</v>
      </c>
      <c r="G119" s="118">
        <v>22187212</v>
      </c>
      <c r="H119" s="127">
        <f t="shared" si="48"/>
        <v>26.2</v>
      </c>
      <c r="I119" s="8">
        <f>IFERROR(100/'Skjema total MA'!F119*G119,0)</f>
        <v>30.305603568715195</v>
      </c>
      <c r="J119" s="254">
        <f t="shared" si="46"/>
        <v>17665626</v>
      </c>
      <c r="K119" s="183">
        <f t="shared" si="46"/>
        <v>21752378</v>
      </c>
      <c r="L119" s="349">
        <f t="shared" si="47"/>
        <v>23.1</v>
      </c>
      <c r="M119" s="8">
        <f>IFERROR(100/'Skjema total MA'!I119*K119,0)</f>
        <v>29.620844355221458</v>
      </c>
    </row>
    <row r="120" spans="1:13" x14ac:dyDescent="0.25">
      <c r="A120" s="18" t="s">
        <v>197</v>
      </c>
      <c r="B120" s="181">
        <v>90649</v>
      </c>
      <c r="C120" s="109">
        <v>-434834</v>
      </c>
      <c r="D120" s="123">
        <f t="shared" si="45"/>
        <v>-579.70000000000005</v>
      </c>
      <c r="E120" s="23">
        <f>IFERROR(100/'Skjema total MA'!C120*C120,0)</f>
        <v>155.08132651890696</v>
      </c>
      <c r="F120" s="181"/>
      <c r="G120" s="109"/>
      <c r="H120" s="123"/>
      <c r="I120" s="23"/>
      <c r="J120" s="234">
        <f t="shared" si="46"/>
        <v>90649</v>
      </c>
      <c r="K120" s="36">
        <f t="shared" si="46"/>
        <v>-434834</v>
      </c>
      <c r="L120" s="206">
        <f t="shared" si="47"/>
        <v>-579.70000000000005</v>
      </c>
      <c r="M120" s="23">
        <f>IFERROR(100/'Skjema total MA'!I120*K120,0)</f>
        <v>155.08132651890696</v>
      </c>
    </row>
    <row r="121" spans="1:13" x14ac:dyDescent="0.25">
      <c r="A121" s="18" t="s">
        <v>198</v>
      </c>
      <c r="B121" s="181"/>
      <c r="C121" s="109"/>
      <c r="D121" s="123"/>
      <c r="E121" s="23"/>
      <c r="F121" s="181">
        <v>17574977</v>
      </c>
      <c r="G121" s="109">
        <v>22187212</v>
      </c>
      <c r="H121" s="123">
        <f t="shared" si="48"/>
        <v>26.2</v>
      </c>
      <c r="I121" s="23">
        <f>IFERROR(100/'Skjema total MA'!F121*G121,0)</f>
        <v>30.305603568715195</v>
      </c>
      <c r="J121" s="234">
        <f t="shared" si="46"/>
        <v>17574977</v>
      </c>
      <c r="K121" s="36">
        <f t="shared" si="46"/>
        <v>22187212</v>
      </c>
      <c r="L121" s="206">
        <f t="shared" si="47"/>
        <v>26.2</v>
      </c>
      <c r="M121" s="23">
        <f>IFERROR(100/'Skjema total MA'!I121*K121,0)</f>
        <v>30.282468155472802</v>
      </c>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v>19588.527999999998</v>
      </c>
      <c r="C124" s="181">
        <v>20039.942999999999</v>
      </c>
      <c r="D124" s="123">
        <f t="shared" si="45"/>
        <v>2.2999999999999998</v>
      </c>
      <c r="E124" s="23">
        <f>IFERROR(100/'Skjema total MA'!C124*C124,0)</f>
        <v>75.394884653210951</v>
      </c>
      <c r="F124" s="181"/>
      <c r="G124" s="181"/>
      <c r="H124" s="123"/>
      <c r="I124" s="23"/>
      <c r="J124" s="234">
        <f t="shared" si="46"/>
        <v>19588.527999999998</v>
      </c>
      <c r="K124" s="36">
        <f t="shared" si="46"/>
        <v>20039.942999999999</v>
      </c>
      <c r="L124" s="206">
        <f t="shared" si="47"/>
        <v>2.2999999999999998</v>
      </c>
      <c r="M124" s="23">
        <f>IFERROR(100/'Skjema total MA'!I124*K124,0)</f>
        <v>23.357767951454399</v>
      </c>
    </row>
    <row r="125" spans="1:13" ht="15.6" x14ac:dyDescent="0.25">
      <c r="A125" s="18" t="s">
        <v>209</v>
      </c>
      <c r="B125" s="181"/>
      <c r="C125" s="181"/>
      <c r="D125" s="123"/>
      <c r="E125" s="23"/>
      <c r="F125" s="181">
        <v>12223053.42</v>
      </c>
      <c r="G125" s="181">
        <v>15256258.81879</v>
      </c>
      <c r="H125" s="123">
        <f t="shared" si="48"/>
        <v>24.8</v>
      </c>
      <c r="I125" s="23">
        <f>IFERROR(100/'Skjema total MA'!F125*G125,0)</f>
        <v>37.106304834956845</v>
      </c>
      <c r="J125" s="234">
        <f t="shared" si="46"/>
        <v>12223053.42</v>
      </c>
      <c r="K125" s="36">
        <f t="shared" si="46"/>
        <v>15256258.81879</v>
      </c>
      <c r="L125" s="206">
        <f t="shared" si="47"/>
        <v>24.8</v>
      </c>
      <c r="M125" s="23">
        <f>IFERROR(100/'Skjema total MA'!I125*K125,0)</f>
        <v>37.104397201550476</v>
      </c>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69:A74">
    <cfRule type="expression" dxfId="1332" priority="10">
      <formula>kvartal &lt; 4</formula>
    </cfRule>
  </conditionalFormatting>
  <conditionalFormatting sqref="A80:A85">
    <cfRule type="expression" dxfId="1331" priority="9">
      <formula>kvartal &lt; 4</formula>
    </cfRule>
  </conditionalFormatting>
  <conditionalFormatting sqref="A90:A95">
    <cfRule type="expression" dxfId="1330" priority="6">
      <formula>kvartal &lt; 4</formula>
    </cfRule>
  </conditionalFormatting>
  <conditionalFormatting sqref="A101:A106">
    <cfRule type="expression" dxfId="1329" priority="5">
      <formula>kvartal &lt; 4</formula>
    </cfRule>
  </conditionalFormatting>
  <conditionalFormatting sqref="A50:C52">
    <cfRule type="expression" dxfId="1328" priority="12">
      <formula>kvartal &lt; 4</formula>
    </cfRule>
  </conditionalFormatting>
  <conditionalFormatting sqref="A115:C115">
    <cfRule type="expression" dxfId="1327" priority="4">
      <formula>kvartal &lt; 4</formula>
    </cfRule>
  </conditionalFormatting>
  <conditionalFormatting sqref="A123:C123">
    <cfRule type="expression" dxfId="1326" priority="3">
      <formula>kvartal &lt; 4</formula>
    </cfRule>
  </conditionalFormatting>
  <conditionalFormatting sqref="B69:C69">
    <cfRule type="expression" dxfId="1325" priority="99">
      <formula>kvartal &lt; 4</formula>
    </cfRule>
  </conditionalFormatting>
  <conditionalFormatting sqref="B72:C72">
    <cfRule type="expression" dxfId="1324" priority="97">
      <formula>kvartal &lt; 4</formula>
    </cfRule>
  </conditionalFormatting>
  <conditionalFormatting sqref="B80:C80">
    <cfRule type="expression" dxfId="1323" priority="95">
      <formula>kvartal &lt; 4</formula>
    </cfRule>
  </conditionalFormatting>
  <conditionalFormatting sqref="B83:C83">
    <cfRule type="expression" dxfId="1322" priority="93">
      <formula>kvartal &lt; 4</formula>
    </cfRule>
  </conditionalFormatting>
  <conditionalFormatting sqref="B90:C90">
    <cfRule type="expression" dxfId="1321" priority="83">
      <formula>kvartal &lt; 4</formula>
    </cfRule>
  </conditionalFormatting>
  <conditionalFormatting sqref="B93:C93">
    <cfRule type="expression" dxfId="1320" priority="81">
      <formula>kvartal &lt; 4</formula>
    </cfRule>
  </conditionalFormatting>
  <conditionalFormatting sqref="B101:C101">
    <cfRule type="expression" dxfId="1319" priority="79">
      <formula>kvartal &lt; 4</formula>
    </cfRule>
  </conditionalFormatting>
  <conditionalFormatting sqref="B104:C104">
    <cfRule type="expression" dxfId="1318" priority="77">
      <formula>kvartal &lt; 4</formula>
    </cfRule>
  </conditionalFormatting>
  <conditionalFormatting sqref="F69:G74">
    <cfRule type="expression" dxfId="1317" priority="54">
      <formula>kvartal &lt; 4</formula>
    </cfRule>
  </conditionalFormatting>
  <conditionalFormatting sqref="F80:G85">
    <cfRule type="expression" dxfId="1316" priority="52">
      <formula>kvartal &lt; 4</formula>
    </cfRule>
  </conditionalFormatting>
  <conditionalFormatting sqref="F90:G95">
    <cfRule type="expression" dxfId="1315" priority="44">
      <formula>kvartal &lt; 4</formula>
    </cfRule>
  </conditionalFormatting>
  <conditionalFormatting sqref="F101:G106">
    <cfRule type="expression" dxfId="1314" priority="40">
      <formula>kvartal &lt; 4</formula>
    </cfRule>
  </conditionalFormatting>
  <conditionalFormatting sqref="F115:G115">
    <cfRule type="expression" dxfId="1313" priority="57">
      <formula>kvartal &lt; 4</formula>
    </cfRule>
  </conditionalFormatting>
  <conditionalFormatting sqref="F123:G123">
    <cfRule type="expression" dxfId="1312" priority="56">
      <formula>kvartal &lt; 4</formula>
    </cfRule>
  </conditionalFormatting>
  <conditionalFormatting sqref="J69:K71 J73:K73">
    <cfRule type="expression" dxfId="1311" priority="39">
      <formula>kvartal &lt; 4</formula>
    </cfRule>
  </conditionalFormatting>
  <conditionalFormatting sqref="J80:K82 J84:K84">
    <cfRule type="expression" dxfId="1310" priority="37">
      <formula>kvartal &lt; 4</formula>
    </cfRule>
  </conditionalFormatting>
  <conditionalFormatting sqref="J92:K92 J94:K94">
    <cfRule type="expression" dxfId="1309" priority="34">
      <formula>kvartal &lt; 4</formula>
    </cfRule>
  </conditionalFormatting>
  <conditionalFormatting sqref="J101:K103 J105:K105">
    <cfRule type="expression" dxfId="1308" priority="33">
      <formula>kvartal &lt; 4</formula>
    </cfRule>
  </conditionalFormatting>
  <conditionalFormatting sqref="J115:K115">
    <cfRule type="expression" dxfId="1307" priority="32">
      <formula>kvartal &lt; 4</formula>
    </cfRule>
  </conditionalFormatting>
  <conditionalFormatting sqref="J123:K123">
    <cfRule type="expression" dxfId="1306" priority="31">
      <formula>kvartal &lt; 4</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1DA9-89CE-4218-BAD2-ABC9A5D34523}">
  <sheetPr codeName="Ark8"/>
  <dimension ref="A1:O144"/>
  <sheetViews>
    <sheetView showGridLines="0" workbookViewId="0"/>
  </sheetViews>
  <sheetFormatPr baseColWidth="10" defaultColWidth="11.44140625" defaultRowHeight="13.2" x14ac:dyDescent="0.25"/>
  <cols>
    <col min="1" max="1" width="52.664062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5" width="6.33203125" style="22" bestFit="1" customWidth="1"/>
    <col min="16" max="16384" width="11.44140625" style="1"/>
  </cols>
  <sheetData>
    <row r="1" spans="1:15" x14ac:dyDescent="0.25">
      <c r="A1" s="128" t="s">
        <v>220</v>
      </c>
      <c r="B1" s="735"/>
      <c r="C1" s="197" t="s">
        <v>48</v>
      </c>
      <c r="O1" s="733" t="e">
        <f>kvartal</f>
        <v>#REF!</v>
      </c>
    </row>
    <row r="2" spans="1:15" ht="15.6" x14ac:dyDescent="0.3">
      <c r="A2" s="110" t="s">
        <v>165</v>
      </c>
      <c r="B2" s="779"/>
      <c r="C2" s="779"/>
      <c r="D2" s="779"/>
      <c r="E2" s="245"/>
      <c r="F2" s="779"/>
      <c r="G2" s="779"/>
      <c r="H2" s="779"/>
      <c r="I2" s="245"/>
      <c r="J2" s="779"/>
      <c r="K2" s="779"/>
      <c r="L2" s="779"/>
      <c r="M2" s="245"/>
    </row>
    <row r="3" spans="1:15" ht="15.6" x14ac:dyDescent="0.3">
      <c r="A3" s="122"/>
      <c r="B3" s="245"/>
      <c r="C3" s="245"/>
      <c r="D3" s="245"/>
      <c r="E3" s="245"/>
      <c r="F3" s="245"/>
      <c r="G3" s="245"/>
      <c r="H3" s="245"/>
      <c r="I3" s="245"/>
      <c r="J3" s="245"/>
      <c r="K3" s="245"/>
      <c r="L3" s="245"/>
      <c r="M3" s="245"/>
    </row>
    <row r="4" spans="1:15" x14ac:dyDescent="0.25">
      <c r="A4" s="108"/>
      <c r="B4" s="775" t="s">
        <v>46</v>
      </c>
      <c r="C4" s="776"/>
      <c r="D4" s="776"/>
      <c r="E4" s="247"/>
      <c r="F4" s="775" t="s">
        <v>70</v>
      </c>
      <c r="G4" s="776"/>
      <c r="H4" s="776"/>
      <c r="I4" s="249"/>
      <c r="J4" s="775" t="s">
        <v>121</v>
      </c>
      <c r="K4" s="776"/>
      <c r="L4" s="776"/>
      <c r="M4" s="249"/>
    </row>
    <row r="5" spans="1:15" x14ac:dyDescent="0.25">
      <c r="A5" s="117"/>
      <c r="B5" s="113" t="s">
        <v>491</v>
      </c>
      <c r="C5" s="113" t="s">
        <v>492</v>
      </c>
      <c r="D5" s="193" t="s">
        <v>166</v>
      </c>
      <c r="E5" s="250" t="s">
        <v>86</v>
      </c>
      <c r="F5" s="113" t="s">
        <v>491</v>
      </c>
      <c r="G5" s="113" t="s">
        <v>492</v>
      </c>
      <c r="H5" s="193" t="s">
        <v>166</v>
      </c>
      <c r="I5" s="121" t="s">
        <v>86</v>
      </c>
      <c r="J5" s="113" t="s">
        <v>491</v>
      </c>
      <c r="K5" s="113" t="s">
        <v>492</v>
      </c>
      <c r="L5" s="193" t="s">
        <v>166</v>
      </c>
      <c r="M5" s="121" t="s">
        <v>86</v>
      </c>
      <c r="O5" s="734"/>
    </row>
    <row r="6" spans="1:15" x14ac:dyDescent="0.25">
      <c r="A6" s="736"/>
      <c r="B6" s="116"/>
      <c r="C6" s="116"/>
      <c r="D6" s="195" t="s">
        <v>167</v>
      </c>
      <c r="E6" s="116" t="s">
        <v>89</v>
      </c>
      <c r="F6" s="120"/>
      <c r="G6" s="120"/>
      <c r="H6" s="193" t="s">
        <v>167</v>
      </c>
      <c r="I6" s="116" t="s">
        <v>89</v>
      </c>
      <c r="J6" s="120"/>
      <c r="K6" s="120"/>
      <c r="L6" s="193" t="s">
        <v>167</v>
      </c>
      <c r="M6" s="116" t="s">
        <v>89</v>
      </c>
    </row>
    <row r="7" spans="1:15" ht="15.6" x14ac:dyDescent="0.25">
      <c r="A7" s="11" t="s">
        <v>168</v>
      </c>
      <c r="B7" s="251"/>
      <c r="C7" s="252"/>
      <c r="D7" s="288"/>
      <c r="E7" s="8"/>
      <c r="F7" s="251"/>
      <c r="G7" s="252"/>
      <c r="H7" s="288"/>
      <c r="I7" s="119"/>
      <c r="J7" s="253"/>
      <c r="K7" s="254"/>
      <c r="L7" s="348"/>
      <c r="M7" s="8"/>
    </row>
    <row r="8" spans="1:15" ht="15.6" x14ac:dyDescent="0.25">
      <c r="A8" s="18" t="s">
        <v>169</v>
      </c>
      <c r="B8" s="228"/>
      <c r="C8" s="229"/>
      <c r="D8" s="123"/>
      <c r="E8" s="23"/>
      <c r="F8" s="232"/>
      <c r="G8" s="233"/>
      <c r="H8" s="123"/>
      <c r="I8" s="132"/>
      <c r="J8" s="181"/>
      <c r="K8" s="234"/>
      <c r="L8" s="123"/>
      <c r="M8" s="23"/>
    </row>
    <row r="9" spans="1:15" ht="15.6" x14ac:dyDescent="0.25">
      <c r="A9" s="18" t="s">
        <v>170</v>
      </c>
      <c r="B9" s="228"/>
      <c r="C9" s="229"/>
      <c r="D9" s="123"/>
      <c r="E9" s="23"/>
      <c r="F9" s="232"/>
      <c r="G9" s="233"/>
      <c r="H9" s="123"/>
      <c r="I9" s="132"/>
      <c r="J9" s="181"/>
      <c r="K9" s="234"/>
      <c r="L9" s="123"/>
      <c r="M9" s="23"/>
    </row>
    <row r="10" spans="1:15" ht="15.6" x14ac:dyDescent="0.25">
      <c r="A10" s="10" t="s">
        <v>171</v>
      </c>
      <c r="B10" s="255"/>
      <c r="C10" s="256"/>
      <c r="D10" s="127"/>
      <c r="E10" s="8"/>
      <c r="F10" s="255"/>
      <c r="G10" s="256"/>
      <c r="H10" s="127"/>
      <c r="I10" s="119"/>
      <c r="J10" s="253"/>
      <c r="K10" s="254"/>
      <c r="L10" s="349"/>
      <c r="M10" s="8"/>
    </row>
    <row r="11" spans="1:15" s="35" customFormat="1" ht="15.6" x14ac:dyDescent="0.25">
      <c r="A11" s="10" t="s">
        <v>172</v>
      </c>
      <c r="B11" s="255"/>
      <c r="C11" s="256"/>
      <c r="D11" s="127"/>
      <c r="E11" s="8"/>
      <c r="F11" s="255"/>
      <c r="G11" s="256"/>
      <c r="H11" s="127"/>
      <c r="I11" s="119"/>
      <c r="J11" s="253"/>
      <c r="K11" s="254"/>
      <c r="L11" s="349"/>
      <c r="M11" s="8"/>
      <c r="N11" s="107"/>
      <c r="O11" s="22"/>
    </row>
    <row r="12" spans="1:15" s="35" customFormat="1" ht="15.6" x14ac:dyDescent="0.25">
      <c r="A12" s="33" t="s">
        <v>173</v>
      </c>
      <c r="B12" s="257"/>
      <c r="C12" s="258"/>
      <c r="D12" s="125"/>
      <c r="E12" s="30"/>
      <c r="F12" s="257"/>
      <c r="G12" s="258"/>
      <c r="H12" s="125"/>
      <c r="I12" s="125"/>
      <c r="J12" s="259"/>
      <c r="K12" s="260"/>
      <c r="L12" s="350"/>
      <c r="M12" s="30"/>
      <c r="N12" s="107"/>
      <c r="O12" s="22"/>
    </row>
    <row r="13" spans="1:15" s="35" customFormat="1" x14ac:dyDescent="0.25">
      <c r="A13" s="107"/>
      <c r="B13" s="109"/>
      <c r="C13" s="27"/>
      <c r="D13" s="118"/>
      <c r="E13" s="118"/>
      <c r="F13" s="109"/>
      <c r="G13" s="27"/>
      <c r="H13" s="118"/>
      <c r="I13" s="118"/>
      <c r="J13" s="38"/>
      <c r="K13" s="38"/>
      <c r="L13" s="118"/>
      <c r="M13" s="118"/>
      <c r="N13" s="107"/>
      <c r="O13" s="107"/>
    </row>
    <row r="14" spans="1:15" x14ac:dyDescent="0.25">
      <c r="A14" s="114" t="s">
        <v>174</v>
      </c>
    </row>
    <row r="16" spans="1:15" ht="15.6" x14ac:dyDescent="0.3">
      <c r="A16" s="115"/>
      <c r="C16" s="106"/>
      <c r="D16" s="106"/>
      <c r="E16" s="106"/>
      <c r="F16" s="106"/>
      <c r="G16" s="106"/>
      <c r="H16" s="106"/>
      <c r="I16" s="106"/>
      <c r="J16" s="106"/>
      <c r="K16" s="106"/>
      <c r="L16" s="106"/>
      <c r="M16" s="106"/>
    </row>
    <row r="17" spans="1:13" ht="15.6" x14ac:dyDescent="0.3">
      <c r="A17" s="110" t="s">
        <v>175</v>
      </c>
      <c r="B17" s="106"/>
      <c r="C17" s="106"/>
      <c r="D17" s="112"/>
      <c r="E17" s="112"/>
      <c r="F17" s="106"/>
      <c r="G17" s="106"/>
      <c r="H17" s="106"/>
      <c r="I17" s="106"/>
      <c r="J17" s="106"/>
      <c r="K17" s="106"/>
      <c r="L17" s="106"/>
      <c r="M17" s="106"/>
    </row>
    <row r="18" spans="1:13" ht="15.6" x14ac:dyDescent="0.3">
      <c r="B18" s="778"/>
      <c r="C18" s="778"/>
      <c r="D18" s="778"/>
      <c r="E18" s="245"/>
      <c r="F18" s="778"/>
      <c r="G18" s="778"/>
      <c r="H18" s="778"/>
      <c r="I18" s="245"/>
      <c r="J18" s="778"/>
      <c r="K18" s="778"/>
      <c r="L18" s="778"/>
      <c r="M18" s="245"/>
    </row>
    <row r="19" spans="1:13" x14ac:dyDescent="0.25">
      <c r="A19" s="108"/>
      <c r="B19" s="775" t="s">
        <v>46</v>
      </c>
      <c r="C19" s="776"/>
      <c r="D19" s="776"/>
      <c r="E19" s="247"/>
      <c r="F19" s="775" t="s">
        <v>70</v>
      </c>
      <c r="G19" s="776"/>
      <c r="H19" s="776"/>
      <c r="I19" s="249"/>
      <c r="J19" s="775" t="s">
        <v>121</v>
      </c>
      <c r="K19" s="776"/>
      <c r="L19" s="776"/>
      <c r="M19" s="249"/>
    </row>
    <row r="20" spans="1:13" x14ac:dyDescent="0.25">
      <c r="A20" s="105" t="s">
        <v>176</v>
      </c>
      <c r="B20" s="190" t="s">
        <v>491</v>
      </c>
      <c r="C20" s="190" t="s">
        <v>492</v>
      </c>
      <c r="D20" s="121" t="s">
        <v>166</v>
      </c>
      <c r="E20" s="250" t="s">
        <v>86</v>
      </c>
      <c r="F20" s="190" t="s">
        <v>491</v>
      </c>
      <c r="G20" s="190" t="s">
        <v>492</v>
      </c>
      <c r="H20" s="121" t="s">
        <v>166</v>
      </c>
      <c r="I20" s="121" t="s">
        <v>86</v>
      </c>
      <c r="J20" s="190" t="s">
        <v>491</v>
      </c>
      <c r="K20" s="190" t="s">
        <v>492</v>
      </c>
      <c r="L20" s="121" t="s">
        <v>166</v>
      </c>
      <c r="M20" s="121" t="s">
        <v>86</v>
      </c>
    </row>
    <row r="21" spans="1:13" x14ac:dyDescent="0.25">
      <c r="A21" s="737"/>
      <c r="B21" s="116"/>
      <c r="C21" s="116"/>
      <c r="D21" s="195" t="s">
        <v>167</v>
      </c>
      <c r="E21" s="340" t="s">
        <v>89</v>
      </c>
      <c r="F21" s="120"/>
      <c r="G21" s="120"/>
      <c r="H21" s="193" t="s">
        <v>167</v>
      </c>
      <c r="I21" s="116" t="s">
        <v>89</v>
      </c>
      <c r="J21" s="120"/>
      <c r="K21" s="120"/>
      <c r="L21" s="116" t="s">
        <v>167</v>
      </c>
      <c r="M21" s="116" t="s">
        <v>89</v>
      </c>
    </row>
    <row r="22" spans="1:13" ht="15.6" x14ac:dyDescent="0.25">
      <c r="A22" s="11" t="s">
        <v>168</v>
      </c>
      <c r="B22" s="255"/>
      <c r="C22" s="255"/>
      <c r="D22" s="288"/>
      <c r="E22" s="8"/>
      <c r="F22" s="263"/>
      <c r="G22" s="263"/>
      <c r="H22" s="288"/>
      <c r="I22" s="119"/>
      <c r="J22" s="261"/>
      <c r="K22" s="261"/>
      <c r="L22" s="348"/>
      <c r="M22" s="21"/>
    </row>
    <row r="23" spans="1:13" ht="15.6" x14ac:dyDescent="0.25">
      <c r="A23" s="389" t="s">
        <v>177</v>
      </c>
      <c r="B23" s="228"/>
      <c r="C23" s="228"/>
      <c r="D23" s="123"/>
      <c r="E23" s="8"/>
      <c r="F23" s="237"/>
      <c r="G23" s="237"/>
      <c r="H23" s="123"/>
      <c r="I23" s="187"/>
      <c r="J23" s="237"/>
      <c r="K23" s="237"/>
      <c r="L23" s="123"/>
      <c r="M23" s="20"/>
    </row>
    <row r="24" spans="1:13" ht="15.6" x14ac:dyDescent="0.25">
      <c r="A24" s="389" t="s">
        <v>178</v>
      </c>
      <c r="B24" s="228"/>
      <c r="C24" s="228"/>
      <c r="D24" s="123"/>
      <c r="E24" s="8"/>
      <c r="F24" s="237"/>
      <c r="G24" s="237"/>
      <c r="H24" s="123"/>
      <c r="I24" s="187"/>
      <c r="J24" s="237"/>
      <c r="K24" s="237"/>
      <c r="L24" s="123"/>
      <c r="M24" s="20"/>
    </row>
    <row r="25" spans="1:13" ht="15.6" x14ac:dyDescent="0.25">
      <c r="A25" s="389" t="s">
        <v>179</v>
      </c>
      <c r="B25" s="228"/>
      <c r="C25" s="228"/>
      <c r="D25" s="123"/>
      <c r="E25" s="8"/>
      <c r="F25" s="237"/>
      <c r="G25" s="237"/>
      <c r="H25" s="123"/>
      <c r="I25" s="187"/>
      <c r="J25" s="237"/>
      <c r="K25" s="237"/>
      <c r="L25" s="123"/>
      <c r="M25" s="20"/>
    </row>
    <row r="26" spans="1:13" ht="15.6" x14ac:dyDescent="0.25">
      <c r="A26" s="389" t="s">
        <v>180</v>
      </c>
      <c r="B26" s="228"/>
      <c r="C26" s="228"/>
      <c r="D26" s="123"/>
      <c r="E26" s="8"/>
      <c r="F26" s="237"/>
      <c r="G26" s="237"/>
      <c r="H26" s="123"/>
      <c r="I26" s="187"/>
      <c r="J26" s="237"/>
      <c r="K26" s="237"/>
      <c r="L26" s="123"/>
      <c r="M26" s="20"/>
    </row>
    <row r="27" spans="1:13" x14ac:dyDescent="0.25">
      <c r="A27" s="389" t="s">
        <v>181</v>
      </c>
      <c r="B27" s="228"/>
      <c r="C27" s="228"/>
      <c r="D27" s="123"/>
      <c r="E27" s="8"/>
      <c r="F27" s="237"/>
      <c r="G27" s="237"/>
      <c r="H27" s="123"/>
      <c r="I27" s="187"/>
      <c r="J27" s="237"/>
      <c r="K27" s="237"/>
      <c r="L27" s="123"/>
      <c r="M27" s="20"/>
    </row>
    <row r="28" spans="1:13" ht="15.6" x14ac:dyDescent="0.25">
      <c r="A28" s="39" t="s">
        <v>182</v>
      </c>
      <c r="B28" s="36"/>
      <c r="C28" s="234"/>
      <c r="D28" s="123"/>
      <c r="E28" s="8"/>
      <c r="F28" s="181"/>
      <c r="G28" s="234"/>
      <c r="H28" s="123"/>
      <c r="I28" s="132"/>
      <c r="J28" s="36"/>
      <c r="K28" s="36"/>
      <c r="L28" s="206"/>
      <c r="M28" s="20"/>
    </row>
    <row r="29" spans="1:13" ht="15.6" x14ac:dyDescent="0.25">
      <c r="A29" s="10" t="s">
        <v>171</v>
      </c>
      <c r="B29" s="183"/>
      <c r="C29" s="183"/>
      <c r="D29" s="127"/>
      <c r="E29" s="8"/>
      <c r="F29" s="253"/>
      <c r="G29" s="253"/>
      <c r="H29" s="127"/>
      <c r="I29" s="119"/>
      <c r="J29" s="183"/>
      <c r="K29" s="183"/>
      <c r="L29" s="349"/>
      <c r="M29" s="21"/>
    </row>
    <row r="30" spans="1:13" ht="15.6" x14ac:dyDescent="0.25">
      <c r="A30" s="389" t="s">
        <v>177</v>
      </c>
      <c r="B30" s="228"/>
      <c r="C30" s="228"/>
      <c r="D30" s="123"/>
      <c r="E30" s="8"/>
      <c r="F30" s="237"/>
      <c r="G30" s="237"/>
      <c r="H30" s="123"/>
      <c r="I30" s="187"/>
      <c r="J30" s="237"/>
      <c r="K30" s="237"/>
      <c r="L30" s="123"/>
      <c r="M30" s="20"/>
    </row>
    <row r="31" spans="1:13" ht="15.6" x14ac:dyDescent="0.25">
      <c r="A31" s="389" t="s">
        <v>178</v>
      </c>
      <c r="B31" s="228"/>
      <c r="C31" s="228"/>
      <c r="D31" s="123"/>
      <c r="E31" s="8"/>
      <c r="F31" s="237"/>
      <c r="G31" s="237"/>
      <c r="H31" s="123"/>
      <c r="I31" s="187"/>
      <c r="J31" s="237"/>
      <c r="K31" s="237"/>
      <c r="L31" s="123"/>
      <c r="M31" s="20"/>
    </row>
    <row r="32" spans="1:13" ht="15.6" x14ac:dyDescent="0.25">
      <c r="A32" s="389" t="s">
        <v>179</v>
      </c>
      <c r="B32" s="228"/>
      <c r="C32" s="228"/>
      <c r="D32" s="123"/>
      <c r="E32" s="8"/>
      <c r="F32" s="237"/>
      <c r="G32" s="237"/>
      <c r="H32" s="123"/>
      <c r="I32" s="187"/>
      <c r="J32" s="237"/>
      <c r="K32" s="237"/>
      <c r="L32" s="123"/>
      <c r="M32" s="20"/>
    </row>
    <row r="33" spans="1:13" ht="15.6" x14ac:dyDescent="0.25">
      <c r="A33" s="389" t="s">
        <v>180</v>
      </c>
      <c r="B33" s="228"/>
      <c r="C33" s="228"/>
      <c r="D33" s="123"/>
      <c r="E33" s="8"/>
      <c r="F33" s="237"/>
      <c r="G33" s="237"/>
      <c r="H33" s="123"/>
      <c r="I33" s="187"/>
      <c r="J33" s="237"/>
      <c r="K33" s="237"/>
      <c r="L33" s="123"/>
      <c r="M33" s="20"/>
    </row>
    <row r="34" spans="1:13" ht="15.6" x14ac:dyDescent="0.25">
      <c r="A34" s="10" t="s">
        <v>172</v>
      </c>
      <c r="B34" s="183"/>
      <c r="C34" s="254"/>
      <c r="D34" s="127"/>
      <c r="E34" s="8"/>
      <c r="F34" s="253"/>
      <c r="G34" s="254"/>
      <c r="H34" s="127"/>
      <c r="I34" s="119"/>
      <c r="J34" s="183"/>
      <c r="K34" s="183"/>
      <c r="L34" s="349"/>
      <c r="M34" s="21"/>
    </row>
    <row r="35" spans="1:13" ht="15.6" x14ac:dyDescent="0.25">
      <c r="A35" s="10" t="s">
        <v>173</v>
      </c>
      <c r="B35" s="183"/>
      <c r="C35" s="254"/>
      <c r="D35" s="127"/>
      <c r="E35" s="8"/>
      <c r="F35" s="253"/>
      <c r="G35" s="254"/>
      <c r="H35" s="127"/>
      <c r="I35" s="119"/>
      <c r="J35" s="183"/>
      <c r="K35" s="183"/>
      <c r="L35" s="349"/>
      <c r="M35" s="21"/>
    </row>
    <row r="36" spans="1:13" ht="15.6" x14ac:dyDescent="0.25">
      <c r="A36" s="9" t="s">
        <v>184</v>
      </c>
      <c r="B36" s="183"/>
      <c r="C36" s="254"/>
      <c r="D36" s="127"/>
      <c r="E36" s="8"/>
      <c r="F36" s="264"/>
      <c r="G36" s="265"/>
      <c r="H36" s="127"/>
      <c r="I36" s="351"/>
      <c r="J36" s="183"/>
      <c r="K36" s="183"/>
      <c r="L36" s="349"/>
      <c r="M36" s="21"/>
    </row>
    <row r="37" spans="1:13" ht="15.6" x14ac:dyDescent="0.25">
      <c r="A37" s="9" t="s">
        <v>185</v>
      </c>
      <c r="B37" s="183"/>
      <c r="C37" s="254"/>
      <c r="D37" s="127"/>
      <c r="E37" s="8"/>
      <c r="F37" s="264"/>
      <c r="G37" s="266"/>
      <c r="H37" s="127"/>
      <c r="I37" s="351"/>
      <c r="J37" s="183"/>
      <c r="K37" s="183"/>
      <c r="L37" s="349"/>
      <c r="M37" s="21"/>
    </row>
    <row r="38" spans="1:13" ht="15.6" x14ac:dyDescent="0.25">
      <c r="A38" s="9" t="s">
        <v>186</v>
      </c>
      <c r="B38" s="183"/>
      <c r="C38" s="254"/>
      <c r="D38" s="127"/>
      <c r="E38" s="21"/>
      <c r="F38" s="264"/>
      <c r="G38" s="265"/>
      <c r="H38" s="127"/>
      <c r="I38" s="351"/>
      <c r="J38" s="183"/>
      <c r="K38" s="183"/>
      <c r="L38" s="349"/>
      <c r="M38" s="21"/>
    </row>
    <row r="39" spans="1:13" ht="15.6" x14ac:dyDescent="0.25">
      <c r="A39" s="15" t="s">
        <v>187</v>
      </c>
      <c r="B39" s="223"/>
      <c r="C39" s="260"/>
      <c r="D39" s="125"/>
      <c r="E39" s="30"/>
      <c r="F39" s="267"/>
      <c r="G39" s="268"/>
      <c r="H39" s="125"/>
      <c r="I39" s="125"/>
      <c r="J39" s="183"/>
      <c r="K39" s="183"/>
      <c r="L39" s="350"/>
      <c r="M39" s="30"/>
    </row>
    <row r="40" spans="1:13" ht="15.6" x14ac:dyDescent="0.3">
      <c r="A40" s="35"/>
      <c r="B40" s="205"/>
      <c r="C40" s="205"/>
      <c r="D40" s="780"/>
      <c r="E40" s="780"/>
      <c r="F40" s="780"/>
      <c r="G40" s="780"/>
      <c r="H40" s="780"/>
      <c r="I40" s="780"/>
      <c r="J40" s="780"/>
      <c r="K40" s="780"/>
      <c r="L40" s="780"/>
      <c r="M40" s="245"/>
    </row>
    <row r="41" spans="1:13" x14ac:dyDescent="0.25">
      <c r="A41" s="115"/>
    </row>
    <row r="42" spans="1:13" ht="15.6" x14ac:dyDescent="0.3">
      <c r="A42" s="110" t="s">
        <v>188</v>
      </c>
      <c r="B42" s="779"/>
      <c r="C42" s="779"/>
      <c r="D42" s="779"/>
      <c r="E42" s="245"/>
      <c r="F42" s="779"/>
      <c r="G42" s="779"/>
      <c r="H42" s="779"/>
      <c r="I42" s="245"/>
      <c r="J42" s="779"/>
      <c r="K42" s="779"/>
      <c r="L42" s="779"/>
      <c r="M42" s="245"/>
    </row>
    <row r="43" spans="1:13" ht="15.6" x14ac:dyDescent="0.3">
      <c r="A43" s="122"/>
      <c r="B43" s="248"/>
      <c r="C43" s="248"/>
      <c r="D43" s="248"/>
      <c r="E43" s="248"/>
      <c r="F43" s="245"/>
      <c r="G43" s="245"/>
      <c r="H43" s="245"/>
      <c r="I43" s="245"/>
      <c r="J43" s="245"/>
      <c r="K43" s="245"/>
      <c r="L43" s="245"/>
      <c r="M43" s="245"/>
    </row>
    <row r="44" spans="1:13" ht="15.6" x14ac:dyDescent="0.3">
      <c r="A44" s="196"/>
      <c r="B44" s="775" t="s">
        <v>46</v>
      </c>
      <c r="C44" s="776"/>
      <c r="D44" s="776"/>
      <c r="E44" s="191"/>
      <c r="F44" s="245"/>
      <c r="G44" s="245"/>
      <c r="H44" s="245"/>
      <c r="I44" s="245"/>
      <c r="J44" s="245"/>
      <c r="K44" s="245"/>
      <c r="L44" s="245"/>
      <c r="M44" s="245"/>
    </row>
    <row r="45" spans="1:13" x14ac:dyDescent="0.25">
      <c r="A45" s="105"/>
      <c r="B45" s="129" t="s">
        <v>491</v>
      </c>
      <c r="C45" s="129" t="s">
        <v>492</v>
      </c>
      <c r="D45" s="121" t="s">
        <v>166</v>
      </c>
      <c r="E45" s="121" t="s">
        <v>86</v>
      </c>
      <c r="F45" s="131"/>
      <c r="G45" s="131"/>
      <c r="H45" s="130"/>
      <c r="I45" s="130"/>
      <c r="J45" s="131"/>
      <c r="K45" s="131"/>
      <c r="L45" s="130"/>
      <c r="M45" s="130"/>
    </row>
    <row r="46" spans="1:13" x14ac:dyDescent="0.25">
      <c r="A46" s="737"/>
      <c r="B46" s="192"/>
      <c r="C46" s="192"/>
      <c r="D46" s="193" t="s">
        <v>167</v>
      </c>
      <c r="E46" s="116" t="s">
        <v>89</v>
      </c>
      <c r="F46" s="130"/>
      <c r="G46" s="130"/>
      <c r="H46" s="130"/>
      <c r="I46" s="130"/>
      <c r="J46" s="130"/>
      <c r="K46" s="130"/>
      <c r="L46" s="130"/>
      <c r="M46" s="130"/>
    </row>
    <row r="47" spans="1:13" ht="15.6" x14ac:dyDescent="0.25">
      <c r="A47" s="11" t="s">
        <v>168</v>
      </c>
      <c r="B47" s="255">
        <v>57607</v>
      </c>
      <c r="C47" s="256">
        <v>85983</v>
      </c>
      <c r="D47" s="348">
        <f t="shared" ref="D47:D48" si="0">IF(B47=0, "    ---- ", IF(ABS(ROUND(100/B47*C47-100,1))&lt;999,ROUND(100/B47*C47-100,1),IF(ROUND(100/B47*C47-100,1)&gt;999,999,-999)))</f>
        <v>49.3</v>
      </c>
      <c r="E47" s="8">
        <f>IFERROR(100/'Skjema total MA'!C47*C47,0)</f>
        <v>1.2009336049682646</v>
      </c>
      <c r="F47" s="109"/>
      <c r="G47" s="27"/>
      <c r="H47" s="118"/>
      <c r="I47" s="118"/>
      <c r="J47" s="31"/>
      <c r="K47" s="31"/>
      <c r="L47" s="118"/>
      <c r="M47" s="118"/>
    </row>
    <row r="48" spans="1:13" ht="15.6" x14ac:dyDescent="0.25">
      <c r="A48" s="18" t="s">
        <v>189</v>
      </c>
      <c r="B48" s="228">
        <v>56618</v>
      </c>
      <c r="C48" s="229">
        <v>84894</v>
      </c>
      <c r="D48" s="206">
        <f t="shared" si="0"/>
        <v>49.9</v>
      </c>
      <c r="E48" s="23">
        <f>IFERROR(100/'Skjema total MA'!C48*C48,0)</f>
        <v>2.0784684621586771</v>
      </c>
      <c r="F48" s="109"/>
      <c r="G48" s="27"/>
      <c r="H48" s="109"/>
      <c r="I48" s="109"/>
      <c r="J48" s="27"/>
      <c r="K48" s="27"/>
      <c r="L48" s="118"/>
      <c r="M48" s="118"/>
    </row>
    <row r="49" spans="1:13" ht="15.6" x14ac:dyDescent="0.25">
      <c r="A49" s="18" t="s">
        <v>190</v>
      </c>
      <c r="B49" s="36">
        <v>989</v>
      </c>
      <c r="C49" s="234">
        <v>1089</v>
      </c>
      <c r="D49" s="206">
        <f>IF(B49=0, "    ---- ", IF(ABS(ROUND(100/B49*C49-100,1))&lt;999,ROUND(100/B49*C49-100,1),IF(ROUND(100/B49*C49-100,1)&gt;999,999,-999)))</f>
        <v>10.1</v>
      </c>
      <c r="E49" s="23">
        <f>IFERROR(100/'Skjema total MA'!C49*C49,0)</f>
        <v>3.5411985617489275E-2</v>
      </c>
      <c r="F49" s="109"/>
      <c r="G49" s="27"/>
      <c r="H49" s="109"/>
      <c r="I49" s="109"/>
      <c r="J49" s="31"/>
      <c r="K49" s="31"/>
      <c r="L49" s="118"/>
      <c r="M49" s="118"/>
    </row>
    <row r="50" spans="1:13" x14ac:dyDescent="0.25">
      <c r="A50" s="243" t="s">
        <v>191</v>
      </c>
      <c r="B50" s="237"/>
      <c r="C50" s="238"/>
      <c r="D50" s="206"/>
      <c r="E50" s="20"/>
      <c r="F50" s="109"/>
      <c r="G50" s="27"/>
      <c r="H50" s="109"/>
      <c r="I50" s="109"/>
      <c r="J50" s="27"/>
      <c r="K50" s="27"/>
      <c r="L50" s="118"/>
      <c r="M50" s="118"/>
    </row>
    <row r="51" spans="1:13" x14ac:dyDescent="0.25">
      <c r="A51" s="243" t="s">
        <v>192</v>
      </c>
      <c r="B51" s="237">
        <v>989</v>
      </c>
      <c r="C51" s="238">
        <v>1089</v>
      </c>
      <c r="D51" s="206">
        <f t="shared" ref="D51:D55" si="1">IF(B51=0, "    ---- ", IF(ABS(ROUND(100/B51*C51-100,1))&lt;999,ROUND(100/B51*C51-100,1),IF(ROUND(100/B51*C51-100,1)&gt;999,999,-999)))</f>
        <v>10.1</v>
      </c>
      <c r="E51" s="23">
        <f>IFERROR(100/'Skjema total MA'!C51*C51,0)</f>
        <v>3.6826313176880954E-2</v>
      </c>
      <c r="F51" s="109"/>
      <c r="G51" s="27"/>
      <c r="H51" s="109"/>
      <c r="I51" s="109"/>
      <c r="J51" s="27"/>
      <c r="K51" s="27"/>
      <c r="L51" s="118"/>
      <c r="M51" s="118"/>
    </row>
    <row r="52" spans="1:13" x14ac:dyDescent="0.25">
      <c r="A52" s="243" t="s">
        <v>193</v>
      </c>
      <c r="B52" s="237"/>
      <c r="C52" s="238"/>
      <c r="D52" s="206"/>
      <c r="E52" s="20"/>
      <c r="F52" s="109"/>
      <c r="G52" s="27"/>
      <c r="H52" s="109"/>
      <c r="I52" s="109"/>
      <c r="J52" s="27"/>
      <c r="K52" s="27"/>
      <c r="L52" s="118"/>
      <c r="M52" s="118"/>
    </row>
    <row r="53" spans="1:13" ht="15.6" x14ac:dyDescent="0.25">
      <c r="A53" s="10" t="s">
        <v>194</v>
      </c>
      <c r="B53" s="255">
        <v>57607</v>
      </c>
      <c r="C53" s="256">
        <v>85983</v>
      </c>
      <c r="D53" s="349">
        <f t="shared" si="1"/>
        <v>49.3</v>
      </c>
      <c r="E53" s="8">
        <f>IFERROR(100/'Skjema total MA'!C53*C53,0)</f>
        <v>26.418637982327191</v>
      </c>
      <c r="F53" s="109"/>
      <c r="G53" s="27"/>
      <c r="H53" s="109"/>
      <c r="I53" s="109"/>
      <c r="J53" s="27"/>
      <c r="K53" s="27"/>
      <c r="L53" s="118"/>
      <c r="M53" s="118"/>
    </row>
    <row r="54" spans="1:13" ht="15.6" x14ac:dyDescent="0.25">
      <c r="A54" s="18" t="s">
        <v>189</v>
      </c>
      <c r="B54" s="228">
        <v>56618</v>
      </c>
      <c r="C54" s="229">
        <v>84894</v>
      </c>
      <c r="D54" s="206">
        <f t="shared" si="1"/>
        <v>49.9</v>
      </c>
      <c r="E54" s="23">
        <f>IFERROR(100/'Skjema total MA'!C54*C54,0)</f>
        <v>26.655543617968064</v>
      </c>
      <c r="F54" s="109"/>
      <c r="G54" s="27"/>
      <c r="H54" s="109"/>
      <c r="I54" s="109"/>
      <c r="J54" s="27"/>
      <c r="K54" s="27"/>
      <c r="L54" s="118"/>
      <c r="M54" s="118"/>
    </row>
    <row r="55" spans="1:13" ht="15.6" x14ac:dyDescent="0.25">
      <c r="A55" s="18" t="s">
        <v>190</v>
      </c>
      <c r="B55" s="228">
        <v>989</v>
      </c>
      <c r="C55" s="229">
        <v>1089</v>
      </c>
      <c r="D55" s="206">
        <f t="shared" si="1"/>
        <v>10.1</v>
      </c>
      <c r="E55" s="23">
        <f>IFERROR(100/'Skjema total MA'!C55*C55,0)</f>
        <v>15.606045515483162</v>
      </c>
      <c r="F55" s="109"/>
      <c r="G55" s="27"/>
      <c r="H55" s="109"/>
      <c r="I55" s="109"/>
      <c r="J55" s="27"/>
      <c r="K55" s="27"/>
      <c r="L55" s="118"/>
      <c r="M55" s="118"/>
    </row>
    <row r="56" spans="1:13" ht="15.6" x14ac:dyDescent="0.25">
      <c r="A56" s="10" t="s">
        <v>195</v>
      </c>
      <c r="B56" s="255"/>
      <c r="C56" s="256"/>
      <c r="D56" s="349"/>
      <c r="E56" s="8"/>
      <c r="F56" s="109"/>
      <c r="G56" s="27"/>
      <c r="H56" s="109"/>
      <c r="I56" s="109"/>
      <c r="J56" s="27"/>
      <c r="K56" s="27"/>
      <c r="L56" s="118"/>
      <c r="M56" s="118"/>
    </row>
    <row r="57" spans="1:13" ht="15.6" x14ac:dyDescent="0.25">
      <c r="A57" s="18" t="s">
        <v>189</v>
      </c>
      <c r="B57" s="228"/>
      <c r="C57" s="229"/>
      <c r="D57" s="206"/>
      <c r="E57" s="23"/>
      <c r="F57" s="109"/>
      <c r="G57" s="27"/>
      <c r="H57" s="109"/>
      <c r="I57" s="109"/>
      <c r="J57" s="27"/>
      <c r="K57" s="27"/>
      <c r="L57" s="118"/>
      <c r="M57" s="118"/>
    </row>
    <row r="58" spans="1:13" ht="15.6" x14ac:dyDescent="0.25">
      <c r="A58" s="7" t="s">
        <v>190</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196</v>
      </c>
    </row>
    <row r="62" spans="1:13" ht="15.6" x14ac:dyDescent="0.3">
      <c r="B62" s="778"/>
      <c r="C62" s="778"/>
      <c r="D62" s="778"/>
      <c r="E62" s="245"/>
      <c r="F62" s="778"/>
      <c r="G62" s="778"/>
      <c r="H62" s="778"/>
      <c r="I62" s="245"/>
      <c r="J62" s="778"/>
      <c r="K62" s="778"/>
      <c r="L62" s="778"/>
      <c r="M62" s="245"/>
    </row>
    <row r="63" spans="1:13" x14ac:dyDescent="0.25">
      <c r="A63" s="108"/>
      <c r="B63" s="775" t="s">
        <v>46</v>
      </c>
      <c r="C63" s="776"/>
      <c r="D63" s="777"/>
      <c r="E63" s="246"/>
      <c r="F63" s="776" t="s">
        <v>70</v>
      </c>
      <c r="G63" s="776"/>
      <c r="H63" s="776"/>
      <c r="I63" s="249"/>
      <c r="J63" s="775" t="s">
        <v>121</v>
      </c>
      <c r="K63" s="776"/>
      <c r="L63" s="776"/>
      <c r="M63" s="249"/>
    </row>
    <row r="64" spans="1:13" x14ac:dyDescent="0.25">
      <c r="A64" s="105"/>
      <c r="B64" s="113" t="s">
        <v>491</v>
      </c>
      <c r="C64" s="113" t="s">
        <v>492</v>
      </c>
      <c r="D64" s="193" t="s">
        <v>166</v>
      </c>
      <c r="E64" s="250" t="s">
        <v>86</v>
      </c>
      <c r="F64" s="113" t="s">
        <v>491</v>
      </c>
      <c r="G64" s="113" t="s">
        <v>492</v>
      </c>
      <c r="H64" s="193" t="s">
        <v>166</v>
      </c>
      <c r="I64" s="250" t="s">
        <v>86</v>
      </c>
      <c r="J64" s="113" t="s">
        <v>491</v>
      </c>
      <c r="K64" s="113" t="s">
        <v>492</v>
      </c>
      <c r="L64" s="193" t="s">
        <v>166</v>
      </c>
      <c r="M64" s="121" t="s">
        <v>86</v>
      </c>
    </row>
    <row r="65" spans="1:13" x14ac:dyDescent="0.25">
      <c r="A65" s="737"/>
      <c r="B65" s="116"/>
      <c r="C65" s="116"/>
      <c r="D65" s="195" t="s">
        <v>167</v>
      </c>
      <c r="E65" s="116" t="s">
        <v>89</v>
      </c>
      <c r="F65" s="120"/>
      <c r="G65" s="120"/>
      <c r="H65" s="193" t="s">
        <v>167</v>
      </c>
      <c r="I65" s="116" t="s">
        <v>89</v>
      </c>
      <c r="J65" s="120"/>
      <c r="K65" s="157"/>
      <c r="L65" s="116" t="s">
        <v>167</v>
      </c>
      <c r="M65" s="116" t="s">
        <v>89</v>
      </c>
    </row>
    <row r="66" spans="1:13" ht="15.6" x14ac:dyDescent="0.25">
      <c r="A66" s="11" t="s">
        <v>168</v>
      </c>
      <c r="B66" s="291"/>
      <c r="C66" s="291"/>
      <c r="D66" s="288"/>
      <c r="E66" s="8"/>
      <c r="F66" s="290"/>
      <c r="G66" s="290"/>
      <c r="H66" s="288"/>
      <c r="I66" s="8"/>
      <c r="J66" s="254"/>
      <c r="K66" s="261"/>
      <c r="L66" s="349"/>
      <c r="M66" s="8"/>
    </row>
    <row r="67" spans="1:13" x14ac:dyDescent="0.25">
      <c r="A67" s="18" t="s">
        <v>197</v>
      </c>
      <c r="B67" s="36"/>
      <c r="C67" s="109"/>
      <c r="D67" s="123"/>
      <c r="E67" s="23"/>
      <c r="F67" s="181"/>
      <c r="G67" s="109"/>
      <c r="H67" s="123"/>
      <c r="I67" s="23"/>
      <c r="J67" s="234"/>
      <c r="K67" s="36"/>
      <c r="L67" s="206"/>
      <c r="M67" s="23"/>
    </row>
    <row r="68" spans="1:13" x14ac:dyDescent="0.25">
      <c r="A68" s="18" t="s">
        <v>198</v>
      </c>
      <c r="B68" s="239"/>
      <c r="C68" s="240"/>
      <c r="D68" s="123"/>
      <c r="E68" s="23"/>
      <c r="F68" s="239"/>
      <c r="G68" s="240"/>
      <c r="H68" s="123"/>
      <c r="I68" s="23"/>
      <c r="J68" s="234"/>
      <c r="K68" s="36"/>
      <c r="L68" s="206"/>
      <c r="M68" s="23"/>
    </row>
    <row r="69" spans="1:13" ht="15.6" x14ac:dyDescent="0.25">
      <c r="A69" s="243" t="s">
        <v>199</v>
      </c>
      <c r="B69" s="228"/>
      <c r="C69" s="228"/>
      <c r="D69" s="123"/>
      <c r="E69" s="341"/>
      <c r="F69" s="228"/>
      <c r="G69" s="228"/>
      <c r="H69" s="123"/>
      <c r="I69" s="341"/>
      <c r="J69" s="237"/>
      <c r="K69" s="237"/>
      <c r="L69" s="123"/>
      <c r="M69" s="20"/>
    </row>
    <row r="70" spans="1:13" x14ac:dyDescent="0.25">
      <c r="A70" s="243" t="s">
        <v>200</v>
      </c>
      <c r="B70" s="241"/>
      <c r="C70" s="242"/>
      <c r="D70" s="123"/>
      <c r="E70" s="341"/>
      <c r="F70" s="228"/>
      <c r="G70" s="228"/>
      <c r="H70" s="123"/>
      <c r="I70" s="341"/>
      <c r="J70" s="237"/>
      <c r="K70" s="237"/>
      <c r="L70" s="123"/>
      <c r="M70" s="20"/>
    </row>
    <row r="71" spans="1:13" x14ac:dyDescent="0.25">
      <c r="A71" s="243" t="s">
        <v>201</v>
      </c>
      <c r="B71" s="182"/>
      <c r="C71" s="236"/>
      <c r="D71" s="123"/>
      <c r="E71" s="341"/>
      <c r="F71" s="228"/>
      <c r="G71" s="228"/>
      <c r="H71" s="123"/>
      <c r="I71" s="341"/>
      <c r="J71" s="237"/>
      <c r="K71" s="237"/>
      <c r="L71" s="123"/>
      <c r="M71" s="20"/>
    </row>
    <row r="72" spans="1:13" ht="15.6" x14ac:dyDescent="0.25">
      <c r="A72" s="243" t="s">
        <v>202</v>
      </c>
      <c r="B72" s="228"/>
      <c r="C72" s="228"/>
      <c r="D72" s="123"/>
      <c r="E72" s="341"/>
      <c r="F72" s="228"/>
      <c r="G72" s="228"/>
      <c r="H72" s="123"/>
      <c r="I72" s="341"/>
      <c r="J72" s="234"/>
      <c r="K72" s="36"/>
      <c r="L72" s="206"/>
      <c r="M72" s="20"/>
    </row>
    <row r="73" spans="1:13" x14ac:dyDescent="0.25">
      <c r="A73" s="243" t="s">
        <v>200</v>
      </c>
      <c r="B73" s="182"/>
      <c r="C73" s="236"/>
      <c r="D73" s="123"/>
      <c r="E73" s="341"/>
      <c r="F73" s="228"/>
      <c r="G73" s="228"/>
      <c r="H73" s="123"/>
      <c r="I73" s="341"/>
      <c r="J73" s="237"/>
      <c r="K73" s="237"/>
      <c r="L73" s="123"/>
      <c r="M73" s="20"/>
    </row>
    <row r="74" spans="1:13" x14ac:dyDescent="0.25">
      <c r="A74" s="243" t="s">
        <v>201</v>
      </c>
      <c r="B74" s="182"/>
      <c r="C74" s="236"/>
      <c r="D74" s="123"/>
      <c r="E74" s="341"/>
      <c r="F74" s="228"/>
      <c r="G74" s="228"/>
      <c r="H74" s="123"/>
      <c r="I74" s="341"/>
      <c r="J74" s="234"/>
      <c r="K74" s="36"/>
      <c r="L74" s="206"/>
      <c r="M74" s="20"/>
    </row>
    <row r="75" spans="1:13" x14ac:dyDescent="0.25">
      <c r="A75" s="18" t="s">
        <v>203</v>
      </c>
      <c r="B75" s="181"/>
      <c r="C75" s="109"/>
      <c r="D75" s="123"/>
      <c r="E75" s="23"/>
      <c r="F75" s="181"/>
      <c r="G75" s="109"/>
      <c r="H75" s="123"/>
      <c r="I75" s="23"/>
      <c r="J75" s="234"/>
      <c r="K75" s="36"/>
      <c r="L75" s="206"/>
      <c r="M75" s="23"/>
    </row>
    <row r="76" spans="1:13" ht="20.399999999999999" x14ac:dyDescent="0.35">
      <c r="A76" s="18" t="s">
        <v>493</v>
      </c>
      <c r="B76" s="181"/>
      <c r="C76" s="109"/>
      <c r="D76" s="123"/>
      <c r="E76" s="23"/>
      <c r="F76" s="181"/>
      <c r="G76" s="109"/>
      <c r="H76" s="123"/>
      <c r="I76" s="23"/>
      <c r="J76" s="234"/>
      <c r="K76" s="36"/>
      <c r="L76" s="206"/>
      <c r="M76" s="23"/>
    </row>
    <row r="77" spans="1:13" ht="15.6" x14ac:dyDescent="0.25">
      <c r="A77" s="18" t="s">
        <v>205</v>
      </c>
      <c r="B77" s="181"/>
      <c r="C77" s="181"/>
      <c r="D77" s="123"/>
      <c r="E77" s="23"/>
      <c r="F77" s="181"/>
      <c r="G77" s="109"/>
      <c r="H77" s="123"/>
      <c r="I77" s="23"/>
      <c r="J77" s="234"/>
      <c r="K77" s="36"/>
      <c r="L77" s="206"/>
      <c r="M77" s="23"/>
    </row>
    <row r="78" spans="1:13" x14ac:dyDescent="0.25">
      <c r="A78" s="18" t="s">
        <v>197</v>
      </c>
      <c r="B78" s="181"/>
      <c r="C78" s="109"/>
      <c r="D78" s="123"/>
      <c r="E78" s="23"/>
      <c r="F78" s="181"/>
      <c r="G78" s="109"/>
      <c r="H78" s="123"/>
      <c r="I78" s="23"/>
      <c r="J78" s="234"/>
      <c r="K78" s="36"/>
      <c r="L78" s="206"/>
      <c r="M78" s="23"/>
    </row>
    <row r="79" spans="1:13" x14ac:dyDescent="0.25">
      <c r="A79" s="18" t="s">
        <v>206</v>
      </c>
      <c r="B79" s="239"/>
      <c r="C79" s="240"/>
      <c r="D79" s="123"/>
      <c r="E79" s="23"/>
      <c r="F79" s="239"/>
      <c r="G79" s="240"/>
      <c r="H79" s="123"/>
      <c r="I79" s="23"/>
      <c r="J79" s="234"/>
      <c r="K79" s="36"/>
      <c r="L79" s="206"/>
      <c r="M79" s="23"/>
    </row>
    <row r="80" spans="1:13" ht="15.6" x14ac:dyDescent="0.25">
      <c r="A80" s="243" t="s">
        <v>199</v>
      </c>
      <c r="B80" s="228"/>
      <c r="C80" s="228"/>
      <c r="D80" s="123"/>
      <c r="E80" s="341"/>
      <c r="F80" s="228"/>
      <c r="G80" s="228"/>
      <c r="H80" s="123"/>
      <c r="I80" s="341"/>
      <c r="J80" s="237"/>
      <c r="K80" s="237"/>
      <c r="L80" s="123"/>
      <c r="M80" s="20"/>
    </row>
    <row r="81" spans="1:13" x14ac:dyDescent="0.25">
      <c r="A81" s="243" t="s">
        <v>200</v>
      </c>
      <c r="B81" s="182"/>
      <c r="C81" s="236"/>
      <c r="D81" s="123"/>
      <c r="E81" s="341"/>
      <c r="F81" s="228"/>
      <c r="G81" s="228"/>
      <c r="H81" s="123"/>
      <c r="I81" s="341"/>
      <c r="J81" s="237"/>
      <c r="K81" s="237"/>
      <c r="L81" s="123"/>
      <c r="M81" s="20"/>
    </row>
    <row r="82" spans="1:13" x14ac:dyDescent="0.25">
      <c r="A82" s="243" t="s">
        <v>201</v>
      </c>
      <c r="B82" s="182"/>
      <c r="C82" s="236"/>
      <c r="D82" s="123"/>
      <c r="E82" s="341"/>
      <c r="F82" s="228"/>
      <c r="G82" s="228"/>
      <c r="H82" s="123"/>
      <c r="I82" s="341"/>
      <c r="J82" s="237"/>
      <c r="K82" s="237"/>
      <c r="L82" s="123"/>
      <c r="M82" s="20"/>
    </row>
    <row r="83" spans="1:13" ht="15.6" x14ac:dyDescent="0.25">
      <c r="A83" s="243" t="s">
        <v>202</v>
      </c>
      <c r="B83" s="228"/>
      <c r="C83" s="228"/>
      <c r="D83" s="123"/>
      <c r="E83" s="341"/>
      <c r="F83" s="228"/>
      <c r="G83" s="228"/>
      <c r="H83" s="123"/>
      <c r="I83" s="341"/>
      <c r="J83" s="234"/>
      <c r="K83" s="36"/>
      <c r="L83" s="206"/>
      <c r="M83" s="20"/>
    </row>
    <row r="84" spans="1:13" x14ac:dyDescent="0.25">
      <c r="A84" s="243" t="s">
        <v>200</v>
      </c>
      <c r="B84" s="182"/>
      <c r="C84" s="236"/>
      <c r="D84" s="123"/>
      <c r="E84" s="341"/>
      <c r="F84" s="228"/>
      <c r="G84" s="228"/>
      <c r="H84" s="123"/>
      <c r="I84" s="341"/>
      <c r="J84" s="237"/>
      <c r="K84" s="237"/>
      <c r="L84" s="123"/>
      <c r="M84" s="20"/>
    </row>
    <row r="85" spans="1:13" x14ac:dyDescent="0.25">
      <c r="A85" s="243" t="s">
        <v>201</v>
      </c>
      <c r="B85" s="182"/>
      <c r="C85" s="236"/>
      <c r="D85" s="123"/>
      <c r="E85" s="341"/>
      <c r="F85" s="228"/>
      <c r="G85" s="228"/>
      <c r="H85" s="123"/>
      <c r="I85" s="341"/>
      <c r="J85" s="234"/>
      <c r="K85" s="36"/>
      <c r="L85" s="206"/>
      <c r="M85" s="20"/>
    </row>
    <row r="86" spans="1:13" ht="15.6" x14ac:dyDescent="0.25">
      <c r="A86" s="18" t="s">
        <v>207</v>
      </c>
      <c r="B86" s="181"/>
      <c r="C86" s="109"/>
      <c r="D86" s="123"/>
      <c r="E86" s="23"/>
      <c r="F86" s="181"/>
      <c r="G86" s="109"/>
      <c r="H86" s="123"/>
      <c r="I86" s="23"/>
      <c r="J86" s="234"/>
      <c r="K86" s="36"/>
      <c r="L86" s="206"/>
      <c r="M86" s="23"/>
    </row>
    <row r="87" spans="1:13" ht="15.6" x14ac:dyDescent="0.25">
      <c r="A87" s="10" t="s">
        <v>171</v>
      </c>
      <c r="B87" s="291"/>
      <c r="C87" s="291"/>
      <c r="D87" s="127"/>
      <c r="E87" s="8"/>
      <c r="F87" s="290"/>
      <c r="G87" s="290"/>
      <c r="H87" s="127"/>
      <c r="I87" s="8"/>
      <c r="J87" s="254"/>
      <c r="K87" s="183"/>
      <c r="L87" s="349"/>
      <c r="M87" s="8"/>
    </row>
    <row r="88" spans="1:13" x14ac:dyDescent="0.25">
      <c r="A88" s="18" t="s">
        <v>197</v>
      </c>
      <c r="B88" s="181"/>
      <c r="C88" s="109"/>
      <c r="D88" s="123"/>
      <c r="E88" s="23"/>
      <c r="F88" s="181"/>
      <c r="G88" s="109"/>
      <c r="H88" s="123"/>
      <c r="I88" s="23"/>
      <c r="J88" s="234"/>
      <c r="K88" s="36"/>
      <c r="L88" s="206"/>
      <c r="M88" s="23"/>
    </row>
    <row r="89" spans="1:13" x14ac:dyDescent="0.25">
      <c r="A89" s="18" t="s">
        <v>198</v>
      </c>
      <c r="B89" s="181"/>
      <c r="C89" s="109"/>
      <c r="D89" s="123"/>
      <c r="E89" s="23"/>
      <c r="F89" s="181"/>
      <c r="G89" s="109"/>
      <c r="H89" s="123"/>
      <c r="I89" s="23"/>
      <c r="J89" s="234"/>
      <c r="K89" s="36"/>
      <c r="L89" s="206"/>
      <c r="M89" s="23"/>
    </row>
    <row r="90" spans="1:13" ht="15.6" x14ac:dyDescent="0.25">
      <c r="A90" s="243" t="s">
        <v>199</v>
      </c>
      <c r="B90" s="228"/>
      <c r="C90" s="228"/>
      <c r="D90" s="123"/>
      <c r="E90" s="341"/>
      <c r="F90" s="228"/>
      <c r="G90" s="228"/>
      <c r="H90" s="123"/>
      <c r="I90" s="341"/>
      <c r="J90" s="234"/>
      <c r="K90" s="36"/>
      <c r="L90" s="206"/>
      <c r="M90" s="20"/>
    </row>
    <row r="91" spans="1:13" x14ac:dyDescent="0.25">
      <c r="A91" s="243" t="s">
        <v>200</v>
      </c>
      <c r="B91" s="182"/>
      <c r="C91" s="236"/>
      <c r="D91" s="123"/>
      <c r="E91" s="341"/>
      <c r="F91" s="228"/>
      <c r="G91" s="228"/>
      <c r="H91" s="123"/>
      <c r="I91" s="341"/>
      <c r="J91" s="234"/>
      <c r="K91" s="36"/>
      <c r="L91" s="206"/>
      <c r="M91" s="20"/>
    </row>
    <row r="92" spans="1:13" x14ac:dyDescent="0.25">
      <c r="A92" s="243" t="s">
        <v>201</v>
      </c>
      <c r="B92" s="182"/>
      <c r="C92" s="236"/>
      <c r="D92" s="123"/>
      <c r="E92" s="341"/>
      <c r="F92" s="228"/>
      <c r="G92" s="228"/>
      <c r="H92" s="123"/>
      <c r="I92" s="341"/>
      <c r="J92" s="237"/>
      <c r="K92" s="237"/>
      <c r="L92" s="123"/>
      <c r="M92" s="20"/>
    </row>
    <row r="93" spans="1:13" ht="15.6" x14ac:dyDescent="0.25">
      <c r="A93" s="243" t="s">
        <v>202</v>
      </c>
      <c r="B93" s="228"/>
      <c r="C93" s="228"/>
      <c r="D93" s="123"/>
      <c r="E93" s="23"/>
      <c r="F93" s="228"/>
      <c r="G93" s="228"/>
      <c r="H93" s="123"/>
      <c r="I93" s="341"/>
      <c r="J93" s="234"/>
      <c r="K93" s="36"/>
      <c r="L93" s="206"/>
      <c r="M93" s="20"/>
    </row>
    <row r="94" spans="1:13" x14ac:dyDescent="0.25">
      <c r="A94" s="243" t="s">
        <v>200</v>
      </c>
      <c r="B94" s="182"/>
      <c r="C94" s="236"/>
      <c r="D94" s="123"/>
      <c r="E94" s="341"/>
      <c r="F94" s="228"/>
      <c r="G94" s="228"/>
      <c r="H94" s="123"/>
      <c r="I94" s="341"/>
      <c r="J94" s="237"/>
      <c r="K94" s="237"/>
      <c r="L94" s="123"/>
      <c r="M94" s="20"/>
    </row>
    <row r="95" spans="1:13" x14ac:dyDescent="0.25">
      <c r="A95" s="243" t="s">
        <v>201</v>
      </c>
      <c r="B95" s="182"/>
      <c r="C95" s="236"/>
      <c r="D95" s="123"/>
      <c r="E95" s="341"/>
      <c r="F95" s="228"/>
      <c r="G95" s="228"/>
      <c r="H95" s="123"/>
      <c r="I95" s="341"/>
      <c r="J95" s="234"/>
      <c r="K95" s="36"/>
      <c r="L95" s="206"/>
      <c r="M95" s="20"/>
    </row>
    <row r="96" spans="1:13" x14ac:dyDescent="0.25">
      <c r="A96" s="18" t="s">
        <v>221</v>
      </c>
      <c r="B96" s="181"/>
      <c r="C96" s="109"/>
      <c r="D96" s="123"/>
      <c r="E96" s="23"/>
      <c r="F96" s="181"/>
      <c r="G96" s="109"/>
      <c r="H96" s="123"/>
      <c r="I96" s="23"/>
      <c r="J96" s="234"/>
      <c r="K96" s="36"/>
      <c r="L96" s="206"/>
      <c r="M96" s="23"/>
    </row>
    <row r="97" spans="1:13" x14ac:dyDescent="0.25">
      <c r="A97" s="18" t="s">
        <v>222</v>
      </c>
      <c r="B97" s="181"/>
      <c r="C97" s="109"/>
      <c r="D97" s="123"/>
      <c r="E97" s="23"/>
      <c r="F97" s="181"/>
      <c r="G97" s="109"/>
      <c r="H97" s="123"/>
      <c r="I97" s="23"/>
      <c r="J97" s="234"/>
      <c r="K97" s="36"/>
      <c r="L97" s="206"/>
      <c r="M97" s="23"/>
    </row>
    <row r="98" spans="1:13" ht="15.6" x14ac:dyDescent="0.25">
      <c r="A98" s="18" t="s">
        <v>205</v>
      </c>
      <c r="B98" s="181"/>
      <c r="C98" s="181"/>
      <c r="D98" s="123"/>
      <c r="E98" s="23"/>
      <c r="F98" s="239"/>
      <c r="G98" s="239"/>
      <c r="H98" s="123"/>
      <c r="I98" s="23"/>
      <c r="J98" s="234"/>
      <c r="K98" s="36"/>
      <c r="L98" s="206"/>
      <c r="M98" s="23"/>
    </row>
    <row r="99" spans="1:13" x14ac:dyDescent="0.25">
      <c r="A99" s="18" t="s">
        <v>197</v>
      </c>
      <c r="B99" s="239"/>
      <c r="C99" s="240"/>
      <c r="D99" s="123"/>
      <c r="E99" s="23"/>
      <c r="F99" s="181"/>
      <c r="G99" s="109"/>
      <c r="H99" s="123"/>
      <c r="I99" s="23"/>
      <c r="J99" s="234"/>
      <c r="K99" s="36"/>
      <c r="L99" s="206"/>
      <c r="M99" s="23"/>
    </row>
    <row r="100" spans="1:13" x14ac:dyDescent="0.25">
      <c r="A100" s="18" t="s">
        <v>206</v>
      </c>
      <c r="B100" s="239"/>
      <c r="C100" s="240"/>
      <c r="D100" s="123"/>
      <c r="E100" s="23"/>
      <c r="F100" s="181"/>
      <c r="G100" s="181"/>
      <c r="H100" s="123"/>
      <c r="I100" s="23"/>
      <c r="J100" s="234"/>
      <c r="K100" s="36"/>
      <c r="L100" s="206"/>
      <c r="M100" s="23"/>
    </row>
    <row r="101" spans="1:13" ht="15.6" x14ac:dyDescent="0.25">
      <c r="A101" s="243" t="s">
        <v>199</v>
      </c>
      <c r="B101" s="228"/>
      <c r="C101" s="228"/>
      <c r="D101" s="123"/>
      <c r="E101" s="341"/>
      <c r="F101" s="228"/>
      <c r="G101" s="228"/>
      <c r="H101" s="123"/>
      <c r="I101" s="341"/>
      <c r="J101" s="237"/>
      <c r="K101" s="237"/>
      <c r="L101" s="123"/>
      <c r="M101" s="20"/>
    </row>
    <row r="102" spans="1:13" x14ac:dyDescent="0.25">
      <c r="A102" s="243" t="s">
        <v>200</v>
      </c>
      <c r="B102" s="182"/>
      <c r="C102" s="236"/>
      <c r="D102" s="123"/>
      <c r="E102" s="341"/>
      <c r="F102" s="228"/>
      <c r="G102" s="228"/>
      <c r="H102" s="123"/>
      <c r="I102" s="341"/>
      <c r="J102" s="237"/>
      <c r="K102" s="237"/>
      <c r="L102" s="123"/>
      <c r="M102" s="20"/>
    </row>
    <row r="103" spans="1:13" x14ac:dyDescent="0.25">
      <c r="A103" s="243" t="s">
        <v>201</v>
      </c>
      <c r="B103" s="182"/>
      <c r="C103" s="236"/>
      <c r="D103" s="123"/>
      <c r="E103" s="341"/>
      <c r="F103" s="228"/>
      <c r="G103" s="228"/>
      <c r="H103" s="123"/>
      <c r="I103" s="341"/>
      <c r="J103" s="237"/>
      <c r="K103" s="237"/>
      <c r="L103" s="123"/>
      <c r="M103" s="20"/>
    </row>
    <row r="104" spans="1:13" ht="15.6" x14ac:dyDescent="0.25">
      <c r="A104" s="243" t="s">
        <v>202</v>
      </c>
      <c r="B104" s="228"/>
      <c r="C104" s="228"/>
      <c r="D104" s="123"/>
      <c r="E104" s="23"/>
      <c r="F104" s="228"/>
      <c r="G104" s="228"/>
      <c r="H104" s="123"/>
      <c r="I104" s="341"/>
      <c r="J104" s="234"/>
      <c r="K104" s="36"/>
      <c r="L104" s="206"/>
      <c r="M104" s="20"/>
    </row>
    <row r="105" spans="1:13" x14ac:dyDescent="0.25">
      <c r="A105" s="243" t="s">
        <v>200</v>
      </c>
      <c r="B105" s="182"/>
      <c r="C105" s="236"/>
      <c r="D105" s="123"/>
      <c r="E105" s="23"/>
      <c r="F105" s="228"/>
      <c r="G105" s="228"/>
      <c r="H105" s="123"/>
      <c r="I105" s="341"/>
      <c r="J105" s="237"/>
      <c r="K105" s="237"/>
      <c r="L105" s="123"/>
      <c r="M105" s="20"/>
    </row>
    <row r="106" spans="1:13" x14ac:dyDescent="0.25">
      <c r="A106" s="243" t="s">
        <v>201</v>
      </c>
      <c r="B106" s="182"/>
      <c r="C106" s="236"/>
      <c r="D106" s="123"/>
      <c r="E106" s="23"/>
      <c r="F106" s="228"/>
      <c r="G106" s="228"/>
      <c r="H106" s="123"/>
      <c r="I106" s="341"/>
      <c r="J106" s="234"/>
      <c r="K106" s="36"/>
      <c r="L106" s="206"/>
      <c r="M106" s="20"/>
    </row>
    <row r="107" spans="1:13" ht="15.6" x14ac:dyDescent="0.25">
      <c r="A107" s="18" t="s">
        <v>207</v>
      </c>
      <c r="B107" s="181"/>
      <c r="C107" s="109"/>
      <c r="D107" s="123"/>
      <c r="E107" s="23"/>
      <c r="F107" s="181"/>
      <c r="G107" s="109"/>
      <c r="H107" s="123"/>
      <c r="I107" s="23"/>
      <c r="J107" s="234"/>
      <c r="K107" s="36"/>
      <c r="L107" s="206"/>
      <c r="M107" s="23"/>
    </row>
    <row r="108" spans="1:13" ht="15.6" x14ac:dyDescent="0.25">
      <c r="A108" s="18" t="s">
        <v>208</v>
      </c>
      <c r="B108" s="181"/>
      <c r="C108" s="181"/>
      <c r="D108" s="123"/>
      <c r="E108" s="23"/>
      <c r="F108" s="181"/>
      <c r="G108" s="181"/>
      <c r="H108" s="123"/>
      <c r="I108" s="23"/>
      <c r="J108" s="234"/>
      <c r="K108" s="36"/>
      <c r="L108" s="206"/>
      <c r="M108" s="23"/>
    </row>
    <row r="109" spans="1:13" ht="15.6" x14ac:dyDescent="0.25">
      <c r="A109" s="18" t="s">
        <v>209</v>
      </c>
      <c r="B109" s="181"/>
      <c r="C109" s="181"/>
      <c r="D109" s="123"/>
      <c r="E109" s="23"/>
      <c r="F109" s="181"/>
      <c r="G109" s="181"/>
      <c r="H109" s="123"/>
      <c r="I109" s="23"/>
      <c r="J109" s="234"/>
      <c r="K109" s="36"/>
      <c r="L109" s="206"/>
      <c r="M109" s="23"/>
    </row>
    <row r="110" spans="1:13" ht="15.6" x14ac:dyDescent="0.25">
      <c r="A110" s="18" t="s">
        <v>210</v>
      </c>
      <c r="B110" s="181"/>
      <c r="C110" s="181"/>
      <c r="D110" s="123"/>
      <c r="E110" s="23"/>
      <c r="F110" s="181"/>
      <c r="G110" s="181"/>
      <c r="H110" s="123"/>
      <c r="I110" s="23"/>
      <c r="J110" s="234"/>
      <c r="K110" s="36"/>
      <c r="L110" s="206"/>
      <c r="M110" s="23"/>
    </row>
    <row r="111" spans="1:13" ht="15.6" x14ac:dyDescent="0.25">
      <c r="A111" s="10" t="s">
        <v>172</v>
      </c>
      <c r="B111" s="253"/>
      <c r="C111" s="118"/>
      <c r="D111" s="127"/>
      <c r="E111" s="8"/>
      <c r="F111" s="253"/>
      <c r="G111" s="118"/>
      <c r="H111" s="127"/>
      <c r="I111" s="8"/>
      <c r="J111" s="254"/>
      <c r="K111" s="183"/>
      <c r="L111" s="349"/>
      <c r="M111" s="8"/>
    </row>
    <row r="112" spans="1:13" x14ac:dyDescent="0.25">
      <c r="A112" s="18" t="s">
        <v>197</v>
      </c>
      <c r="B112" s="181"/>
      <c r="C112" s="109"/>
      <c r="D112" s="123"/>
      <c r="E112" s="23"/>
      <c r="F112" s="181"/>
      <c r="G112" s="109"/>
      <c r="H112" s="123"/>
      <c r="I112" s="23"/>
      <c r="J112" s="234"/>
      <c r="K112" s="36"/>
      <c r="L112" s="206"/>
      <c r="M112" s="23"/>
    </row>
    <row r="113" spans="1:13" x14ac:dyDescent="0.25">
      <c r="A113" s="18" t="s">
        <v>198</v>
      </c>
      <c r="B113" s="181"/>
      <c r="C113" s="109"/>
      <c r="D113" s="123"/>
      <c r="E113" s="23"/>
      <c r="F113" s="181"/>
      <c r="G113" s="109"/>
      <c r="H113" s="123"/>
      <c r="I113" s="23"/>
      <c r="J113" s="234"/>
      <c r="K113" s="36"/>
      <c r="L113" s="206"/>
      <c r="M113" s="23"/>
    </row>
    <row r="114" spans="1:13" x14ac:dyDescent="0.25">
      <c r="A114" s="18" t="s">
        <v>211</v>
      </c>
      <c r="B114" s="181"/>
      <c r="C114" s="109"/>
      <c r="D114" s="123"/>
      <c r="E114" s="23"/>
      <c r="F114" s="181"/>
      <c r="G114" s="109"/>
      <c r="H114" s="123"/>
      <c r="I114" s="23"/>
      <c r="J114" s="234"/>
      <c r="K114" s="36"/>
      <c r="L114" s="206"/>
      <c r="M114" s="23"/>
    </row>
    <row r="115" spans="1:13" x14ac:dyDescent="0.25">
      <c r="A115" s="243" t="s">
        <v>212</v>
      </c>
      <c r="B115" s="228"/>
      <c r="C115" s="228"/>
      <c r="D115" s="123"/>
      <c r="E115" s="341"/>
      <c r="F115" s="228"/>
      <c r="G115" s="228"/>
      <c r="H115" s="123"/>
      <c r="I115" s="341"/>
      <c r="J115" s="237"/>
      <c r="K115" s="237"/>
      <c r="L115" s="123"/>
      <c r="M115" s="20"/>
    </row>
    <row r="116" spans="1:13" ht="15.6" x14ac:dyDescent="0.25">
      <c r="A116" s="18" t="s">
        <v>213</v>
      </c>
      <c r="B116" s="181"/>
      <c r="C116" s="181"/>
      <c r="D116" s="123"/>
      <c r="E116" s="23"/>
      <c r="F116" s="181"/>
      <c r="G116" s="181"/>
      <c r="H116" s="123"/>
      <c r="I116" s="23"/>
      <c r="J116" s="234"/>
      <c r="K116" s="36"/>
      <c r="L116" s="206"/>
      <c r="M116" s="23"/>
    </row>
    <row r="117" spans="1:13" ht="15.6" x14ac:dyDescent="0.25">
      <c r="A117" s="18" t="s">
        <v>209</v>
      </c>
      <c r="B117" s="181"/>
      <c r="C117" s="181"/>
      <c r="D117" s="123"/>
      <c r="E117" s="23"/>
      <c r="F117" s="181"/>
      <c r="G117" s="181"/>
      <c r="H117" s="123"/>
      <c r="I117" s="23"/>
      <c r="J117" s="234"/>
      <c r="K117" s="36"/>
      <c r="L117" s="206"/>
      <c r="M117" s="23"/>
    </row>
    <row r="118" spans="1:13" ht="15.6" x14ac:dyDescent="0.25">
      <c r="A118" s="18" t="s">
        <v>210</v>
      </c>
      <c r="B118" s="181"/>
      <c r="C118" s="181"/>
      <c r="D118" s="123"/>
      <c r="E118" s="23"/>
      <c r="F118" s="181"/>
      <c r="G118" s="181"/>
      <c r="H118" s="123"/>
      <c r="I118" s="23"/>
      <c r="J118" s="234"/>
      <c r="K118" s="36"/>
      <c r="L118" s="206"/>
      <c r="M118" s="23"/>
    </row>
    <row r="119" spans="1:13" ht="15.6" x14ac:dyDescent="0.25">
      <c r="A119" s="10" t="s">
        <v>173</v>
      </c>
      <c r="B119" s="253"/>
      <c r="C119" s="118"/>
      <c r="D119" s="127"/>
      <c r="E119" s="8"/>
      <c r="F119" s="253"/>
      <c r="G119" s="118"/>
      <c r="H119" s="127"/>
      <c r="I119" s="8"/>
      <c r="J119" s="254"/>
      <c r="K119" s="183"/>
      <c r="L119" s="349"/>
      <c r="M119" s="8"/>
    </row>
    <row r="120" spans="1:13" x14ac:dyDescent="0.25">
      <c r="A120" s="18" t="s">
        <v>197</v>
      </c>
      <c r="B120" s="181"/>
      <c r="C120" s="109"/>
      <c r="D120" s="123"/>
      <c r="E120" s="23"/>
      <c r="F120" s="181"/>
      <c r="G120" s="109"/>
      <c r="H120" s="123"/>
      <c r="I120" s="23"/>
      <c r="J120" s="234"/>
      <c r="K120" s="36"/>
      <c r="L120" s="206"/>
      <c r="M120" s="23"/>
    </row>
    <row r="121" spans="1:13" x14ac:dyDescent="0.25">
      <c r="A121" s="18" t="s">
        <v>198</v>
      </c>
      <c r="B121" s="181"/>
      <c r="C121" s="109"/>
      <c r="D121" s="123"/>
      <c r="E121" s="23"/>
      <c r="F121" s="181"/>
      <c r="G121" s="109"/>
      <c r="H121" s="123"/>
      <c r="I121" s="23"/>
      <c r="J121" s="234"/>
      <c r="K121" s="36"/>
      <c r="L121" s="206"/>
      <c r="M121" s="23"/>
    </row>
    <row r="122" spans="1:13" x14ac:dyDescent="0.25">
      <c r="A122" s="18" t="s">
        <v>211</v>
      </c>
      <c r="B122" s="181"/>
      <c r="C122" s="109"/>
      <c r="D122" s="123"/>
      <c r="E122" s="23"/>
      <c r="F122" s="181"/>
      <c r="G122" s="109"/>
      <c r="H122" s="123"/>
      <c r="I122" s="23"/>
      <c r="J122" s="234"/>
      <c r="K122" s="36"/>
      <c r="L122" s="206"/>
      <c r="M122" s="23"/>
    </row>
    <row r="123" spans="1:13" x14ac:dyDescent="0.25">
      <c r="A123" s="243" t="s">
        <v>214</v>
      </c>
      <c r="B123" s="228"/>
      <c r="C123" s="228"/>
      <c r="D123" s="123"/>
      <c r="E123" s="341"/>
      <c r="F123" s="228"/>
      <c r="G123" s="228"/>
      <c r="H123" s="123"/>
      <c r="I123" s="341"/>
      <c r="J123" s="237"/>
      <c r="K123" s="237"/>
      <c r="L123" s="123"/>
      <c r="M123" s="20"/>
    </row>
    <row r="124" spans="1:13" ht="15.6" x14ac:dyDescent="0.25">
      <c r="A124" s="18" t="s">
        <v>223</v>
      </c>
      <c r="B124" s="181"/>
      <c r="C124" s="181"/>
      <c r="D124" s="123"/>
      <c r="E124" s="23"/>
      <c r="F124" s="181"/>
      <c r="G124" s="181"/>
      <c r="H124" s="123"/>
      <c r="I124" s="23"/>
      <c r="J124" s="234"/>
      <c r="K124" s="36"/>
      <c r="L124" s="206"/>
      <c r="M124" s="23"/>
    </row>
    <row r="125" spans="1:13" ht="15.6" x14ac:dyDescent="0.25">
      <c r="A125" s="18" t="s">
        <v>209</v>
      </c>
      <c r="B125" s="181"/>
      <c r="C125" s="181"/>
      <c r="D125" s="123"/>
      <c r="E125" s="23"/>
      <c r="F125" s="181"/>
      <c r="G125" s="181"/>
      <c r="H125" s="123"/>
      <c r="I125" s="23"/>
      <c r="J125" s="234"/>
      <c r="K125" s="36"/>
      <c r="L125" s="206"/>
      <c r="M125" s="23"/>
    </row>
    <row r="126" spans="1:13" ht="15.6" x14ac:dyDescent="0.25">
      <c r="A126" s="7" t="s">
        <v>210</v>
      </c>
      <c r="B126" s="37"/>
      <c r="C126" s="37"/>
      <c r="D126" s="124"/>
      <c r="E126" s="342"/>
      <c r="F126" s="37"/>
      <c r="G126" s="37"/>
      <c r="H126" s="124"/>
      <c r="I126" s="19"/>
      <c r="J126" s="235"/>
      <c r="K126" s="37"/>
      <c r="L126" s="207"/>
      <c r="M126" s="19"/>
    </row>
    <row r="127" spans="1:13" x14ac:dyDescent="0.25">
      <c r="A127" s="115"/>
    </row>
    <row r="129" spans="1:15" ht="15.6" x14ac:dyDescent="0.3">
      <c r="A129" s="110" t="s">
        <v>215</v>
      </c>
    </row>
    <row r="130" spans="1:15" ht="15.6" x14ac:dyDescent="0.3">
      <c r="B130" s="778"/>
      <c r="C130" s="778"/>
      <c r="D130" s="778"/>
      <c r="E130" s="245"/>
      <c r="F130" s="778"/>
      <c r="G130" s="778"/>
      <c r="H130" s="778"/>
      <c r="I130" s="245"/>
      <c r="J130" s="778"/>
      <c r="K130" s="778"/>
      <c r="L130" s="778"/>
      <c r="M130" s="245"/>
    </row>
    <row r="131" spans="1:15" x14ac:dyDescent="0.25">
      <c r="A131" s="108"/>
      <c r="B131" s="775" t="s">
        <v>46</v>
      </c>
      <c r="C131" s="776"/>
      <c r="D131" s="776"/>
      <c r="E131" s="247"/>
      <c r="F131" s="775" t="s">
        <v>70</v>
      </c>
      <c r="G131" s="776"/>
      <c r="H131" s="776"/>
      <c r="I131" s="249"/>
      <c r="J131" s="775" t="s">
        <v>121</v>
      </c>
      <c r="K131" s="776"/>
      <c r="L131" s="776"/>
      <c r="M131" s="249"/>
    </row>
    <row r="132" spans="1:15" x14ac:dyDescent="0.25">
      <c r="A132" s="105"/>
      <c r="B132" s="113" t="s">
        <v>491</v>
      </c>
      <c r="C132" s="113" t="s">
        <v>492</v>
      </c>
      <c r="D132" s="193" t="s">
        <v>166</v>
      </c>
      <c r="E132" s="250" t="s">
        <v>86</v>
      </c>
      <c r="F132" s="113" t="s">
        <v>491</v>
      </c>
      <c r="G132" s="113" t="s">
        <v>492</v>
      </c>
      <c r="H132" s="157" t="s">
        <v>166</v>
      </c>
      <c r="I132" s="121" t="s">
        <v>86</v>
      </c>
      <c r="J132" s="194" t="s">
        <v>491</v>
      </c>
      <c r="K132" s="194" t="s">
        <v>492</v>
      </c>
      <c r="L132" s="195" t="s">
        <v>166</v>
      </c>
      <c r="M132" s="121" t="s">
        <v>86</v>
      </c>
    </row>
    <row r="133" spans="1:15" x14ac:dyDescent="0.25">
      <c r="A133" s="737"/>
      <c r="B133" s="116"/>
      <c r="C133" s="116"/>
      <c r="D133" s="195" t="s">
        <v>167</v>
      </c>
      <c r="E133" s="116" t="s">
        <v>89</v>
      </c>
      <c r="F133" s="120"/>
      <c r="G133" s="120"/>
      <c r="H133" s="157" t="s">
        <v>167</v>
      </c>
      <c r="I133" s="116" t="s">
        <v>89</v>
      </c>
      <c r="J133" s="116"/>
      <c r="K133" s="116"/>
      <c r="L133" s="111" t="s">
        <v>167</v>
      </c>
      <c r="M133" s="116" t="s">
        <v>89</v>
      </c>
    </row>
    <row r="134" spans="1:15" ht="15.6" x14ac:dyDescent="0.25">
      <c r="A134" s="11" t="s">
        <v>216</v>
      </c>
      <c r="B134" s="183"/>
      <c r="C134" s="254"/>
      <c r="D134" s="288"/>
      <c r="E134" s="8"/>
      <c r="F134" s="261"/>
      <c r="G134" s="262"/>
      <c r="H134" s="352"/>
      <c r="I134" s="21"/>
      <c r="J134" s="263"/>
      <c r="K134" s="263"/>
      <c r="L134" s="348"/>
      <c r="M134" s="8"/>
    </row>
    <row r="135" spans="1:15" ht="15.6" x14ac:dyDescent="0.25">
      <c r="A135" s="10" t="s">
        <v>224</v>
      </c>
      <c r="B135" s="183"/>
      <c r="C135" s="254"/>
      <c r="D135" s="127"/>
      <c r="E135" s="8"/>
      <c r="F135" s="183"/>
      <c r="G135" s="254"/>
      <c r="H135" s="353"/>
      <c r="I135" s="21"/>
      <c r="J135" s="253"/>
      <c r="K135" s="253"/>
      <c r="L135" s="349"/>
      <c r="M135" s="8"/>
    </row>
    <row r="136" spans="1:15" ht="15.6" x14ac:dyDescent="0.25">
      <c r="A136" s="10" t="s">
        <v>218</v>
      </c>
      <c r="B136" s="183"/>
      <c r="C136" s="254"/>
      <c r="D136" s="127"/>
      <c r="E136" s="8"/>
      <c r="F136" s="183"/>
      <c r="G136" s="254"/>
      <c r="H136" s="353"/>
      <c r="I136" s="21"/>
      <c r="J136" s="253"/>
      <c r="K136" s="253"/>
      <c r="L136" s="349"/>
      <c r="M136" s="8"/>
    </row>
    <row r="137" spans="1:15" ht="15.6" x14ac:dyDescent="0.25">
      <c r="A137" s="33" t="s">
        <v>219</v>
      </c>
      <c r="B137" s="223"/>
      <c r="C137" s="260"/>
      <c r="D137" s="125"/>
      <c r="E137" s="6"/>
      <c r="F137" s="223"/>
      <c r="G137" s="260"/>
      <c r="H137" s="354"/>
      <c r="I137" s="30"/>
      <c r="J137" s="259"/>
      <c r="K137" s="259"/>
      <c r="L137" s="350"/>
      <c r="M137" s="30"/>
    </row>
    <row r="138" spans="1:15" x14ac:dyDescent="0.25">
      <c r="A138" s="107"/>
      <c r="B138" s="27"/>
      <c r="C138" s="27"/>
      <c r="D138" s="118"/>
      <c r="E138" s="118"/>
      <c r="F138" s="27"/>
      <c r="G138" s="27"/>
      <c r="H138" s="118"/>
      <c r="I138" s="118"/>
      <c r="J138" s="27"/>
      <c r="K138" s="27"/>
      <c r="L138" s="118"/>
      <c r="M138" s="118"/>
    </row>
    <row r="139" spans="1:15" x14ac:dyDescent="0.25">
      <c r="A139" s="107"/>
      <c r="B139" s="27"/>
      <c r="C139" s="27"/>
      <c r="D139" s="118"/>
      <c r="E139" s="118"/>
      <c r="F139" s="27"/>
      <c r="G139" s="27"/>
      <c r="H139" s="118"/>
      <c r="I139" s="118"/>
      <c r="J139" s="27"/>
      <c r="K139" s="27"/>
      <c r="L139" s="118"/>
      <c r="M139" s="118"/>
    </row>
    <row r="140" spans="1:15" x14ac:dyDescent="0.25">
      <c r="A140" s="107"/>
      <c r="B140" s="27"/>
      <c r="C140" s="27"/>
      <c r="D140" s="118"/>
      <c r="E140" s="118"/>
      <c r="F140" s="27"/>
      <c r="G140" s="27"/>
      <c r="H140" s="118"/>
      <c r="I140" s="118"/>
      <c r="J140" s="27"/>
      <c r="K140" s="27"/>
      <c r="L140" s="118"/>
      <c r="M140" s="118"/>
    </row>
    <row r="142" spans="1:15" ht="15.6" x14ac:dyDescent="0.3">
      <c r="B142" s="106"/>
      <c r="C142" s="106"/>
      <c r="D142" s="106"/>
      <c r="E142" s="106"/>
      <c r="F142" s="106"/>
      <c r="G142" s="106"/>
      <c r="H142" s="106"/>
      <c r="I142" s="106"/>
      <c r="J142" s="106"/>
      <c r="K142" s="106"/>
      <c r="L142" s="106"/>
      <c r="M142" s="106"/>
      <c r="N142" s="106"/>
    </row>
    <row r="143" spans="1:15" ht="15.6" x14ac:dyDescent="0.3">
      <c r="B143" s="106"/>
      <c r="C143" s="106"/>
      <c r="D143" s="106"/>
      <c r="E143" s="106"/>
      <c r="F143" s="106"/>
      <c r="G143" s="106"/>
      <c r="H143" s="106"/>
      <c r="I143" s="106"/>
      <c r="J143" s="106"/>
      <c r="K143" s="106"/>
      <c r="L143" s="106"/>
      <c r="M143" s="106"/>
      <c r="N143" s="106"/>
      <c r="O143" s="106"/>
    </row>
    <row r="144" spans="1:15" ht="15.6" x14ac:dyDescent="0.3">
      <c r="B144" s="106"/>
      <c r="C144" s="106"/>
      <c r="D144" s="106"/>
      <c r="E144" s="106"/>
      <c r="F144" s="106"/>
      <c r="G144" s="106"/>
      <c r="H144" s="106"/>
      <c r="I144" s="106"/>
      <c r="J144" s="106"/>
      <c r="K144" s="106"/>
      <c r="L144" s="106"/>
      <c r="M144" s="106"/>
      <c r="N144" s="106"/>
      <c r="O144" s="106"/>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69:A74">
    <cfRule type="expression" dxfId="1305" priority="6">
      <formula>kvartal &lt; 4</formula>
    </cfRule>
  </conditionalFormatting>
  <conditionalFormatting sqref="A80:A85">
    <cfRule type="expression" dxfId="1304" priority="5">
      <formula>kvartal &lt; 4</formula>
    </cfRule>
  </conditionalFormatting>
  <conditionalFormatting sqref="A90:A95">
    <cfRule type="expression" dxfId="1303" priority="4">
      <formula>kvartal &lt; 4</formula>
    </cfRule>
  </conditionalFormatting>
  <conditionalFormatting sqref="A101:A106">
    <cfRule type="expression" dxfId="1302" priority="3">
      <formula>kvartal &lt; 4</formula>
    </cfRule>
  </conditionalFormatting>
  <conditionalFormatting sqref="A50:C52">
    <cfRule type="expression" dxfId="1301" priority="7">
      <formula>kvartal &lt; 4</formula>
    </cfRule>
  </conditionalFormatting>
  <conditionalFormatting sqref="A115:C115">
    <cfRule type="expression" dxfId="1300" priority="2">
      <formula>kvartal &lt; 4</formula>
    </cfRule>
  </conditionalFormatting>
  <conditionalFormatting sqref="A123:C123">
    <cfRule type="expression" dxfId="1299" priority="1">
      <formula>kvartal &lt; 4</formula>
    </cfRule>
  </conditionalFormatting>
  <conditionalFormatting sqref="B69:C69">
    <cfRule type="expression" dxfId="1298" priority="57">
      <formula>kvartal &lt; 4</formula>
    </cfRule>
  </conditionalFormatting>
  <conditionalFormatting sqref="B72:C72">
    <cfRule type="expression" dxfId="1297" priority="55">
      <formula>kvartal &lt; 4</formula>
    </cfRule>
  </conditionalFormatting>
  <conditionalFormatting sqref="B80:C80">
    <cfRule type="expression" dxfId="1296" priority="53">
      <formula>kvartal &lt; 4</formula>
    </cfRule>
  </conditionalFormatting>
  <conditionalFormatting sqref="B83:C83">
    <cfRule type="expression" dxfId="1295" priority="51">
      <formula>kvartal &lt; 4</formula>
    </cfRule>
  </conditionalFormatting>
  <conditionalFormatting sqref="B90:C90">
    <cfRule type="expression" dxfId="1294" priority="49">
      <formula>kvartal &lt; 4</formula>
    </cfRule>
  </conditionalFormatting>
  <conditionalFormatting sqref="B93:C93">
    <cfRule type="expression" dxfId="1293" priority="47">
      <formula>kvartal &lt; 4</formula>
    </cfRule>
  </conditionalFormatting>
  <conditionalFormatting sqref="B101:C101">
    <cfRule type="expression" dxfId="1292" priority="45">
      <formula>kvartal &lt; 4</formula>
    </cfRule>
  </conditionalFormatting>
  <conditionalFormatting sqref="B104:C104">
    <cfRule type="expression" dxfId="1291" priority="43">
      <formula>kvartal &lt; 4</formula>
    </cfRule>
  </conditionalFormatting>
  <conditionalFormatting sqref="F69:G74">
    <cfRule type="expression" dxfId="1290" priority="24">
      <formula>kvartal &lt; 4</formula>
    </cfRule>
  </conditionalFormatting>
  <conditionalFormatting sqref="F80:G85">
    <cfRule type="expression" dxfId="1289" priority="22">
      <formula>kvartal &lt; 4</formula>
    </cfRule>
  </conditionalFormatting>
  <conditionalFormatting sqref="F90:G95">
    <cfRule type="expression" dxfId="1288" priority="19">
      <formula>kvartal &lt; 4</formula>
    </cfRule>
  </conditionalFormatting>
  <conditionalFormatting sqref="F101:G106">
    <cfRule type="expression" dxfId="1287" priority="15">
      <formula>kvartal &lt; 4</formula>
    </cfRule>
  </conditionalFormatting>
  <conditionalFormatting sqref="F115:G115">
    <cfRule type="expression" dxfId="1286" priority="27">
      <formula>kvartal &lt; 4</formula>
    </cfRule>
  </conditionalFormatting>
  <conditionalFormatting sqref="F123:G123">
    <cfRule type="expression" dxfId="1285" priority="26">
      <formula>kvartal &lt; 4</formula>
    </cfRule>
  </conditionalFormatting>
  <conditionalFormatting sqref="J69:K71 J73:K73">
    <cfRule type="expression" dxfId="1284" priority="14">
      <formula>kvartal &lt; 4</formula>
    </cfRule>
  </conditionalFormatting>
  <conditionalFormatting sqref="J80:K82 J84:K84">
    <cfRule type="expression" dxfId="1283" priority="12">
      <formula>kvartal &lt; 4</formula>
    </cfRule>
  </conditionalFormatting>
  <conditionalFormatting sqref="J92:K92 J94:K94">
    <cfRule type="expression" dxfId="1282" priority="11">
      <formula>kvartal &lt; 4</formula>
    </cfRule>
  </conditionalFormatting>
  <conditionalFormatting sqref="J101:K103 J105:K105">
    <cfRule type="expression" dxfId="1281" priority="10">
      <formula>kvartal &lt; 4</formula>
    </cfRule>
  </conditionalFormatting>
  <conditionalFormatting sqref="J115:K115">
    <cfRule type="expression" dxfId="1280" priority="9">
      <formula>kvartal &lt; 4</formula>
    </cfRule>
  </conditionalFormatting>
  <conditionalFormatting sqref="J123:K123">
    <cfRule type="expression" dxfId="1279" priority="8">
      <formula>kvartal &lt; 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b549d9-2242-4234-b0a8-7a5fc0b14e8e" xsi:nil="true"/>
    <lcf76f155ced4ddcb4097134ff3c332f xmlns="96ee22af-2dda-43e0-a8b0-46d4ab82b3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28005F25B72CD418919CD4A2D924673" ma:contentTypeVersion="10" ma:contentTypeDescription="Opprett et nytt dokument." ma:contentTypeScope="" ma:versionID="0aec674f7a21cf193f019d329f8d29b4">
  <xsd:schema xmlns:xsd="http://www.w3.org/2001/XMLSchema" xmlns:xs="http://www.w3.org/2001/XMLSchema" xmlns:p="http://schemas.microsoft.com/office/2006/metadata/properties" xmlns:ns2="96ee22af-2dda-43e0-a8b0-46d4ab82b360" xmlns:ns3="dfb549d9-2242-4234-b0a8-7a5fc0b14e8e" targetNamespace="http://schemas.microsoft.com/office/2006/metadata/properties" ma:root="true" ma:fieldsID="365cbe2ac6f7ada105616fe6e4ac1e73" ns2:_="" ns3:_="">
    <xsd:import namespace="96ee22af-2dda-43e0-a8b0-46d4ab82b360"/>
    <xsd:import namespace="dfb549d9-2242-4234-b0a8-7a5fc0b14e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e22af-2dda-43e0-a8b0-46d4ab82b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d0b69f77-55ff-434e-ae2e-5cb16f27438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b549d9-2242-4234-b0a8-7a5fc0b14e8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4f1b9a-eff7-4835-b010-10ba3cda1d5c}" ma:internalName="TaxCatchAll" ma:showField="CatchAllData" ma:web="dfb549d9-2242-4234-b0a8-7a5fc0b14e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1 f f 6 5 7 5 3 - 4 6 7 b - 4 5 7 1 - 9 8 5 2 - 9 4 7 1 0 3 5 9 0 2 2 7 "   x m l n s = " h t t p : / / s c h e m a s . m i c r o s o f t . c o m / D a t a M a s h u p " > A A A A A P o D A A B Q S w M E F A A C A A g A z V h 7 X D d 3 P A C k A A A A 9 g A A A B I A H A B D b 2 5 m a W c v U G F j a 2 F n Z S 5 4 b W w g o h g A K K A U A A A A A A A A A A A A A A A A A A A A A A A A A A A A h Y 9 N D o I w G E S v Q r q n f 8 S E k F I W b k V N T I z b W i s 0 w o e B Y r m b C 4 / k F c Q o 6 s 7 l v H m L m f v 1 J r K h r o K L a T v b Q I o Y p i g w o J u D h S J F v T u G M c q k W C t 9 U o U J R h m 6 Z O g O K S q d O y e E e O + x j 3 D T F o R T y s g u X 2 x 0 a W q F P r L 9 L 4 c W O q d A G y T F 9 j V G c s x m D E c 8 x l S Q C Y r c w l f g 4 9 5 n + w P F v K 9 c 3 x o J + 3 C 5 E m S K g r w / y A d Q S w M E F A A C A A g A z V h 7 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M 1 Y e 1 w y + B B Y / Q A A A G A B A A A T A B w A R m 9 y b X V s Y X M v U 2 V j d G l v b j E u b S C i G A A o o B Q A A A A A A A A A A A A A A A A A A A A A A A A A A A B 9 j 8 9 K w 0 A Q x s / N U w x 7 K A m k o T 3 0 F A J K m o N E g p q g h X U J m 2 b A m D 9 b J 5 t S K T 3 6 K D 5 J X 8 y N L Y o X 5 z I D 8 / v m m 6 / H j a 5 U B + m 5 L 3 z L 6 l 8 k Y Q k r q S U E 0 K C 2 w N S d J N m i R n p E K i u z i P Y b b L x w I M J O P y m q C 6 V q 2 z n w x H A B + + G R i S M P V a c N J l z 4 P h Z X T Y n m R v r W e K N P I X u 0 W R b P 0 v V q G c 3 m i + X z T Z J F D 8 n 1 L X O B N d U u b 6 W Z + P 2 A 9 B 6 w a B 2 F w M t C C Y 9 v c x w / y b e E v b G Q / a v q h D W Z X J 0 + y V g w m E I y t A W S l 6 k M 9 9 r + m 4 S f P k g c 5 k c H p s w d Z f V O k p b N R f q / N j 6 z F z 0 w n w n H q r r f j P 4 X U E s B A i 0 A F A A C A A g A z V h 7 X D d 3 P A C k A A A A 9 g A A A B I A A A A A A A A A A A A A A A A A A A A A A E N v b m Z p Z y 9 Q Y W N r Y W d l L n h t b F B L A Q I t A B Q A A g A I A M 1 Y e 1 x T c j g s m w A A A O E A A A A T A A A A A A A A A A A A A A A A A P A A A A B b Q 2 9 u d G V u d F 9 U e X B l c 1 0 u e G 1 s U E s B A i 0 A F A A C A A g A z V h 7 X D L 4 E F j 9 A A A A Y A E A A B M A A A A A A A A A A A A A A A A A 2 A E A A E Z v c m 1 1 b G F z L 1 N l Y 3 R p b 2 4 x L m 1 Q S w U G A A A A A A M A A w D C A A A A I g M A A A A A R 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T 5 P c m d h b m l 6 Y X R p b 2 5 h b D w v V 2 9 y a 2 J v b 2 t H c m 9 1 c F R 5 c G U + P C 9 Q Z X J t a X N z a W 9 u T G l z d D 7 R D A A A A A A A A K 8 M 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E Y X R h P C 9 J d G V t U G F 0 a D 4 8 L 0 l 0 Z W 1 M b 2 N h d G l v b j 4 8 U 3 R h Y m x l R W 5 0 c m l l c z 4 8 R W 5 0 c n k g V H l w Z T 0 i Q n V m Z m V y T m V 4 d F J l Z n J l c 2 g i I F Z h b H V l P S J s M S I g L z 4 8 R W 5 0 c n k g V H l w Z T 0 i R m l s b E V u Y W J s Z W Q i I F Z h b H V l P S J s M C I g L z 4 8 R W 5 0 c n k g V H l w Z T 0 i R m l s b G V k Q 2 9 t c G x l d G V S Z X N 1 b H R U b 1 d v c m t z a G V l d C I g V m F s d W U 9 I m w x I i A v P j x F b n R y e S B U e X B l P S J S Z W N v d m V y e V R h c m d l d E N v b H V t b i I g V m F s d W U 9 I m w x I i A v P j x F b n R y e S B U e X B l P S J J c 1 B y a X Z h d G U i I F Z h b H V l P S J s M C I g L z 4 8 R W 5 0 c n k g V H l w Z T 0 i U X V l c n l J R C I g V m F s d W U 9 I n M 0 Z T g z Y W R k O S 1 l Y 2 N i L T R l Z j Y t O W N m O C 0 2 Y j I 5 O G R m M D Q 0 Y z k i I C 8 + P E V u d H J 5 I F R 5 c G U 9 I l J l Y 2 9 2 Z X J 5 V G F y Z 2 V 0 U 2 h l Z X Q i I F Z h b H V l P S J z Q X J r M i I g L z 4 8 R W 5 0 c n k g V H l w Z T 0 i U m V z d W x 0 V H l w Z S I g V m F s d W U 9 I n N U Y W J s Z S I g L z 4 8 R W 5 0 c n k g V H l w Z T 0 i T m F 2 a W d h d G l v b l N 0 Z X B O Y W 1 l I i B W Y W x 1 Z T 0 i c 0 5 h d m l n Y X R p b 2 4 i I C 8 + P E V u d H J 5 I F R 5 c G U 9 I k 5 h b W V V c G R h d G V k Q W Z 0 Z X J G a W x s I i B W Y W x 1 Z T 0 i b D A i I C 8 + P E V u d H J 5 I F R 5 c G U 9 I l J l Y 2 9 2 Z X J 5 V G F y Z 2 V 0 U m 9 3 I i B W Y W x 1 Z T 0 i b D E i I C 8 + P E V u d H J 5 I F R 5 c G U 9 I k Z p b G x D b 2 x 1 b W 5 U e X B l c y I g V m F s d W U 9 I n N C Z 0 l D Q W d J Q 0 F n V T 0 i I C 8 + P E V u d H J 5 I F R 5 c G U 9 I k Z p b G x D b 2 x 1 b W 5 O Y W 1 l c y I g V m F s d W U 9 I n N b J n F 1 b 3 Q 7 c 8 O 4 a 2 V u w 7 h r a 2 V s J n F 1 b 3 Q 7 L C Z x d W 9 0 O 3 N l b H N r Y X B f a W Q m c X V v d D s s J n F 1 b 3 Q 7 w 6 V y J n F 1 b 3 Q 7 L C Z x d W 9 0 O 2 t 2 Y X J 0 Y W w m c X V v d D s s J n F 1 b 3 Q 7 d G F i Z W x s X 2 l k J n F 1 b 3 Q 7 L C Z x d W 9 0 O 3 J h Z F 9 p Z C Z x d W 9 0 O y w m c X V v d D t r Y X R l Z 2 9 y a V 9 p Z C Z x d W 9 0 O y w m c X V v d D t 2 Z X J k a S Z x d W 9 0 O 1 0 i I C 8 + P E V u d H J 5 I F R 5 c G U 9 I k Z p b G x M Y X N 0 V X B k Y X R l Z C I g V m F s d W U 9 I m Q y M D I 2 L T A z L T I 3 V D E w O j A 2 O j I 2 L j I 3 N z Y 1 M D Z a I i A v P j x F b n R y e S B U e X B l P S J G a W x s V G 9 E Y X R h T W 9 k Z W x F b m F i b G V k I i B W Y W x 1 Z T 0 i b D A i I C 8 + P E V u d H J 5 I F R 5 c G U 9 I k Z p b G x F c n J v c k N v d W 5 0 I i B W Y W x 1 Z T 0 i b D A i I C 8 + P E V u d H J 5 I F R 5 c G U 9 I k Z p b G x P Y m p l Y 3 R U e X B l I i B W Y W x 1 Z T 0 i c 0 N v b m 5 l Y 3 R p b 2 5 P b m x 5 I i A v P j x F b n R y e S B U e X B l P S J G a W x s R X J y b 3 J D b 2 R l I i B W Y W x 1 Z T 0 i c 1 V u a 2 5 v d 2 4 i I C 8 + P E V u d H J 5 I F R 5 c G U 9 I k Z p b G x D b 3 V u d C I g V m F s d W U 9 I m w 3 N T k w 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0 R h d G E v Q X V 0 b 1 J l b W 9 2 Z W R D b 2 x 1 b W 5 z M S 5 7 c 8 O 4 a 2 V u w 7 h r a 2 V s L D B 9 J n F 1 b 3 Q 7 L C Z x d W 9 0 O 1 N l Y 3 R p b 2 4 x L 0 R h d G E v Q X V 0 b 1 J l b W 9 2 Z W R D b 2 x 1 b W 5 z M S 5 7 c 2 V s c 2 t h c F 9 p Z C w x f S Z x d W 9 0 O y w m c X V v d D t T Z W N 0 a W 9 u M S 9 E Y X R h L 0 F 1 d G 9 S Z W 1 v d m V k Q 2 9 s d W 1 u c z E u e 8 O l c i w y f S Z x d W 9 0 O y w m c X V v d D t T Z W N 0 a W 9 u M S 9 E Y X R h L 0 F 1 d G 9 S Z W 1 v d m V k Q 2 9 s d W 1 u c z E u e 2 t 2 Y X J 0 Y W w s M 3 0 m c X V v d D s s J n F 1 b 3 Q 7 U 2 V j d G l v b j E v R G F 0 Y S 9 B d X R v U m V t b 3 Z l Z E N v b H V t b n M x L n t 0 Y W J l b G x f a W Q s N H 0 m c X V v d D s s J n F 1 b 3 Q 7 U 2 V j d G l v b j E v R G F 0 Y S 9 B d X R v U m V t b 3 Z l Z E N v b H V t b n M x L n t y Y W R f a W Q s N X 0 m c X V v d D s s J n F 1 b 3 Q 7 U 2 V j d G l v b j E v R G F 0 Y S 9 B d X R v U m V t b 3 Z l Z E N v b H V t b n M x L n t r Y X R l Z 2 9 y a V 9 p Z C w 2 f S Z x d W 9 0 O y w m c X V v d D t T Z W N 0 a W 9 u M S 9 E Y X R h L 0 F 1 d G 9 S Z W 1 v d m V k Q 2 9 s d W 1 u c z E u e 3 Z l c m R p L D d 9 J n F 1 b 3 Q 7 X S w m c X V v d D t D b 2 x 1 b W 5 D b 3 V u d C Z x d W 9 0 O z o 4 L C Z x d W 9 0 O 0 t l e U N v b H V t b k 5 h b W V z J n F 1 b 3 Q 7 O l t d L C Z x d W 9 0 O 0 N v b H V t b k l k Z W 5 0 a X R p Z X M m c X V v d D s 6 W y Z x d W 9 0 O 1 N l Y 3 R p b 2 4 x L 0 R h d G E v Q X V 0 b 1 J l b W 9 2 Z W R D b 2 x 1 b W 5 z M S 5 7 c 8 O 4 a 2 V u w 7 h r a 2 V s L D B 9 J n F 1 b 3 Q 7 L C Z x d W 9 0 O 1 N l Y 3 R p b 2 4 x L 0 R h d G E v Q X V 0 b 1 J l b W 9 2 Z W R D b 2 x 1 b W 5 z M S 5 7 c 2 V s c 2 t h c F 9 p Z C w x f S Z x d W 9 0 O y w m c X V v d D t T Z W N 0 a W 9 u M S 9 E Y X R h L 0 F 1 d G 9 S Z W 1 v d m V k Q 2 9 s d W 1 u c z E u e 8 O l c i w y f S Z x d W 9 0 O y w m c X V v d D t T Z W N 0 a W 9 u M S 9 E Y X R h L 0 F 1 d G 9 S Z W 1 v d m V k Q 2 9 s d W 1 u c z E u e 2 t 2 Y X J 0 Y W w s M 3 0 m c X V v d D s s J n F 1 b 3 Q 7 U 2 V j d G l v b j E v R G F 0 Y S 9 B d X R v U m V t b 3 Z l Z E N v b H V t b n M x L n t 0 Y W J l b G x f a W Q s N H 0 m c X V v d D s s J n F 1 b 3 Q 7 U 2 V j d G l v b j E v R G F 0 Y S 9 B d X R v U m V t b 3 Z l Z E N v b H V t b n M x L n t y Y W R f a W Q s N X 0 m c X V v d D s s J n F 1 b 3 Q 7 U 2 V j d G l v b j E v R G F 0 Y S 9 B d X R v U m V t b 3 Z l Z E N v b H V t b n M x L n t r Y X R l Z 2 9 y a V 9 p Z C w 2 f S Z x d W 9 0 O y w m c X V v d D t T Z W N 0 a W 9 u M S 9 E Y X R h L 0 F 1 d G 9 S Z W 1 v d m V k Q 2 9 s d W 1 u c z E u e 3 Z l c m R p L D d 9 J n F 1 b 3 Q 7 X S w m c X V v d D t S Z W x h d G l v b n N o a X B J b m Z v J n F 1 b 3 Q 7 O l t d f S I g L z 4 8 L 1 N 0 Y W J s Z U V u d H J p Z X M + P C 9 J d G V t P j x J d G V t P j x J d G V t T G 9 j Y X R p b 2 4 + P E l 0 Z W 1 U e X B l P k Z v c m 1 1 b G E 8 L 0 l 0 Z W 1 U e X B l P j x J d G V t U G F 0 a D 5 T Z W N 0 a W 9 u M S 9 E Y X R h L 0 t p b G R l P C 9 J d G V t U G F 0 a D 4 8 L 0 l 0 Z W 1 M b 2 N h d G l v b j 4 8 U 3 R h Y m x l R W 5 0 c m l l c y A v P j w v S X R l b T 4 8 S X R l b T 4 8 S X R l b U x v Y 2 F 0 a W 9 u P j x J d G V t V H l w Z T 5 G b 3 J t d W x h P C 9 J d G V t V H l w Z T 4 8 S X R l b V B h d G g + U 2 V j d G l v b j E v R G F 0 Y S 9 Q Y X J h b W V 0 Z X J W Z X J k a 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V 2 4 P n v j 2 z E O V 9 C 3 F y r E X r w A A A A A C A A A A A A A Q Z g A A A A E A A C A A A A D a v j f / 9 t p D e t 0 o F R E 7 B M R k H f X / 5 L O x Y L I l 5 i t M 4 Z S g E Q A A A A A O g A A A A A I A A C A A A A C 2 z w k 0 r c P j z w 1 R O G 9 3 9 G C z K W u K L x b E N x H S W N H 1 i L T n X 1 A A A A A h u m F Z r L T g d H b 8 7 b 6 d G T k Z g w Z P H / A F 3 h 3 H l Z L t 3 f r O 5 M q 2 3 j P U 3 m + E M o d l k 3 w 6 N d G 7 K x W R w K I C s J 8 5 s s D l j M I n f M K k D B g z d l R s 3 P e F D x S t s 0 A A A A A 6 m A Z V c l i E s 9 9 Q e a e e 5 F u H B F O N R e q 0 e W q A U 2 M Q z K 2 L q H a g j y O B T 3 / Y z C F 7 z X w f 7 k d P K C B W O Q 7 S 3 d 8 i P F P s L i W W < / D a t a M a s h u p > 
</file>

<file path=customXml/itemProps1.xml><?xml version="1.0" encoding="utf-8"?>
<ds:datastoreItem xmlns:ds="http://schemas.openxmlformats.org/officeDocument/2006/customXml" ds:itemID="{9F7F593D-5964-43BC-B3C9-C7E417A23672}">
  <ds:schemaRefs>
    <ds:schemaRef ds:uri="http://www.w3.org/XML/1998/namespace"/>
    <ds:schemaRef ds:uri="http://schemas.microsoft.com/office/2006/metadata/properties"/>
    <ds:schemaRef ds:uri="http://schemas.openxmlformats.org/package/2006/metadata/core-properties"/>
    <ds:schemaRef ds:uri="96ee22af-2dda-43e0-a8b0-46d4ab82b360"/>
    <ds:schemaRef ds:uri="http://schemas.microsoft.com/office/2006/documentManagement/types"/>
    <ds:schemaRef ds:uri="http://purl.org/dc/dcmitype/"/>
    <ds:schemaRef ds:uri="http://purl.org/dc/elements/1.1/"/>
    <ds:schemaRef ds:uri="http://schemas.microsoft.com/office/infopath/2007/PartnerControls"/>
    <ds:schemaRef ds:uri="dfb549d9-2242-4234-b0a8-7a5fc0b14e8e"/>
    <ds:schemaRef ds:uri="http://purl.org/dc/terms/"/>
  </ds:schemaRefs>
</ds:datastoreItem>
</file>

<file path=customXml/itemProps2.xml><?xml version="1.0" encoding="utf-8"?>
<ds:datastoreItem xmlns:ds="http://schemas.openxmlformats.org/officeDocument/2006/customXml" ds:itemID="{34DCC123-07D7-4297-98B1-206377BC8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e22af-2dda-43e0-a8b0-46d4ab82b360"/>
    <ds:schemaRef ds:uri="dfb549d9-2242-4234-b0a8-7a5fc0b14e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FD769E-A1D2-4BA9-8D32-A1D80C158C31}">
  <ds:schemaRefs>
    <ds:schemaRef ds:uri="http://schemas.microsoft.com/sharepoint/v3/contenttype/forms"/>
  </ds:schemaRefs>
</ds:datastoreItem>
</file>

<file path=customXml/itemProps4.xml><?xml version="1.0" encoding="utf-8"?>
<ds:datastoreItem xmlns:ds="http://schemas.openxmlformats.org/officeDocument/2006/customXml" ds:itemID="{90A5026E-7503-4E4B-BD83-E9801AFFB72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39</vt:i4>
      </vt:variant>
      <vt:variant>
        <vt:lpstr>Navngitte områder</vt:lpstr>
      </vt:variant>
      <vt:variant>
        <vt:i4>13</vt:i4>
      </vt:variant>
    </vt:vector>
  </HeadingPairs>
  <TitlesOfParts>
    <vt:vector size="52" baseType="lpstr">
      <vt:lpstr>Forside</vt:lpstr>
      <vt:lpstr>Innhold</vt:lpstr>
      <vt:lpstr>Figurer</vt:lpstr>
      <vt:lpstr>Tabel 1.1</vt:lpstr>
      <vt:lpstr>Tabell 1.2</vt:lpstr>
      <vt:lpstr>Tabell 1.3</vt:lpstr>
      <vt:lpstr>Skjema total MA</vt:lpstr>
      <vt:lpstr>DNB Livsforsikring</vt:lpstr>
      <vt:lpstr>Euro Accident</vt:lpstr>
      <vt:lpstr>Fremtind Livsforsikring</vt:lpstr>
      <vt:lpstr>Frende Livsforsikring</vt:lpstr>
      <vt:lpstr>Frende Skadeforsikring</vt:lpstr>
      <vt:lpstr>Gjensidige Forsikring</vt:lpstr>
      <vt:lpstr>Gjensidige Pensjon</vt:lpstr>
      <vt:lpstr>If Skadeforsikring NUF</vt:lpstr>
      <vt:lpstr>KLP</vt:lpstr>
      <vt:lpstr>KLP Skadeforsikring AS</vt:lpstr>
      <vt:lpstr>Knif Trygghet Forsikring</vt:lpstr>
      <vt:lpstr>Landkreditt Forsikring</vt:lpstr>
      <vt:lpstr>Ly Forsikring</vt:lpstr>
      <vt:lpstr>Nordea Liv </vt:lpstr>
      <vt:lpstr>Oslo Forsikring</vt:lpstr>
      <vt:lpstr>Oslo Pensjonsforsikring</vt:lpstr>
      <vt:lpstr>Protector Forsikring</vt:lpstr>
      <vt:lpstr>Sparebank 1 Fors.</vt:lpstr>
      <vt:lpstr>Storebrand Livsforsikring</vt:lpstr>
      <vt:lpstr>Telenor Forsikring</vt:lpstr>
      <vt:lpstr>Tryg Forsikring</vt:lpstr>
      <vt:lpstr>WaterCircles F</vt:lpstr>
      <vt:lpstr>Youplus Livsforsikring</vt:lpstr>
      <vt:lpstr>Tabell 4</vt:lpstr>
      <vt:lpstr>Tabell 5.1</vt:lpstr>
      <vt:lpstr>Tabell 5.2</vt:lpstr>
      <vt:lpstr>Tabell 5.3</vt:lpstr>
      <vt:lpstr>Tabell 6</vt:lpstr>
      <vt:lpstr>Tabell 7a</vt:lpstr>
      <vt:lpstr>Tabell 7b</vt:lpstr>
      <vt:lpstr>Tabell 8</vt:lpstr>
      <vt:lpstr>Noter og kommentarer</vt:lpstr>
      <vt:lpstr>'Fremtind Livsforsikring'!Utskriftsområde</vt:lpstr>
      <vt:lpstr>'Noter og kommentarer'!Utskriftsområde</vt:lpstr>
      <vt:lpstr>'Skjema total MA'!Utskriftsområde</vt:lpstr>
      <vt:lpstr>'Tabell 5.1'!Utskriftsområde</vt:lpstr>
      <vt:lpstr>'Tabell 5.2'!Utskriftsområde</vt:lpstr>
      <vt:lpstr>'Tabell 7a'!Utskriftsområde</vt:lpstr>
      <vt:lpstr>'Tabell 7b'!Utskriftsområde</vt:lpstr>
      <vt:lpstr>'Tabell 8'!Utskriftsområde</vt:lpstr>
      <vt:lpstr>'Tabell 5.1'!Utskriftstitler</vt:lpstr>
      <vt:lpstr>'Tabell 5.2'!Utskriftstitler</vt:lpstr>
      <vt:lpstr>'Tabell 7a'!Utskriftstitler</vt:lpstr>
      <vt:lpstr>'Tabell 7b'!Utskriftstitler</vt:lpstr>
      <vt:lpstr>'Tabell 8'!Utskriftstitler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Anne-Kathrine Johansen</dc:creator>
  <cp:keywords/>
  <dc:description/>
  <cp:lastModifiedBy>Randi Mørk</cp:lastModifiedBy>
  <cp:revision/>
  <dcterms:created xsi:type="dcterms:W3CDTF">2010-12-15T10:21:26Z</dcterms:created>
  <dcterms:modified xsi:type="dcterms:W3CDTF">2026-03-27T10:06:30Z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0x010100C28005F25B72CD418919CD4A2D924673</vt:lpwstr>
  </property>
  <property fmtid="{D5CDD505-2E9C-101B-9397-08002B2CF9AE}" pid="3" name="MediaServiceImageTags">
    <vt:lpwstr/>
  </property>
  <property fmtid="{D5CDD505-2E9C-101B-9397-08002B2CF9AE}" pid="4" name="_ExtendedDescription">
    <vt:lpwstr/>
  </property>
</Properties>
</file>