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Statistikk og analyse (FNF)\RMørk\Livstatistikk - fra fno - denne oppdateres\Faste statistikker\MA\2024\Q4-2024\Publisert\"/>
    </mc:Choice>
  </mc:AlternateContent>
  <xr:revisionPtr revIDLastSave="0" documentId="13_ncr:1_{BDAC2CED-BF55-4CD1-BC8D-D0644985BCC3}" xr6:coauthVersionLast="47" xr6:coauthVersionMax="47" xr10:uidLastSave="{00000000-0000-0000-0000-000000000000}"/>
  <bookViews>
    <workbookView xWindow="28680" yWindow="-120" windowWidth="29040" windowHeight="175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DNB Livsforsikring" sheetId="13" r:id="rId8"/>
    <sheet name="Eika Forsikring AS" sheetId="19" r:id="rId9"/>
    <sheet name="Euro Accident" sheetId="77" r:id="rId10"/>
    <sheet name="Fremtind Livsforsikring" sheetId="16" r:id="rId11"/>
    <sheet name="Frende Livsforsikring" sheetId="20" r:id="rId12"/>
    <sheet name="Frende Skadeforsikring" sheetId="21" r:id="rId13"/>
    <sheet name="Gjensidige Forsikring" sheetId="22" r:id="rId14"/>
    <sheet name="Gjensidige Pensjon" sheetId="23" r:id="rId15"/>
    <sheet name="If Skadeforsikring NUF" sheetId="25" r:id="rId16"/>
    <sheet name="KLP" sheetId="26" r:id="rId17"/>
    <sheet name="KLP Skadeforsikring AS" sheetId="51" r:id="rId18"/>
    <sheet name="Landkreditt Forsikring" sheetId="40" r:id="rId19"/>
    <sheet name="Ly Forsikring" sheetId="78" r:id="rId20"/>
    <sheet name="Nordea Liv " sheetId="29" r:id="rId21"/>
    <sheet name="Oslo Forsikring" sheetId="81" r:id="rId22"/>
    <sheet name="Oslo Pensjonsforsikring" sheetId="34" r:id="rId23"/>
    <sheet name="Protector Forsikring" sheetId="72" r:id="rId24"/>
    <sheet name="Sparebank 1 Forsikring" sheetId="33" r:id="rId25"/>
    <sheet name="Storebrand Livsforsikring" sheetId="37" r:id="rId26"/>
    <sheet name="Telenor Forsikring" sheetId="38" r:id="rId27"/>
    <sheet name="Tryg Forsikring" sheetId="39" r:id="rId28"/>
    <sheet name="WaterCircles F" sheetId="74" r:id="rId29"/>
    <sheet name="Youplus Livsforsikring" sheetId="79" r:id="rId30"/>
    <sheet name="Tabell 4" sheetId="82" r:id="rId31"/>
    <sheet name="Tabell 5.1" sheetId="83" r:id="rId32"/>
    <sheet name="Tabell 5.2" sheetId="84" r:id="rId33"/>
    <sheet name="Tabell 5.3" sheetId="85" r:id="rId34"/>
    <sheet name="Tabell 6" sheetId="86" r:id="rId35"/>
    <sheet name="Tabell 7a" sheetId="87" r:id="rId36"/>
    <sheet name="Tabell 7b" sheetId="88" r:id="rId37"/>
    <sheet name="Tabell 8" sheetId="89" r:id="rId38"/>
    <sheet name="Noter og kommentarer" sheetId="3" r:id="rId39"/>
  </sheets>
  <externalReferences>
    <externalReference r:id="rId40"/>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0">'Fremtind Livsforsikring'!$A$1:$M$137</definedName>
    <definedName name="_xlnm.Print_Area" localSheetId="38">'Noter og kommentarer'!$A$1:$L$43</definedName>
    <definedName name="_xlnm.Print_Area" localSheetId="6">'Skjema total MA'!$A$1:$J$138</definedName>
    <definedName name="_xlnm.Print_Area" localSheetId="31">'Tabell 5.1'!$A$2:$AK$109</definedName>
    <definedName name="_xlnm.Print_Area" localSheetId="32">'Tabell 5.2'!$A$2:$AK$145</definedName>
    <definedName name="_xlnm.Print_Area" localSheetId="35">'Tabell 7a'!$A$2:$AH$62</definedName>
    <definedName name="_xlnm.Print_Area" localSheetId="36">'Tabell 7b'!$A$2:$Y$44</definedName>
    <definedName name="_xlnm.Print_Area" localSheetId="37">'Tabell 8'!$A$2:$AE$34</definedName>
    <definedName name="_xlnm.Print_Titles" localSheetId="31">'Tabell 5.1'!$A:$A,'Tabell 5.1'!$2:$9</definedName>
    <definedName name="_xlnm.Print_Titles" localSheetId="32">'Tabell 5.2'!$A:$A,'Tabell 5.2'!$2:$9</definedName>
    <definedName name="_xlnm.Print_Titles" localSheetId="35">'Tabell 7a'!$A:$A</definedName>
    <definedName name="_xlnm.Print_Titles" localSheetId="36">'Tabell 7b'!$A:$A</definedName>
    <definedName name="_xlnm.Print_Titles" localSheetId="37">'Tabell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5" i="86" l="1"/>
  <c r="AG75" i="86"/>
  <c r="G44" i="10" l="1"/>
  <c r="F44" i="10"/>
  <c r="H35" i="10"/>
  <c r="D35" i="10"/>
  <c r="D52" i="39"/>
  <c r="D51" i="39"/>
  <c r="K72" i="37"/>
  <c r="J72" i="37"/>
  <c r="K74" i="37"/>
  <c r="J74" i="37"/>
  <c r="L74" i="37" s="1"/>
  <c r="L83" i="37"/>
  <c r="K83" i="37"/>
  <c r="J83" i="37"/>
  <c r="K85" i="37"/>
  <c r="J85" i="37"/>
  <c r="K93" i="37"/>
  <c r="J93" i="37"/>
  <c r="K95" i="37"/>
  <c r="J95" i="37"/>
  <c r="K104" i="37"/>
  <c r="J104" i="37"/>
  <c r="L104" i="37" s="1"/>
  <c r="K106" i="37"/>
  <c r="J106" i="37"/>
  <c r="H106" i="37"/>
  <c r="H104" i="37"/>
  <c r="H95" i="37"/>
  <c r="H93" i="37"/>
  <c r="H85" i="37"/>
  <c r="H83" i="37"/>
  <c r="H74" i="37"/>
  <c r="H72" i="37"/>
  <c r="D104" i="37"/>
  <c r="D93" i="37"/>
  <c r="D52" i="37"/>
  <c r="D51" i="37"/>
  <c r="K106" i="33"/>
  <c r="J106" i="33"/>
  <c r="K104" i="33"/>
  <c r="J104" i="33"/>
  <c r="L104" i="33" s="1"/>
  <c r="K95" i="33"/>
  <c r="J95" i="33"/>
  <c r="L95" i="33" s="1"/>
  <c r="K93" i="33"/>
  <c r="J93" i="33"/>
  <c r="K85" i="33"/>
  <c r="J85" i="33"/>
  <c r="L85" i="33" s="1"/>
  <c r="K83" i="33"/>
  <c r="J83" i="33"/>
  <c r="L83" i="33" s="1"/>
  <c r="L74" i="33"/>
  <c r="K74" i="33"/>
  <c r="J74" i="33"/>
  <c r="K72" i="33"/>
  <c r="J72" i="33"/>
  <c r="L72" i="33" s="1"/>
  <c r="H74" i="33"/>
  <c r="H72" i="33"/>
  <c r="H83" i="33"/>
  <c r="H85" i="33"/>
  <c r="H93" i="33"/>
  <c r="H95" i="33"/>
  <c r="H104" i="33"/>
  <c r="H106" i="33"/>
  <c r="D104" i="33"/>
  <c r="D93" i="33"/>
  <c r="D83" i="33"/>
  <c r="D72" i="33"/>
  <c r="L74" i="29"/>
  <c r="K74" i="29"/>
  <c r="J74" i="29"/>
  <c r="K73" i="29"/>
  <c r="J73" i="29"/>
  <c r="K72" i="29"/>
  <c r="J72" i="29"/>
  <c r="K71" i="29"/>
  <c r="L71" i="29" s="1"/>
  <c r="J71" i="29"/>
  <c r="K69" i="29"/>
  <c r="J69" i="29"/>
  <c r="L69" i="29" s="1"/>
  <c r="K85" i="29"/>
  <c r="L85" i="29" s="1"/>
  <c r="J85" i="29"/>
  <c r="K84" i="29"/>
  <c r="J84" i="29"/>
  <c r="K83" i="29"/>
  <c r="J83" i="29"/>
  <c r="L83" i="29" s="1"/>
  <c r="K90" i="29"/>
  <c r="L90" i="29" s="1"/>
  <c r="J90" i="29"/>
  <c r="L95" i="29"/>
  <c r="K95" i="29"/>
  <c r="J95" i="29"/>
  <c r="K94" i="29"/>
  <c r="J94" i="29"/>
  <c r="K93" i="29"/>
  <c r="J93" i="29"/>
  <c r="L93" i="29" s="1"/>
  <c r="K92" i="29"/>
  <c r="J92" i="29"/>
  <c r="L92" i="29" s="1"/>
  <c r="K106" i="29"/>
  <c r="J106" i="29"/>
  <c r="L106" i="29" s="1"/>
  <c r="K105" i="29"/>
  <c r="J105" i="29"/>
  <c r="K104" i="29"/>
  <c r="J104" i="29"/>
  <c r="L104" i="29" s="1"/>
  <c r="H106" i="29"/>
  <c r="H105" i="29"/>
  <c r="H104" i="29"/>
  <c r="H95" i="29"/>
  <c r="H94" i="29"/>
  <c r="H93" i="29"/>
  <c r="H92" i="29"/>
  <c r="H90" i="29"/>
  <c r="H85" i="29"/>
  <c r="H84" i="29"/>
  <c r="H83" i="29"/>
  <c r="H74" i="29"/>
  <c r="H73" i="29"/>
  <c r="H72" i="29"/>
  <c r="H71" i="29"/>
  <c r="H69" i="29"/>
  <c r="D104" i="29"/>
  <c r="D93" i="29"/>
  <c r="D83" i="29"/>
  <c r="D72" i="29"/>
  <c r="D69" i="29"/>
  <c r="D50" i="26"/>
  <c r="H83" i="23"/>
  <c r="H85" i="23"/>
  <c r="H93" i="23"/>
  <c r="H95" i="23"/>
  <c r="H104" i="23"/>
  <c r="H106" i="23"/>
  <c r="K106" i="23"/>
  <c r="J106" i="23"/>
  <c r="L106" i="23" s="1"/>
  <c r="K104" i="23"/>
  <c r="J104" i="23"/>
  <c r="K95" i="23"/>
  <c r="J95" i="23"/>
  <c r="K93" i="23"/>
  <c r="J93" i="23"/>
  <c r="L93" i="23" s="1"/>
  <c r="K85" i="23"/>
  <c r="J85" i="23"/>
  <c r="L85" i="23" s="1"/>
  <c r="K83" i="23"/>
  <c r="J83" i="23"/>
  <c r="L83" i="23" s="1"/>
  <c r="K74" i="23"/>
  <c r="J74" i="23"/>
  <c r="L74" i="23" s="1"/>
  <c r="K72" i="23"/>
  <c r="J72" i="23"/>
  <c r="L72" i="23" s="1"/>
  <c r="H74" i="23"/>
  <c r="H72" i="23"/>
  <c r="D52" i="22"/>
  <c r="D51" i="22"/>
  <c r="D51" i="77"/>
  <c r="D104" i="13"/>
  <c r="D93" i="13"/>
  <c r="H104" i="13"/>
  <c r="H106" i="13"/>
  <c r="K106" i="13"/>
  <c r="L106" i="13" s="1"/>
  <c r="J106" i="13"/>
  <c r="K104" i="13"/>
  <c r="J104" i="13"/>
  <c r="K95" i="13"/>
  <c r="J95" i="13"/>
  <c r="K93" i="13"/>
  <c r="J93" i="13"/>
  <c r="K91" i="13"/>
  <c r="J91" i="13"/>
  <c r="J90" i="13"/>
  <c r="L90" i="13" s="1"/>
  <c r="K90" i="13"/>
  <c r="K85" i="13"/>
  <c r="J85" i="13"/>
  <c r="K83" i="13"/>
  <c r="J83" i="13"/>
  <c r="K74" i="13"/>
  <c r="J74" i="13"/>
  <c r="K72" i="13"/>
  <c r="J72" i="13"/>
  <c r="L72" i="13" s="1"/>
  <c r="H95" i="13"/>
  <c r="H93" i="13"/>
  <c r="H91" i="13"/>
  <c r="H90" i="13"/>
  <c r="H85" i="13"/>
  <c r="H83" i="13"/>
  <c r="H74" i="13"/>
  <c r="H72" i="13"/>
  <c r="AG25" i="82"/>
  <c r="AG27" i="82"/>
  <c r="L85" i="13" l="1"/>
  <c r="L95" i="13"/>
  <c r="L93" i="33"/>
  <c r="L106" i="33"/>
  <c r="L93" i="37"/>
  <c r="L105" i="29"/>
  <c r="L94" i="29"/>
  <c r="L106" i="37"/>
  <c r="L85" i="37"/>
  <c r="L72" i="37"/>
  <c r="L104" i="13"/>
  <c r="L84" i="29"/>
  <c r="L74" i="13"/>
  <c r="L91" i="13"/>
  <c r="L95" i="23"/>
  <c r="L72" i="29"/>
  <c r="L83" i="13"/>
  <c r="L93" i="13"/>
  <c r="L104" i="23"/>
  <c r="L73" i="29"/>
  <c r="L95" i="37"/>
  <c r="AJ99" i="83"/>
  <c r="AI99" i="83"/>
  <c r="AK99" i="83" s="1"/>
  <c r="AG99" i="83"/>
  <c r="AF99" i="83"/>
  <c r="AH99" i="83" s="1"/>
  <c r="AJ75" i="83"/>
  <c r="AI75" i="83"/>
  <c r="AK75" i="83" s="1"/>
  <c r="AG75" i="83"/>
  <c r="AF75" i="83"/>
  <c r="AH75" i="83" s="1"/>
  <c r="AJ63" i="83"/>
  <c r="AI63" i="83"/>
  <c r="AG63" i="83"/>
  <c r="AF63" i="83"/>
  <c r="AJ49" i="83"/>
  <c r="AI49" i="83"/>
  <c r="AK49" i="83" s="1"/>
  <c r="AG49" i="83"/>
  <c r="AF49" i="83"/>
  <c r="AH49" i="83" s="1"/>
  <c r="AJ37" i="83"/>
  <c r="AI37" i="83"/>
  <c r="AK37" i="83" s="1"/>
  <c r="AG37" i="83"/>
  <c r="AF37" i="83"/>
  <c r="AH37" i="83" s="1"/>
  <c r="D75" i="83"/>
  <c r="D63" i="83"/>
  <c r="AB48" i="83"/>
  <c r="AB63" i="83"/>
  <c r="AB68" i="83"/>
  <c r="AB86" i="83"/>
  <c r="AB88" i="83"/>
  <c r="AB91" i="83"/>
  <c r="AB96" i="83"/>
  <c r="AB98" i="83"/>
  <c r="Y75" i="83"/>
  <c r="Y63" i="83"/>
  <c r="AH40" i="87"/>
  <c r="AH39" i="87"/>
  <c r="AH38" i="87"/>
  <c r="AH37" i="87"/>
  <c r="AH36" i="87"/>
  <c r="AH63" i="83" l="1"/>
  <c r="AK63" i="83"/>
  <c r="AJ85" i="84" l="1"/>
  <c r="AI85" i="84"/>
  <c r="AK85" i="84" s="1"/>
  <c r="AG85" i="84"/>
  <c r="AF85" i="84"/>
  <c r="AH85" i="84" s="1"/>
  <c r="AJ61" i="84"/>
  <c r="AI61" i="84"/>
  <c r="AK61" i="84" s="1"/>
  <c r="AH61" i="84"/>
  <c r="AG61" i="84"/>
  <c r="AF61" i="84"/>
  <c r="AJ59" i="84"/>
  <c r="AI59" i="84"/>
  <c r="AK59" i="84" s="1"/>
  <c r="AG59" i="84"/>
  <c r="AF59" i="84"/>
  <c r="AH59" i="84" s="1"/>
  <c r="AJ49" i="84"/>
  <c r="AI49" i="84"/>
  <c r="AK49" i="84" s="1"/>
  <c r="AG49" i="84"/>
  <c r="AF49" i="84"/>
  <c r="AH49" i="84" s="1"/>
  <c r="AJ37" i="84"/>
  <c r="AI37" i="84"/>
  <c r="AK37" i="84" s="1"/>
  <c r="AG37" i="84"/>
  <c r="AF37" i="84"/>
  <c r="AJ13" i="84"/>
  <c r="AI13" i="84"/>
  <c r="AK13" i="84" s="1"/>
  <c r="AG13" i="84"/>
  <c r="AF13" i="84"/>
  <c r="AH13" i="84" s="1"/>
  <c r="M77" i="86"/>
  <c r="AH37" i="84" l="1"/>
  <c r="M49" i="86"/>
  <c r="M46" i="86"/>
  <c r="M40" i="86"/>
  <c r="M34" i="86"/>
  <c r="M14" i="86"/>
  <c r="M16" i="86"/>
  <c r="M19" i="86"/>
  <c r="B57" i="87"/>
  <c r="D57" i="87" s="1"/>
  <c r="C57" i="87"/>
  <c r="B58" i="87"/>
  <c r="C58" i="87"/>
  <c r="D58" i="87"/>
  <c r="G45" i="87"/>
  <c r="D40" i="87"/>
  <c r="D37" i="87"/>
  <c r="D36" i="87"/>
  <c r="J24" i="87"/>
  <c r="P44" i="87"/>
  <c r="V44" i="87"/>
  <c r="U46" i="87"/>
  <c r="T46" i="87"/>
  <c r="U40" i="87"/>
  <c r="U11" i="87"/>
  <c r="T11" i="87"/>
  <c r="Y38" i="87" l="1"/>
  <c r="Y37" i="87"/>
  <c r="AB44" i="87"/>
  <c r="V40" i="87"/>
  <c r="B11" i="88"/>
  <c r="C11" i="88"/>
  <c r="B31" i="88"/>
  <c r="C31" i="88"/>
  <c r="D12" i="89"/>
  <c r="G11" i="89"/>
  <c r="G13" i="89"/>
  <c r="M13" i="89"/>
  <c r="M12" i="89"/>
  <c r="P12" i="89"/>
  <c r="S12" i="89"/>
  <c r="V12" i="89"/>
  <c r="Y12" i="89"/>
  <c r="AD12" i="89"/>
  <c r="AB12" i="89"/>
  <c r="AC12" i="89" l="1"/>
  <c r="AE12" i="89" s="1"/>
  <c r="J25" i="88" l="1"/>
  <c r="O20" i="85"/>
  <c r="P140" i="84"/>
  <c r="P43" i="82"/>
  <c r="P28" i="82"/>
  <c r="N46" i="82"/>
  <c r="N35" i="82"/>
  <c r="AA48" i="85" l="1"/>
  <c r="Z48" i="85"/>
  <c r="AA47" i="85"/>
  <c r="AA45" i="85"/>
  <c r="Z45" i="85"/>
  <c r="AA44" i="85"/>
  <c r="Z44" i="85"/>
  <c r="AA43" i="85"/>
  <c r="Z43" i="85"/>
  <c r="AA42" i="85"/>
  <c r="Z42" i="85"/>
  <c r="AA41" i="85"/>
  <c r="Z41" i="85"/>
  <c r="AA40" i="85"/>
  <c r="Z40" i="85"/>
  <c r="AA39" i="85"/>
  <c r="Z39" i="85"/>
  <c r="AA38" i="85"/>
  <c r="Z38" i="85"/>
  <c r="U48" i="85"/>
  <c r="T48" i="85"/>
  <c r="U47" i="85"/>
  <c r="T47" i="85"/>
  <c r="U45" i="85"/>
  <c r="T45" i="85"/>
  <c r="U44" i="85"/>
  <c r="T44" i="85"/>
  <c r="T43" i="85"/>
  <c r="U42" i="85"/>
  <c r="T42" i="85"/>
  <c r="U41" i="85"/>
  <c r="T41" i="85"/>
  <c r="U40" i="85"/>
  <c r="T40" i="85"/>
  <c r="U39" i="85"/>
  <c r="T39" i="85"/>
  <c r="U38" i="85"/>
  <c r="T38" i="85"/>
  <c r="R48" i="85"/>
  <c r="Q48" i="85"/>
  <c r="R47" i="85"/>
  <c r="Q47" i="85"/>
  <c r="R45" i="85"/>
  <c r="Q45" i="85"/>
  <c r="R44" i="85"/>
  <c r="Q44" i="85"/>
  <c r="R43" i="85"/>
  <c r="Q43" i="85"/>
  <c r="R42" i="85"/>
  <c r="Q42" i="85"/>
  <c r="R41" i="85"/>
  <c r="Q41" i="85"/>
  <c r="R40" i="85"/>
  <c r="Q40" i="85"/>
  <c r="R39" i="85"/>
  <c r="Q39" i="85"/>
  <c r="R38" i="85"/>
  <c r="Q38" i="85"/>
  <c r="O48" i="85"/>
  <c r="N48" i="85"/>
  <c r="O47" i="85"/>
  <c r="N47" i="85"/>
  <c r="O46" i="85"/>
  <c r="N46" i="85"/>
  <c r="O45" i="85"/>
  <c r="N45" i="85"/>
  <c r="O44" i="85"/>
  <c r="N44" i="85"/>
  <c r="O43" i="85"/>
  <c r="N43" i="85"/>
  <c r="O42" i="85"/>
  <c r="N42" i="85"/>
  <c r="O41" i="85"/>
  <c r="N41" i="85"/>
  <c r="O40" i="85"/>
  <c r="N40" i="85"/>
  <c r="O39" i="85"/>
  <c r="N39" i="85"/>
  <c r="O38" i="85"/>
  <c r="N38" i="85"/>
  <c r="L48" i="85"/>
  <c r="K48" i="85"/>
  <c r="L47" i="85"/>
  <c r="K47" i="85"/>
  <c r="L45" i="85"/>
  <c r="K45" i="85"/>
  <c r="L44" i="85"/>
  <c r="K44" i="85"/>
  <c r="L43" i="85"/>
  <c r="K43" i="85"/>
  <c r="L42" i="85"/>
  <c r="K42" i="85"/>
  <c r="L41" i="85"/>
  <c r="K41" i="85"/>
  <c r="L40" i="85"/>
  <c r="K40" i="85"/>
  <c r="L39" i="85"/>
  <c r="K39" i="85"/>
  <c r="L38" i="85"/>
  <c r="K38" i="85"/>
  <c r="I48" i="85"/>
  <c r="H48" i="85"/>
  <c r="I47" i="85"/>
  <c r="H47" i="85"/>
  <c r="I45" i="85"/>
  <c r="H45" i="85"/>
  <c r="I44" i="85"/>
  <c r="H44" i="85"/>
  <c r="I43" i="85"/>
  <c r="H43" i="85"/>
  <c r="I42" i="85"/>
  <c r="H42" i="85"/>
  <c r="I41" i="85"/>
  <c r="H41" i="85"/>
  <c r="I40" i="85"/>
  <c r="H40" i="85"/>
  <c r="I39" i="85"/>
  <c r="H39" i="85"/>
  <c r="I38" i="85"/>
  <c r="H38" i="85"/>
  <c r="F48" i="85"/>
  <c r="E48" i="85"/>
  <c r="F47" i="85"/>
  <c r="E47" i="85"/>
  <c r="F45" i="85"/>
  <c r="E45" i="85"/>
  <c r="F44" i="85"/>
  <c r="E44" i="85"/>
  <c r="F43" i="85"/>
  <c r="E43" i="85"/>
  <c r="F42" i="85"/>
  <c r="E42" i="85"/>
  <c r="F41" i="85"/>
  <c r="E41" i="85"/>
  <c r="F40" i="85"/>
  <c r="E40" i="85"/>
  <c r="F39" i="85"/>
  <c r="E39" i="85"/>
  <c r="F38" i="85"/>
  <c r="E38" i="85"/>
  <c r="C48" i="85"/>
  <c r="B48" i="85"/>
  <c r="C47" i="85"/>
  <c r="B47" i="85"/>
  <c r="C45" i="85"/>
  <c r="B45" i="85"/>
  <c r="C44" i="85"/>
  <c r="B44" i="85"/>
  <c r="C43" i="85"/>
  <c r="B43" i="85"/>
  <c r="C42" i="85"/>
  <c r="B42" i="85"/>
  <c r="C41" i="85"/>
  <c r="B41" i="85"/>
  <c r="C40" i="85"/>
  <c r="B40" i="85"/>
  <c r="C39" i="85"/>
  <c r="B39" i="85"/>
  <c r="C38" i="85"/>
  <c r="B38" i="85"/>
  <c r="X48" i="85"/>
  <c r="W48" i="85"/>
  <c r="X47" i="85"/>
  <c r="W47" i="85"/>
  <c r="X45" i="85"/>
  <c r="W45" i="85"/>
  <c r="X44" i="85"/>
  <c r="W44" i="85"/>
  <c r="X43" i="85"/>
  <c r="W43" i="85"/>
  <c r="X42" i="85"/>
  <c r="W42" i="85"/>
  <c r="X41" i="85"/>
  <c r="W41" i="85"/>
  <c r="X39" i="85"/>
  <c r="W39" i="85"/>
  <c r="X38" i="85"/>
  <c r="W38" i="85"/>
  <c r="W40" i="85"/>
  <c r="X40" i="85"/>
  <c r="I40" i="88" l="1"/>
  <c r="H40" i="88"/>
  <c r="I31" i="88"/>
  <c r="H31" i="88"/>
  <c r="I21" i="88"/>
  <c r="H21" i="88"/>
  <c r="I16" i="88"/>
  <c r="H16" i="88"/>
  <c r="I11" i="88"/>
  <c r="H11" i="88"/>
  <c r="N59" i="87"/>
  <c r="H35" i="88" l="1"/>
  <c r="J21" i="88"/>
  <c r="I35" i="88"/>
  <c r="O46" i="87"/>
  <c r="N46" i="87"/>
  <c r="O40" i="87"/>
  <c r="P40" i="87" s="1"/>
  <c r="O23" i="87"/>
  <c r="N23" i="87"/>
  <c r="O11" i="87"/>
  <c r="G34" i="87" l="1"/>
  <c r="G30" i="87"/>
  <c r="G24" i="87"/>
  <c r="F23" i="87"/>
  <c r="E23" i="87"/>
  <c r="F11" i="87"/>
  <c r="E11" i="87"/>
  <c r="G90" i="86"/>
  <c r="G89" i="86"/>
  <c r="G75" i="86"/>
  <c r="G71" i="86"/>
  <c r="G43" i="86"/>
  <c r="G42" i="86"/>
  <c r="G37" i="86"/>
  <c r="G36" i="86"/>
  <c r="G34" i="86"/>
  <c r="G23" i="86"/>
  <c r="G18" i="86"/>
  <c r="G17" i="86"/>
  <c r="F80" i="86"/>
  <c r="F93" i="86" s="1"/>
  <c r="E80" i="86"/>
  <c r="E93" i="86" s="1"/>
  <c r="F39" i="86"/>
  <c r="E39" i="86"/>
  <c r="F35" i="86"/>
  <c r="E35" i="86"/>
  <c r="F20" i="86"/>
  <c r="E20" i="86"/>
  <c r="F16" i="86"/>
  <c r="F27" i="86" s="1"/>
  <c r="F29" i="86" s="1"/>
  <c r="E16" i="86"/>
  <c r="F32" i="85"/>
  <c r="E32" i="85"/>
  <c r="F20" i="85"/>
  <c r="E20" i="85"/>
  <c r="E9" i="83"/>
  <c r="F9" i="83"/>
  <c r="G36" i="83"/>
  <c r="G38" i="83"/>
  <c r="G41" i="83"/>
  <c r="E44" i="83"/>
  <c r="F44" i="83"/>
  <c r="G46" i="83"/>
  <c r="F41" i="82"/>
  <c r="E41" i="82"/>
  <c r="F30" i="82"/>
  <c r="E30" i="82"/>
  <c r="F21" i="82"/>
  <c r="E21" i="82"/>
  <c r="F14" i="82"/>
  <c r="E14" i="82"/>
  <c r="G35" i="86" l="1"/>
  <c r="G16" i="86"/>
  <c r="E35" i="82"/>
  <c r="E42" i="82" s="1"/>
  <c r="E44" i="82" s="1"/>
  <c r="E46" i="82" s="1"/>
  <c r="F46" i="85"/>
  <c r="F45" i="86"/>
  <c r="F35" i="82"/>
  <c r="F42" i="82" s="1"/>
  <c r="F44" i="82" s="1"/>
  <c r="F46" i="82" s="1"/>
  <c r="G44" i="83"/>
  <c r="E46" i="85"/>
  <c r="F62" i="86"/>
  <c r="F64" i="86" s="1"/>
  <c r="E45" i="86"/>
  <c r="E62" i="86" s="1"/>
  <c r="E27" i="86"/>
  <c r="E29" i="86" s="1"/>
  <c r="E64" i="86" l="1"/>
  <c r="C23" i="9" l="1"/>
  <c r="H23" i="9"/>
  <c r="B48" i="87" l="1"/>
  <c r="B46" i="87" s="1"/>
  <c r="C46" i="87"/>
  <c r="C40" i="87"/>
  <c r="B38" i="87"/>
  <c r="D38" i="87" s="1"/>
  <c r="B35" i="87"/>
  <c r="B28" i="87"/>
  <c r="B24" i="87"/>
  <c r="B23" i="87" s="1"/>
  <c r="C23" i="87"/>
  <c r="B16" i="87"/>
  <c r="B12" i="87"/>
  <c r="C11" i="87"/>
  <c r="B11" i="87"/>
  <c r="D49" i="86"/>
  <c r="D46" i="86"/>
  <c r="D38" i="86"/>
  <c r="D19" i="86"/>
  <c r="D18" i="86"/>
  <c r="D17" i="86"/>
  <c r="C87" i="86"/>
  <c r="B87" i="86"/>
  <c r="C80" i="86"/>
  <c r="C93" i="86" s="1"/>
  <c r="B80" i="86"/>
  <c r="C54" i="86"/>
  <c r="C60" i="86" s="1"/>
  <c r="B54" i="86"/>
  <c r="B60" i="86" s="1"/>
  <c r="C39" i="86"/>
  <c r="B39" i="86"/>
  <c r="C35" i="86"/>
  <c r="C45" i="86" s="1"/>
  <c r="B35" i="86"/>
  <c r="B45" i="86" s="1"/>
  <c r="C20" i="86"/>
  <c r="B20" i="86"/>
  <c r="C16" i="86"/>
  <c r="B16" i="86"/>
  <c r="C32" i="85"/>
  <c r="B32" i="85"/>
  <c r="C20" i="85"/>
  <c r="B20" i="85"/>
  <c r="D13" i="84"/>
  <c r="C92" i="84"/>
  <c r="B92" i="84"/>
  <c r="C56" i="84"/>
  <c r="B56" i="84"/>
  <c r="C20" i="84"/>
  <c r="B20" i="84"/>
  <c r="C106" i="83"/>
  <c r="B106" i="83"/>
  <c r="C82" i="83"/>
  <c r="B82" i="83"/>
  <c r="C70" i="83"/>
  <c r="B70" i="83"/>
  <c r="C56" i="83"/>
  <c r="B56" i="83"/>
  <c r="C32" i="83"/>
  <c r="B32" i="83"/>
  <c r="C20" i="83"/>
  <c r="B20" i="83"/>
  <c r="C41" i="82"/>
  <c r="B41" i="82"/>
  <c r="C30" i="82"/>
  <c r="B30" i="82"/>
  <c r="C21" i="82"/>
  <c r="B21" i="82"/>
  <c r="C14" i="82"/>
  <c r="B14" i="82"/>
  <c r="B62" i="86" l="1"/>
  <c r="D16" i="86"/>
  <c r="B93" i="86"/>
  <c r="B35" i="82"/>
  <c r="B42" i="82" s="1"/>
  <c r="B44" i="82" s="1"/>
  <c r="B46" i="82" s="1"/>
  <c r="B46" i="85"/>
  <c r="C35" i="82"/>
  <c r="C42" i="82" s="1"/>
  <c r="C44" i="82" s="1"/>
  <c r="C46" i="82" s="1"/>
  <c r="C46" i="85"/>
  <c r="B27" i="86"/>
  <c r="B29" i="86" s="1"/>
  <c r="B64" i="86" s="1"/>
  <c r="C27" i="86"/>
  <c r="C29" i="86" s="1"/>
  <c r="C62" i="86"/>
  <c r="C64" i="86" l="1"/>
  <c r="J37" i="87"/>
  <c r="J34" i="87"/>
  <c r="J30" i="87"/>
  <c r="I35" i="87"/>
  <c r="H35" i="87"/>
  <c r="I23" i="87"/>
  <c r="H23" i="87"/>
  <c r="I11" i="87"/>
  <c r="H11" i="87"/>
  <c r="J90" i="86"/>
  <c r="J37" i="86"/>
  <c r="J36" i="86"/>
  <c r="J18" i="86"/>
  <c r="J17" i="86"/>
  <c r="I80" i="86"/>
  <c r="I93" i="86" s="1"/>
  <c r="H80" i="86"/>
  <c r="H93" i="86" s="1"/>
  <c r="I39" i="86"/>
  <c r="H39" i="86"/>
  <c r="I35" i="86"/>
  <c r="I45" i="86" s="1"/>
  <c r="H35" i="86"/>
  <c r="J35" i="86" s="1"/>
  <c r="I20" i="86"/>
  <c r="I27" i="86" s="1"/>
  <c r="I29" i="86" s="1"/>
  <c r="H20" i="86"/>
  <c r="H16" i="86"/>
  <c r="J16" i="86" s="1"/>
  <c r="G76" i="86"/>
  <c r="J45" i="85"/>
  <c r="I32" i="85"/>
  <c r="H32" i="85"/>
  <c r="I20" i="85"/>
  <c r="H20" i="85"/>
  <c r="I94" i="83"/>
  <c r="H94" i="83"/>
  <c r="I44" i="83"/>
  <c r="H44" i="83"/>
  <c r="J27" i="82"/>
  <c r="J26" i="82"/>
  <c r="I41" i="82"/>
  <c r="H41" i="82"/>
  <c r="I30" i="82"/>
  <c r="H30" i="82"/>
  <c r="I21" i="82"/>
  <c r="H21" i="82"/>
  <c r="I14" i="82"/>
  <c r="H14" i="82"/>
  <c r="H35" i="82" l="1"/>
  <c r="H42" i="82" s="1"/>
  <c r="H44" i="82" s="1"/>
  <c r="H46" i="82" s="1"/>
  <c r="I35" i="82"/>
  <c r="I42" i="82" s="1"/>
  <c r="I44" i="82" s="1"/>
  <c r="I46" i="82" s="1"/>
  <c r="H45" i="86"/>
  <c r="H62" i="86" s="1"/>
  <c r="I46" i="85"/>
  <c r="H46" i="85"/>
  <c r="H27" i="86"/>
  <c r="H29" i="86" s="1"/>
  <c r="H64" i="86" s="1"/>
  <c r="I62" i="86"/>
  <c r="I64" i="86" s="1"/>
  <c r="R16" i="88" l="1"/>
  <c r="Q16" i="88"/>
  <c r="R11" i="88"/>
  <c r="Q11" i="88"/>
  <c r="AA46" i="87"/>
  <c r="Z46" i="87"/>
  <c r="AA40" i="87"/>
  <c r="Z35" i="87"/>
  <c r="AA23" i="87"/>
  <c r="Z23" i="87"/>
  <c r="AA11" i="87"/>
  <c r="Z11" i="87"/>
  <c r="AA87" i="86"/>
  <c r="Z87" i="86"/>
  <c r="AA80" i="86"/>
  <c r="AA93" i="86" s="1"/>
  <c r="Z80" i="86"/>
  <c r="AA54" i="86"/>
  <c r="Z54" i="86"/>
  <c r="AA50" i="86"/>
  <c r="Z50" i="86"/>
  <c r="AA39" i="86"/>
  <c r="Z39" i="86"/>
  <c r="AA35" i="86"/>
  <c r="AA45" i="86" s="1"/>
  <c r="Z35" i="86"/>
  <c r="AA20" i="86"/>
  <c r="Z20" i="86"/>
  <c r="AA16" i="86"/>
  <c r="Z16" i="86"/>
  <c r="Z27" i="86" s="1"/>
  <c r="Z29" i="86" s="1"/>
  <c r="AA32" i="85"/>
  <c r="Z32" i="85"/>
  <c r="AA20" i="85"/>
  <c r="Z20" i="85"/>
  <c r="AB114" i="84"/>
  <c r="AB113" i="84"/>
  <c r="AB109" i="84"/>
  <c r="AB105" i="84"/>
  <c r="AB103" i="84"/>
  <c r="AB88" i="84"/>
  <c r="AB85" i="84"/>
  <c r="AB82" i="84"/>
  <c r="AB77" i="84"/>
  <c r="AB74" i="84"/>
  <c r="AB72" i="84"/>
  <c r="AB70" i="84"/>
  <c r="AB69" i="84"/>
  <c r="AB67" i="84"/>
  <c r="AB66" i="84"/>
  <c r="AB65" i="84"/>
  <c r="AB64" i="84"/>
  <c r="AB63" i="84"/>
  <c r="AB62" i="84"/>
  <c r="AB61" i="84"/>
  <c r="AB60" i="84"/>
  <c r="AB46" i="84"/>
  <c r="AB45" i="84"/>
  <c r="AB41" i="84"/>
  <c r="AB38" i="84"/>
  <c r="AB37" i="84"/>
  <c r="AB36" i="84"/>
  <c r="AB13" i="84"/>
  <c r="AA130" i="84"/>
  <c r="Z130" i="84"/>
  <c r="AA116" i="84"/>
  <c r="Z116" i="84"/>
  <c r="AA104" i="84"/>
  <c r="Z104" i="84"/>
  <c r="AA92" i="84"/>
  <c r="Z92" i="84"/>
  <c r="AA80" i="84"/>
  <c r="Z80" i="84"/>
  <c r="AB80" i="84" s="1"/>
  <c r="AA68" i="84"/>
  <c r="Z68" i="84"/>
  <c r="AB68" i="84" s="1"/>
  <c r="AA56" i="84"/>
  <c r="Z56" i="84"/>
  <c r="AA44" i="84"/>
  <c r="Z44" i="84"/>
  <c r="AB44" i="84" s="1"/>
  <c r="Z21" i="84"/>
  <c r="Z47" i="85" s="1"/>
  <c r="AA20" i="84"/>
  <c r="Z20" i="84"/>
  <c r="AA106" i="83"/>
  <c r="Z106" i="83"/>
  <c r="AA94" i="83"/>
  <c r="Z94" i="83"/>
  <c r="AA70" i="83"/>
  <c r="Z70" i="83"/>
  <c r="AA56" i="83"/>
  <c r="Z56" i="83"/>
  <c r="AA44" i="83"/>
  <c r="Z44" i="83"/>
  <c r="AA20" i="83"/>
  <c r="Z20" i="83"/>
  <c r="AB94" i="83" l="1"/>
  <c r="AA46" i="85"/>
  <c r="AA27" i="86"/>
  <c r="AA29" i="86" s="1"/>
  <c r="Z45" i="86"/>
  <c r="Z93" i="86"/>
  <c r="Z46" i="85"/>
  <c r="Z60" i="86"/>
  <c r="AA60" i="86"/>
  <c r="AA62" i="86" s="1"/>
  <c r="AA64" i="86" s="1"/>
  <c r="AA57" i="82"/>
  <c r="AA58" i="82" s="1"/>
  <c r="Z57" i="82"/>
  <c r="Z58" i="82" s="1"/>
  <c r="AA41" i="82"/>
  <c r="Z40" i="82"/>
  <c r="Z41" i="82" s="1"/>
  <c r="AA30" i="82"/>
  <c r="Z30" i="82"/>
  <c r="AA21" i="82"/>
  <c r="Z19" i="82"/>
  <c r="Z21" i="82" s="1"/>
  <c r="AA14" i="82"/>
  <c r="Z14" i="82"/>
  <c r="D30" i="37"/>
  <c r="H30" i="37"/>
  <c r="D31" i="37"/>
  <c r="H31" i="37"/>
  <c r="H32" i="37"/>
  <c r="H33" i="37"/>
  <c r="D34" i="37"/>
  <c r="H34" i="37"/>
  <c r="D35" i="37"/>
  <c r="H35" i="37"/>
  <c r="D36" i="37"/>
  <c r="D37" i="37"/>
  <c r="D47" i="37"/>
  <c r="Z62" i="86" l="1"/>
  <c r="Z64" i="86" s="1"/>
  <c r="AA35" i="82"/>
  <c r="AA42" i="82" s="1"/>
  <c r="AA44" i="82" s="1"/>
  <c r="AA46" i="82" s="1"/>
  <c r="Z35" i="82"/>
  <c r="Z42" i="82" s="1"/>
  <c r="Z44" i="82" s="1"/>
  <c r="Z46" i="82" s="1"/>
  <c r="AE38" i="87" l="1"/>
  <c r="AE34" i="87"/>
  <c r="AE22" i="87"/>
  <c r="AD46" i="87"/>
  <c r="AC46" i="87"/>
  <c r="AD40" i="87"/>
  <c r="AC40" i="87"/>
  <c r="AE40" i="87" s="1"/>
  <c r="AC35" i="87"/>
  <c r="AD23" i="87"/>
  <c r="AC23" i="87"/>
  <c r="AD11" i="87"/>
  <c r="AC11" i="87"/>
  <c r="AD80" i="86"/>
  <c r="AD93" i="86" s="1"/>
  <c r="AC80" i="86"/>
  <c r="AC93" i="86" s="1"/>
  <c r="AD39" i="86"/>
  <c r="AD45" i="86" s="1"/>
  <c r="AC39" i="86"/>
  <c r="AC45" i="86" s="1"/>
  <c r="AC62" i="86" s="1"/>
  <c r="AD20" i="86"/>
  <c r="AD27" i="86" s="1"/>
  <c r="AD29" i="86" s="1"/>
  <c r="AC20" i="86"/>
  <c r="AC27" i="86" s="1"/>
  <c r="AC29" i="86" s="1"/>
  <c r="AD57" i="82"/>
  <c r="AD41" i="82"/>
  <c r="AD30" i="82"/>
  <c r="AC23" i="82"/>
  <c r="AC30" i="82" s="1"/>
  <c r="AD21" i="82"/>
  <c r="AC21" i="82"/>
  <c r="AD14" i="82"/>
  <c r="AC14" i="82"/>
  <c r="AC35" i="82" l="1"/>
  <c r="AC42" i="82" s="1"/>
  <c r="AC44" i="82" s="1"/>
  <c r="AC46" i="82" s="1"/>
  <c r="AD35" i="82"/>
  <c r="AD42" i="82" s="1"/>
  <c r="AD44" i="82" s="1"/>
  <c r="AD46" i="82" s="1"/>
  <c r="AD58" i="82"/>
  <c r="AD62" i="86"/>
  <c r="AD64" i="86" s="1"/>
  <c r="AC64" i="86"/>
  <c r="O31" i="88" l="1"/>
  <c r="N31" i="88"/>
  <c r="O16" i="88"/>
  <c r="N16" i="88"/>
  <c r="O11" i="88"/>
  <c r="N11" i="88"/>
  <c r="X59" i="87"/>
  <c r="X58" i="87"/>
  <c r="W58" i="87"/>
  <c r="X57" i="87"/>
  <c r="W57" i="87"/>
  <c r="X56" i="87"/>
  <c r="W56" i="87"/>
  <c r="X55" i="87"/>
  <c r="W55" i="87"/>
  <c r="X54" i="87"/>
  <c r="W54" i="87"/>
  <c r="X53" i="87"/>
  <c r="W53" i="87"/>
  <c r="X46" i="87"/>
  <c r="W46" i="87"/>
  <c r="X40" i="87"/>
  <c r="W40" i="87"/>
  <c r="W35" i="87"/>
  <c r="X23" i="87"/>
  <c r="W23" i="87"/>
  <c r="X11" i="87"/>
  <c r="W11" i="87"/>
  <c r="X87" i="86"/>
  <c r="W87" i="86"/>
  <c r="X80" i="86"/>
  <c r="W80" i="86"/>
  <c r="X54" i="86"/>
  <c r="W54" i="86"/>
  <c r="W60" i="86" s="1"/>
  <c r="X50" i="86"/>
  <c r="X39" i="86"/>
  <c r="W39" i="86"/>
  <c r="X35" i="86"/>
  <c r="W35" i="86"/>
  <c r="X20" i="86"/>
  <c r="W20" i="86"/>
  <c r="X16" i="86"/>
  <c r="W16" i="86"/>
  <c r="Y13" i="85"/>
  <c r="X20" i="85"/>
  <c r="W20" i="85"/>
  <c r="Y118" i="84"/>
  <c r="Y112" i="84"/>
  <c r="Y110" i="84"/>
  <c r="Y109" i="84"/>
  <c r="X116" i="84"/>
  <c r="X92" i="84"/>
  <c r="W92" i="84"/>
  <c r="X80" i="84"/>
  <c r="W80" i="84"/>
  <c r="X68" i="84"/>
  <c r="W68" i="84"/>
  <c r="X56" i="84"/>
  <c r="W56" i="84"/>
  <c r="X44" i="84"/>
  <c r="W44" i="84"/>
  <c r="X20" i="84"/>
  <c r="W20" i="84"/>
  <c r="X106" i="83"/>
  <c r="W106" i="83"/>
  <c r="X82" i="83"/>
  <c r="W82" i="83"/>
  <c r="X70" i="83"/>
  <c r="W70" i="83"/>
  <c r="X56" i="83"/>
  <c r="W56" i="83"/>
  <c r="X32" i="83"/>
  <c r="W32" i="83"/>
  <c r="X20" i="83"/>
  <c r="W20" i="83"/>
  <c r="X57" i="82"/>
  <c r="X41" i="82"/>
  <c r="W41" i="82"/>
  <c r="X30" i="82"/>
  <c r="W30" i="82"/>
  <c r="X21" i="82"/>
  <c r="W21" i="82"/>
  <c r="X14" i="82"/>
  <c r="W14" i="82"/>
  <c r="X27" i="86" l="1"/>
  <c r="X29" i="86" s="1"/>
  <c r="W59" i="87"/>
  <c r="Y40" i="87"/>
  <c r="X46" i="85"/>
  <c r="X60" i="86"/>
  <c r="W46" i="85"/>
  <c r="W93" i="86"/>
  <c r="X45" i="86"/>
  <c r="W27" i="86"/>
  <c r="W29" i="86" s="1"/>
  <c r="W45" i="86"/>
  <c r="W62" i="86" s="1"/>
  <c r="W35" i="82"/>
  <c r="W42" i="82" s="1"/>
  <c r="W44" i="82" s="1"/>
  <c r="W46" i="82" s="1"/>
  <c r="W52" i="87"/>
  <c r="X52" i="87"/>
  <c r="X58" i="82"/>
  <c r="X35" i="82"/>
  <c r="X42" i="82" s="1"/>
  <c r="X44" i="82" s="1"/>
  <c r="X46" i="82" s="1"/>
  <c r="X93" i="86"/>
  <c r="W64" i="86" l="1"/>
  <c r="X62" i="86"/>
  <c r="X64" i="86" s="1"/>
  <c r="F31" i="88"/>
  <c r="E31" i="88"/>
  <c r="F16" i="88"/>
  <c r="E16" i="88"/>
  <c r="F11" i="88"/>
  <c r="E11" i="88"/>
  <c r="L46" i="87"/>
  <c r="K46" i="87"/>
  <c r="L40" i="87"/>
  <c r="K40" i="87"/>
  <c r="M40" i="87" s="1"/>
  <c r="K35" i="87"/>
  <c r="L23" i="87"/>
  <c r="K23" i="87"/>
  <c r="L11" i="87"/>
  <c r="K11" i="87"/>
  <c r="L87" i="86"/>
  <c r="K87" i="86"/>
  <c r="L80" i="86"/>
  <c r="L93" i="86" s="1"/>
  <c r="K80" i="86"/>
  <c r="L54" i="86"/>
  <c r="K54" i="86"/>
  <c r="K60" i="86" s="1"/>
  <c r="L39" i="86"/>
  <c r="K39" i="86"/>
  <c r="L35" i="86"/>
  <c r="K35" i="86"/>
  <c r="K45" i="86" s="1"/>
  <c r="L20" i="86"/>
  <c r="K20" i="86"/>
  <c r="L16" i="86"/>
  <c r="K16" i="86"/>
  <c r="L92" i="84"/>
  <c r="K92" i="84"/>
  <c r="L56" i="84"/>
  <c r="K56" i="84"/>
  <c r="L106" i="83"/>
  <c r="K106" i="83"/>
  <c r="L94" i="83"/>
  <c r="K94" i="83"/>
  <c r="K57" i="82"/>
  <c r="K58" i="82" s="1"/>
  <c r="L41" i="82"/>
  <c r="K41" i="82"/>
  <c r="L30" i="82"/>
  <c r="K30" i="82"/>
  <c r="L21" i="82"/>
  <c r="K21" i="82"/>
  <c r="L14" i="82"/>
  <c r="K14" i="82"/>
  <c r="L27" i="86" l="1"/>
  <c r="L29" i="86" s="1"/>
  <c r="K93" i="86"/>
  <c r="K46" i="85"/>
  <c r="K35" i="82"/>
  <c r="K42" i="82" s="1"/>
  <c r="K44" i="82" s="1"/>
  <c r="K46" i="82" s="1"/>
  <c r="L46" i="85"/>
  <c r="L35" i="82"/>
  <c r="L42" i="82" s="1"/>
  <c r="L44" i="82" s="1"/>
  <c r="L46" i="82" s="1"/>
  <c r="L45" i="86"/>
  <c r="K27" i="86"/>
  <c r="K29" i="86" s="1"/>
  <c r="L60" i="86"/>
  <c r="K62" i="86"/>
  <c r="L62" i="86" l="1"/>
  <c r="L64" i="86" s="1"/>
  <c r="K64" i="86"/>
  <c r="L16" i="88"/>
  <c r="K16" i="88"/>
  <c r="L11" i="88"/>
  <c r="K11" i="88"/>
  <c r="S38" i="87"/>
  <c r="S37" i="87"/>
  <c r="S36" i="87"/>
  <c r="R59" i="87"/>
  <c r="R58" i="87"/>
  <c r="Q58" i="87"/>
  <c r="R56" i="87"/>
  <c r="Q56" i="87"/>
  <c r="R54" i="87"/>
  <c r="Q54" i="87"/>
  <c r="R53" i="87"/>
  <c r="Q53" i="87"/>
  <c r="R46" i="87"/>
  <c r="Q46" i="87"/>
  <c r="R40" i="87"/>
  <c r="Q59" i="87"/>
  <c r="Q35" i="87"/>
  <c r="R23" i="87"/>
  <c r="Q23" i="87"/>
  <c r="R11" i="87"/>
  <c r="Q11" i="87"/>
  <c r="S78" i="86"/>
  <c r="S58" i="86"/>
  <c r="S56" i="86"/>
  <c r="S49" i="86"/>
  <c r="S25" i="86"/>
  <c r="S18" i="86"/>
  <c r="S17" i="86"/>
  <c r="S15" i="86"/>
  <c r="R87" i="86"/>
  <c r="Q87" i="86"/>
  <c r="R80" i="86"/>
  <c r="Q80" i="86"/>
  <c r="R54" i="86"/>
  <c r="R60" i="86" s="1"/>
  <c r="Q54" i="86"/>
  <c r="Q60" i="86" s="1"/>
  <c r="R39" i="86"/>
  <c r="Q39" i="86"/>
  <c r="R35" i="86"/>
  <c r="Q35" i="86"/>
  <c r="R20" i="86"/>
  <c r="Q20" i="86"/>
  <c r="R16" i="86"/>
  <c r="Q16" i="86"/>
  <c r="R32" i="85"/>
  <c r="Q32" i="85"/>
  <c r="S105" i="84"/>
  <c r="S103" i="84"/>
  <c r="S87" i="84"/>
  <c r="S85" i="84"/>
  <c r="S57" i="84"/>
  <c r="S13" i="84"/>
  <c r="R104" i="84"/>
  <c r="Q104" i="84"/>
  <c r="R92" i="84"/>
  <c r="Q92" i="84"/>
  <c r="R56" i="84"/>
  <c r="Q56" i="84"/>
  <c r="R20" i="84"/>
  <c r="Q20" i="84"/>
  <c r="S107" i="83"/>
  <c r="S105" i="83"/>
  <c r="S95" i="83"/>
  <c r="S75" i="83"/>
  <c r="S63" i="83"/>
  <c r="S57" i="83"/>
  <c r="S48" i="83"/>
  <c r="S30" i="83"/>
  <c r="R106" i="83"/>
  <c r="Q106" i="83"/>
  <c r="R94" i="83"/>
  <c r="Q94" i="83"/>
  <c r="R82" i="83"/>
  <c r="Q82" i="83"/>
  <c r="R70" i="83"/>
  <c r="Q70" i="83"/>
  <c r="R56" i="83"/>
  <c r="Q56" i="83"/>
  <c r="R44" i="83"/>
  <c r="Q44" i="83"/>
  <c r="R32" i="83"/>
  <c r="Q32" i="83"/>
  <c r="R20" i="83"/>
  <c r="Q20" i="83"/>
  <c r="R57" i="82"/>
  <c r="R58" i="82" s="1"/>
  <c r="Q57" i="82"/>
  <c r="Q58" i="82" s="1"/>
  <c r="R41" i="82"/>
  <c r="Q41" i="82"/>
  <c r="R30" i="82"/>
  <c r="Q30" i="82"/>
  <c r="R21" i="82"/>
  <c r="Q21" i="82"/>
  <c r="R14" i="82"/>
  <c r="Q14" i="82"/>
  <c r="V78" i="86"/>
  <c r="V77" i="86"/>
  <c r="V21" i="86"/>
  <c r="U88" i="86"/>
  <c r="T88" i="86"/>
  <c r="U80" i="86"/>
  <c r="T80" i="86"/>
  <c r="U39" i="86"/>
  <c r="T39" i="86"/>
  <c r="U35" i="86"/>
  <c r="T35" i="86"/>
  <c r="U28" i="86"/>
  <c r="T28" i="86"/>
  <c r="U20" i="86"/>
  <c r="T20" i="86"/>
  <c r="U16" i="86"/>
  <c r="T16" i="86"/>
  <c r="V126" i="84"/>
  <c r="V123" i="84"/>
  <c r="V122" i="84"/>
  <c r="T130" i="84"/>
  <c r="T46" i="85" s="1"/>
  <c r="U127" i="84"/>
  <c r="V45" i="82"/>
  <c r="V28" i="82"/>
  <c r="V20" i="82"/>
  <c r="V12" i="82"/>
  <c r="U41" i="82"/>
  <c r="T41" i="82"/>
  <c r="U30" i="82"/>
  <c r="T30" i="82"/>
  <c r="U21" i="82"/>
  <c r="T21" i="82"/>
  <c r="U14" i="82"/>
  <c r="T14" i="82"/>
  <c r="G65" i="9"/>
  <c r="Y39" i="85"/>
  <c r="P39" i="85"/>
  <c r="M39" i="85"/>
  <c r="J39" i="85"/>
  <c r="G39" i="85"/>
  <c r="Q45" i="86" l="1"/>
  <c r="Q62" i="86" s="1"/>
  <c r="U130" i="84"/>
  <c r="U46" i="85" s="1"/>
  <c r="U43" i="85"/>
  <c r="Q46" i="85"/>
  <c r="R46" i="85"/>
  <c r="R93" i="86"/>
  <c r="U27" i="86"/>
  <c r="U29" i="86" s="1"/>
  <c r="T45" i="86"/>
  <c r="T62" i="86" s="1"/>
  <c r="T35" i="82"/>
  <c r="T42" i="82" s="1"/>
  <c r="T44" i="82" s="1"/>
  <c r="T46" i="82" s="1"/>
  <c r="U45" i="86"/>
  <c r="U62" i="86" s="1"/>
  <c r="Q35" i="82"/>
  <c r="Q42" i="82" s="1"/>
  <c r="Q44" i="82" s="1"/>
  <c r="Q46" i="82" s="1"/>
  <c r="U35" i="82"/>
  <c r="U42" i="82" s="1"/>
  <c r="U44" i="82" s="1"/>
  <c r="U46" i="82" s="1"/>
  <c r="R35" i="82"/>
  <c r="R42" i="82" s="1"/>
  <c r="R44" i="82" s="1"/>
  <c r="R46" i="82" s="1"/>
  <c r="Q27" i="86"/>
  <c r="Q29" i="86" s="1"/>
  <c r="S40" i="87"/>
  <c r="R45" i="86"/>
  <c r="R62" i="86" s="1"/>
  <c r="R64" i="86" s="1"/>
  <c r="Q52" i="87"/>
  <c r="R27" i="86"/>
  <c r="R29" i="86" s="1"/>
  <c r="Q93" i="86"/>
  <c r="R52" i="87"/>
  <c r="S16" i="86"/>
  <c r="T27" i="86"/>
  <c r="T29" i="86" s="1"/>
  <c r="T93" i="86"/>
  <c r="U93" i="86"/>
  <c r="S39" i="85"/>
  <c r="AI39" i="85"/>
  <c r="AJ39" i="85"/>
  <c r="V39" i="85"/>
  <c r="AB39" i="85"/>
  <c r="T64" i="86" l="1"/>
  <c r="U64" i="86"/>
  <c r="Q64" i="86"/>
  <c r="AG50" i="87"/>
  <c r="AF50" i="87"/>
  <c r="AG49" i="87"/>
  <c r="AF49" i="87"/>
  <c r="AG48" i="87"/>
  <c r="AG47" i="87"/>
  <c r="AF47" i="87"/>
  <c r="AG45" i="87"/>
  <c r="AF45" i="87"/>
  <c r="AG44" i="87"/>
  <c r="AF44" i="87"/>
  <c r="AG43" i="87"/>
  <c r="AF43" i="87"/>
  <c r="AG42" i="87"/>
  <c r="AF42" i="87"/>
  <c r="AG41" i="87"/>
  <c r="AF41" i="87"/>
  <c r="AG39" i="87"/>
  <c r="AF39" i="87"/>
  <c r="AG38" i="87"/>
  <c r="AG37" i="87"/>
  <c r="AF37" i="87"/>
  <c r="AG36" i="87"/>
  <c r="AF36" i="87"/>
  <c r="AG34" i="87"/>
  <c r="AF34" i="87"/>
  <c r="AG33" i="87"/>
  <c r="AF33" i="87"/>
  <c r="AG32" i="87"/>
  <c r="AF32" i="87"/>
  <c r="AG31" i="87"/>
  <c r="AF31" i="87"/>
  <c r="AG30" i="87"/>
  <c r="AF30" i="87"/>
  <c r="AG29" i="87"/>
  <c r="AF29" i="87"/>
  <c r="AG28" i="87"/>
  <c r="AG27" i="87"/>
  <c r="AF27" i="87"/>
  <c r="AG26" i="87"/>
  <c r="AF26" i="87"/>
  <c r="AG25" i="87"/>
  <c r="AF25" i="87"/>
  <c r="AG24" i="87"/>
  <c r="AG22" i="87"/>
  <c r="AF22" i="87"/>
  <c r="AG21" i="87"/>
  <c r="AF21" i="87"/>
  <c r="AG20" i="87"/>
  <c r="AF20" i="87"/>
  <c r="AG19" i="87"/>
  <c r="AF19" i="87"/>
  <c r="AG18" i="87"/>
  <c r="AF18" i="87"/>
  <c r="AG17" i="87"/>
  <c r="AF17" i="87"/>
  <c r="AG16" i="87"/>
  <c r="AG15" i="87"/>
  <c r="AF15" i="87"/>
  <c r="AG14" i="87"/>
  <c r="AF14" i="87"/>
  <c r="AG13" i="87"/>
  <c r="AF13" i="87"/>
  <c r="AG12" i="87"/>
  <c r="AE35" i="87"/>
  <c r="AD59" i="87"/>
  <c r="AD58" i="87"/>
  <c r="AC58" i="87"/>
  <c r="AE58" i="87" s="1"/>
  <c r="AD57" i="87"/>
  <c r="AC57" i="87"/>
  <c r="AD56" i="87"/>
  <c r="AC56" i="87"/>
  <c r="AD55" i="87"/>
  <c r="AC55" i="87"/>
  <c r="AD54" i="87"/>
  <c r="AC54" i="87"/>
  <c r="AD53" i="87"/>
  <c r="AC53" i="87"/>
  <c r="AE48" i="87"/>
  <c r="AE43" i="87"/>
  <c r="AE31" i="87"/>
  <c r="AE30" i="87"/>
  <c r="AE27" i="87"/>
  <c r="AE24" i="87"/>
  <c r="AE21" i="87"/>
  <c r="AE19" i="87"/>
  <c r="AE18" i="87"/>
  <c r="AE15" i="87"/>
  <c r="AE12" i="87"/>
  <c r="U40" i="88"/>
  <c r="U34" i="88"/>
  <c r="T34" i="88"/>
  <c r="U33" i="88"/>
  <c r="T33" i="88"/>
  <c r="U20" i="88"/>
  <c r="T20" i="88"/>
  <c r="U19" i="88"/>
  <c r="T19" i="88"/>
  <c r="U18" i="88"/>
  <c r="T18" i="88"/>
  <c r="U17" i="88"/>
  <c r="T17" i="88"/>
  <c r="U15" i="88"/>
  <c r="T15" i="88"/>
  <c r="U14" i="88"/>
  <c r="T14" i="88"/>
  <c r="U13" i="88"/>
  <c r="T13" i="88"/>
  <c r="U12" i="88"/>
  <c r="T12" i="88"/>
  <c r="R39" i="88"/>
  <c r="R37" i="88"/>
  <c r="R36" i="88"/>
  <c r="O39" i="88"/>
  <c r="O37" i="88"/>
  <c r="O36" i="88"/>
  <c r="L39" i="88"/>
  <c r="L37" i="88"/>
  <c r="L36" i="88"/>
  <c r="F39" i="88"/>
  <c r="F37" i="88"/>
  <c r="F36" i="88"/>
  <c r="AC59" i="87" l="1"/>
  <c r="AE59" i="87" s="1"/>
  <c r="AE56" i="87"/>
  <c r="T31" i="88"/>
  <c r="U16" i="88"/>
  <c r="AE55" i="87"/>
  <c r="AE57" i="87"/>
  <c r="T11" i="88"/>
  <c r="T16" i="88"/>
  <c r="AE54" i="87"/>
  <c r="AE46" i="87"/>
  <c r="AE53" i="87"/>
  <c r="AE11" i="87"/>
  <c r="AC52" i="87"/>
  <c r="AD52" i="87"/>
  <c r="AE23" i="87"/>
  <c r="O35" i="88"/>
  <c r="F35" i="88"/>
  <c r="R35" i="88"/>
  <c r="L35" i="88"/>
  <c r="AE52" i="87" l="1"/>
  <c r="AA59" i="87" l="1"/>
  <c r="Z59" i="87"/>
  <c r="U59" i="87"/>
  <c r="T59" i="87"/>
  <c r="O59" i="87"/>
  <c r="L59" i="87"/>
  <c r="I59" i="87"/>
  <c r="F59" i="87"/>
  <c r="P59" i="87" l="1"/>
  <c r="AB59" i="87"/>
  <c r="V59" i="87"/>
  <c r="AG35" i="87" l="1"/>
  <c r="AA58" i="87" l="1"/>
  <c r="Z58" i="87"/>
  <c r="AA57" i="87"/>
  <c r="Z57" i="87"/>
  <c r="AA56" i="87"/>
  <c r="Z56" i="87"/>
  <c r="AA55" i="87"/>
  <c r="Z55" i="87"/>
  <c r="AA54" i="87"/>
  <c r="Z54" i="87"/>
  <c r="AA53" i="87"/>
  <c r="Z53" i="87"/>
  <c r="U58" i="87"/>
  <c r="T58" i="87"/>
  <c r="U57" i="87"/>
  <c r="T57" i="87"/>
  <c r="U56" i="87"/>
  <c r="T56" i="87"/>
  <c r="U55" i="87"/>
  <c r="T55" i="87"/>
  <c r="U54" i="87"/>
  <c r="T54" i="87"/>
  <c r="U53" i="87"/>
  <c r="T53" i="87"/>
  <c r="O58" i="87"/>
  <c r="N58" i="87"/>
  <c r="O57" i="87"/>
  <c r="N57" i="87"/>
  <c r="O56" i="87"/>
  <c r="N56" i="87"/>
  <c r="O55" i="87"/>
  <c r="N55" i="87"/>
  <c r="O54" i="87"/>
  <c r="N54" i="87"/>
  <c r="O53" i="87"/>
  <c r="N53" i="87"/>
  <c r="L58" i="87"/>
  <c r="K58" i="87"/>
  <c r="L57" i="87"/>
  <c r="K57" i="87"/>
  <c r="L56" i="87"/>
  <c r="K56" i="87"/>
  <c r="L55" i="87"/>
  <c r="K55" i="87"/>
  <c r="L54" i="87"/>
  <c r="K54" i="87"/>
  <c r="L53" i="87"/>
  <c r="K53" i="87"/>
  <c r="I58" i="87"/>
  <c r="H58" i="87"/>
  <c r="I57" i="87"/>
  <c r="H57" i="87"/>
  <c r="I56" i="87"/>
  <c r="H56" i="87"/>
  <c r="I55" i="87"/>
  <c r="H55" i="87"/>
  <c r="I54" i="87"/>
  <c r="H54" i="87"/>
  <c r="I53" i="87"/>
  <c r="H53" i="87"/>
  <c r="F58" i="87"/>
  <c r="E58" i="87"/>
  <c r="F57" i="87"/>
  <c r="E57" i="87"/>
  <c r="F56" i="87"/>
  <c r="E56" i="87"/>
  <c r="F55" i="87"/>
  <c r="E55" i="87"/>
  <c r="F54" i="87"/>
  <c r="E54" i="87"/>
  <c r="F53" i="87"/>
  <c r="E53" i="87"/>
  <c r="C59" i="87"/>
  <c r="AG59" i="87" s="1"/>
  <c r="C56" i="87"/>
  <c r="C55" i="87"/>
  <c r="C54" i="87"/>
  <c r="C53" i="87"/>
  <c r="B54" i="87"/>
  <c r="AF38" i="87"/>
  <c r="AF28" i="87"/>
  <c r="AF16" i="87"/>
  <c r="AG53" i="87" l="1"/>
  <c r="AF54" i="87"/>
  <c r="AG54" i="87"/>
  <c r="AG56" i="87"/>
  <c r="AG58" i="87"/>
  <c r="AG55" i="87"/>
  <c r="B53" i="87"/>
  <c r="AF53" i="87" s="1"/>
  <c r="AF12" i="87"/>
  <c r="AG57" i="87"/>
  <c r="AF24" i="87"/>
  <c r="AF48" i="87"/>
  <c r="D35" i="87"/>
  <c r="AF11" i="87"/>
  <c r="AD13" i="89"/>
  <c r="AC13" i="89"/>
  <c r="Y13" i="89"/>
  <c r="S13" i="89"/>
  <c r="P13" i="89"/>
  <c r="D13" i="89"/>
  <c r="AC11" i="89"/>
  <c r="AE11" i="89" s="1"/>
  <c r="Y11" i="89"/>
  <c r="S11" i="89"/>
  <c r="P11" i="89"/>
  <c r="M11" i="89"/>
  <c r="D11" i="89"/>
  <c r="Q39" i="88"/>
  <c r="N39" i="88"/>
  <c r="K39" i="88"/>
  <c r="E39" i="88"/>
  <c r="C39" i="88"/>
  <c r="U39" i="88" s="1"/>
  <c r="B39" i="88"/>
  <c r="N37" i="88"/>
  <c r="K37" i="88"/>
  <c r="E37" i="88"/>
  <c r="C37" i="88"/>
  <c r="U37" i="88" s="1"/>
  <c r="B37" i="88"/>
  <c r="Q36" i="88"/>
  <c r="N36" i="88"/>
  <c r="K36" i="88"/>
  <c r="E36" i="88"/>
  <c r="C36" i="88"/>
  <c r="U36" i="88" s="1"/>
  <c r="B36" i="88"/>
  <c r="Q35" i="88"/>
  <c r="N35" i="88"/>
  <c r="K35" i="88"/>
  <c r="E35" i="88"/>
  <c r="B35" i="88"/>
  <c r="V34" i="88"/>
  <c r="J34" i="88"/>
  <c r="V33" i="88"/>
  <c r="P33" i="88"/>
  <c r="G33" i="88"/>
  <c r="D33" i="88"/>
  <c r="P31" i="88"/>
  <c r="G31" i="88"/>
  <c r="V20" i="88"/>
  <c r="J20" i="88"/>
  <c r="V19" i="88"/>
  <c r="S19" i="88"/>
  <c r="M19" i="88"/>
  <c r="G19" i="88"/>
  <c r="V18" i="88"/>
  <c r="S18" i="88"/>
  <c r="M18" i="88"/>
  <c r="G18" i="88"/>
  <c r="V17" i="88"/>
  <c r="S17" i="88"/>
  <c r="M17" i="88"/>
  <c r="G17" i="88"/>
  <c r="V16" i="88"/>
  <c r="S16" i="88"/>
  <c r="J16" i="88"/>
  <c r="V15" i="88"/>
  <c r="S15" i="88"/>
  <c r="J15" i="88"/>
  <c r="V14" i="88"/>
  <c r="S14" i="88"/>
  <c r="P14" i="88"/>
  <c r="M14" i="88"/>
  <c r="G14" i="88"/>
  <c r="D14" i="88"/>
  <c r="Q37" i="88"/>
  <c r="P13" i="88"/>
  <c r="M13" i="88"/>
  <c r="G13" i="88"/>
  <c r="D13" i="88"/>
  <c r="V12" i="88"/>
  <c r="S12" i="88"/>
  <c r="P12" i="88"/>
  <c r="M12" i="88"/>
  <c r="G12" i="88"/>
  <c r="D12" i="88"/>
  <c r="P11" i="88"/>
  <c r="J11" i="88"/>
  <c r="U11" i="88"/>
  <c r="AB58" i="87"/>
  <c r="V58" i="87"/>
  <c r="P58" i="87"/>
  <c r="M58" i="87"/>
  <c r="AF58" i="87"/>
  <c r="Y57" i="87"/>
  <c r="M57" i="87"/>
  <c r="J57" i="87"/>
  <c r="G57" i="87"/>
  <c r="AF57" i="87"/>
  <c r="V56" i="87"/>
  <c r="P56" i="87"/>
  <c r="J56" i="87"/>
  <c r="G56" i="87"/>
  <c r="B56" i="87"/>
  <c r="AF56" i="87" s="1"/>
  <c r="V55" i="87"/>
  <c r="M55" i="87"/>
  <c r="G55" i="87"/>
  <c r="B55" i="87"/>
  <c r="AF55" i="87" s="1"/>
  <c r="AB54" i="87"/>
  <c r="V54" i="87"/>
  <c r="V53" i="87"/>
  <c r="P53" i="87"/>
  <c r="M53" i="87"/>
  <c r="G53" i="87"/>
  <c r="AB50" i="87"/>
  <c r="V50" i="87"/>
  <c r="D50" i="87"/>
  <c r="AB49" i="87"/>
  <c r="V49" i="87"/>
  <c r="P49" i="87"/>
  <c r="AB48" i="87"/>
  <c r="Y48" i="87"/>
  <c r="S48" i="87"/>
  <c r="M48" i="87"/>
  <c r="D48" i="87"/>
  <c r="S47" i="87"/>
  <c r="M47" i="87"/>
  <c r="D47" i="87"/>
  <c r="AB45" i="87"/>
  <c r="Y45" i="87"/>
  <c r="S45" i="87"/>
  <c r="D45" i="87"/>
  <c r="AH44" i="87"/>
  <c r="AH43" i="87"/>
  <c r="AB43" i="87"/>
  <c r="Y43" i="87"/>
  <c r="S43" i="87"/>
  <c r="M43" i="87"/>
  <c r="D43" i="87"/>
  <c r="AH42" i="87"/>
  <c r="AB42" i="87"/>
  <c r="Y42" i="87"/>
  <c r="S42" i="87"/>
  <c r="M42" i="87"/>
  <c r="D42" i="87"/>
  <c r="AH41" i="87"/>
  <c r="AB41" i="87"/>
  <c r="Y41" i="87"/>
  <c r="S41" i="87"/>
  <c r="D41" i="87"/>
  <c r="Z52" i="87"/>
  <c r="T52" i="87"/>
  <c r="N52" i="87"/>
  <c r="K52" i="87"/>
  <c r="H52" i="87"/>
  <c r="AB35" i="87"/>
  <c r="Y35" i="87"/>
  <c r="S35" i="87"/>
  <c r="M35" i="87"/>
  <c r="J35" i="87"/>
  <c r="S34" i="87"/>
  <c r="AB33" i="87"/>
  <c r="P33" i="87"/>
  <c r="AB32" i="87"/>
  <c r="Y32" i="87"/>
  <c r="S32" i="87"/>
  <c r="M32" i="87"/>
  <c r="D32" i="87"/>
  <c r="AB31" i="87"/>
  <c r="Y31" i="87"/>
  <c r="S31" i="87"/>
  <c r="M31" i="87"/>
  <c r="D31" i="87"/>
  <c r="AB30" i="87"/>
  <c r="Y30" i="87"/>
  <c r="P30" i="87"/>
  <c r="D30" i="87"/>
  <c r="Y29" i="87"/>
  <c r="S29" i="87"/>
  <c r="M29" i="87"/>
  <c r="G29" i="87"/>
  <c r="D29" i="87"/>
  <c r="AB28" i="87"/>
  <c r="Y28" i="87"/>
  <c r="S28" i="87"/>
  <c r="D28" i="87"/>
  <c r="AB27" i="87"/>
  <c r="Y27" i="87"/>
  <c r="S27" i="87"/>
  <c r="M27" i="87"/>
  <c r="J27" i="87"/>
  <c r="G27" i="87"/>
  <c r="D27" i="87"/>
  <c r="Y26" i="87"/>
  <c r="S26" i="87"/>
  <c r="D26" i="87"/>
  <c r="AB25" i="87"/>
  <c r="Y25" i="87"/>
  <c r="S25" i="87"/>
  <c r="D25" i="87"/>
  <c r="AB24" i="87"/>
  <c r="Y24" i="87"/>
  <c r="S24" i="87"/>
  <c r="D24" i="87"/>
  <c r="S22" i="87"/>
  <c r="J22" i="87"/>
  <c r="G22" i="87"/>
  <c r="AB21" i="87"/>
  <c r="V21" i="87"/>
  <c r="P21" i="87"/>
  <c r="AB20" i="87"/>
  <c r="Y20" i="87"/>
  <c r="S20" i="87"/>
  <c r="M20" i="87"/>
  <c r="D20" i="87"/>
  <c r="AB19" i="87"/>
  <c r="Y19" i="87"/>
  <c r="S19" i="87"/>
  <c r="M19" i="87"/>
  <c r="D19" i="87"/>
  <c r="AB18" i="87"/>
  <c r="Y18" i="87"/>
  <c r="P18" i="87"/>
  <c r="J18" i="87"/>
  <c r="G18" i="87"/>
  <c r="D18" i="87"/>
  <c r="Y17" i="87"/>
  <c r="S17" i="87"/>
  <c r="M17" i="87"/>
  <c r="G17" i="87"/>
  <c r="D17" i="87"/>
  <c r="AB16" i="87"/>
  <c r="Y16" i="87"/>
  <c r="S16" i="87"/>
  <c r="D16" i="87"/>
  <c r="AB15" i="87"/>
  <c r="Y15" i="87"/>
  <c r="S15" i="87"/>
  <c r="M15" i="87"/>
  <c r="J15" i="87"/>
  <c r="G15" i="87"/>
  <c r="D15" i="87"/>
  <c r="Y14" i="87"/>
  <c r="S14" i="87"/>
  <c r="D14" i="87"/>
  <c r="AB13" i="87"/>
  <c r="Y13" i="87"/>
  <c r="S13" i="87"/>
  <c r="D13" i="87"/>
  <c r="AB12" i="87"/>
  <c r="Y12" i="87"/>
  <c r="S12" i="87"/>
  <c r="J12" i="87"/>
  <c r="G12" i="87"/>
  <c r="D12" i="87"/>
  <c r="AI93" i="86"/>
  <c r="AF93" i="86"/>
  <c r="G93" i="86"/>
  <c r="AJ91" i="86"/>
  <c r="AI91" i="86"/>
  <c r="AG91" i="86"/>
  <c r="AF91" i="86"/>
  <c r="AE91" i="86"/>
  <c r="AB91" i="86"/>
  <c r="Y91" i="86"/>
  <c r="S91" i="86"/>
  <c r="P91" i="86"/>
  <c r="M91" i="86"/>
  <c r="J91" i="86"/>
  <c r="D91" i="86"/>
  <c r="AJ90" i="86"/>
  <c r="AI90" i="86"/>
  <c r="AG90" i="86"/>
  <c r="AF90" i="86"/>
  <c r="AE90" i="86"/>
  <c r="AB90" i="86"/>
  <c r="Y90" i="86"/>
  <c r="S90" i="86"/>
  <c r="P90" i="86"/>
  <c r="M90" i="86"/>
  <c r="D90" i="86"/>
  <c r="AJ89" i="86"/>
  <c r="AI89" i="86"/>
  <c r="AG89" i="86"/>
  <c r="AF89" i="86"/>
  <c r="Y89" i="86"/>
  <c r="AJ88" i="86"/>
  <c r="AI88" i="86"/>
  <c r="AG88" i="86"/>
  <c r="AF88" i="86"/>
  <c r="AB88" i="86"/>
  <c r="Y88" i="86"/>
  <c r="V88" i="86"/>
  <c r="S88" i="86"/>
  <c r="P88" i="86"/>
  <c r="M88" i="86"/>
  <c r="J88" i="86"/>
  <c r="G88" i="86"/>
  <c r="D88" i="86"/>
  <c r="AJ86" i="86"/>
  <c r="AI86" i="86"/>
  <c r="AG86" i="86"/>
  <c r="AF86" i="86"/>
  <c r="AJ85" i="86"/>
  <c r="AI85" i="86"/>
  <c r="AG85" i="86"/>
  <c r="AF85" i="86"/>
  <c r="AB85" i="86"/>
  <c r="Y85" i="86"/>
  <c r="P85" i="86"/>
  <c r="M85" i="86"/>
  <c r="D85" i="86"/>
  <c r="AJ84" i="86"/>
  <c r="AI84" i="86"/>
  <c r="AG84" i="86"/>
  <c r="AF84" i="86"/>
  <c r="AI83" i="86"/>
  <c r="AK83" i="86" s="1"/>
  <c r="AF83" i="86"/>
  <c r="AH83" i="86" s="1"/>
  <c r="AB83" i="86"/>
  <c r="Y83" i="86"/>
  <c r="AJ82" i="86"/>
  <c r="AI82" i="86"/>
  <c r="AG82" i="86"/>
  <c r="AF82" i="86"/>
  <c r="AB82" i="86"/>
  <c r="Y82" i="86"/>
  <c r="S82" i="86"/>
  <c r="P82" i="86"/>
  <c r="M82" i="86"/>
  <c r="D82" i="86"/>
  <c r="G80" i="86"/>
  <c r="AJ79" i="86"/>
  <c r="AI79" i="86"/>
  <c r="AG79" i="86"/>
  <c r="AF79" i="86"/>
  <c r="AJ78" i="86"/>
  <c r="AI78" i="86"/>
  <c r="AG78" i="86"/>
  <c r="AF78" i="86"/>
  <c r="AB78" i="86"/>
  <c r="Y78" i="86"/>
  <c r="J78" i="86"/>
  <c r="D78" i="86"/>
  <c r="AJ77" i="86"/>
  <c r="AI77" i="86"/>
  <c r="AG77" i="86"/>
  <c r="AF77" i="86"/>
  <c r="AE77" i="86"/>
  <c r="AB77" i="86"/>
  <c r="Y77" i="86"/>
  <c r="S77" i="86"/>
  <c r="P77" i="86"/>
  <c r="D77" i="86"/>
  <c r="AJ76" i="86"/>
  <c r="AI76" i="86"/>
  <c r="AG76" i="86"/>
  <c r="AF76" i="86"/>
  <c r="AE76" i="86"/>
  <c r="AB76" i="86"/>
  <c r="Y76" i="86"/>
  <c r="V76" i="86"/>
  <c r="S76" i="86"/>
  <c r="P76" i="86"/>
  <c r="M76" i="86"/>
  <c r="D76" i="86"/>
  <c r="AI75" i="86"/>
  <c r="AK75" i="86" s="1"/>
  <c r="AF75" i="86"/>
  <c r="AH75" i="86" s="1"/>
  <c r="AB75" i="86"/>
  <c r="Y75" i="86"/>
  <c r="S75" i="86"/>
  <c r="P75" i="86"/>
  <c r="M75" i="86"/>
  <c r="D75" i="86"/>
  <c r="AI74" i="86"/>
  <c r="AK74" i="86" s="1"/>
  <c r="AF74" i="86"/>
  <c r="AH74" i="86" s="1"/>
  <c r="AE74" i="86"/>
  <c r="AB74" i="86"/>
  <c r="Y74" i="86"/>
  <c r="S74" i="86"/>
  <c r="P74" i="86"/>
  <c r="M74" i="86"/>
  <c r="D74" i="86"/>
  <c r="AJ73" i="86"/>
  <c r="AI73" i="86"/>
  <c r="AG73" i="86"/>
  <c r="AF73" i="86"/>
  <c r="AE73" i="86"/>
  <c r="AB73" i="86"/>
  <c r="Y73" i="86"/>
  <c r="V73" i="86"/>
  <c r="S73" i="86"/>
  <c r="P73" i="86"/>
  <c r="M73" i="86"/>
  <c r="J73" i="86"/>
  <c r="G73" i="86"/>
  <c r="D73" i="86"/>
  <c r="AJ71" i="86"/>
  <c r="AI71" i="86"/>
  <c r="AG71" i="86"/>
  <c r="AF71" i="86"/>
  <c r="AB71" i="86"/>
  <c r="Y71" i="86"/>
  <c r="V71" i="86"/>
  <c r="S71" i="86"/>
  <c r="P71" i="86"/>
  <c r="D71" i="86"/>
  <c r="AJ70" i="86"/>
  <c r="AI70" i="86"/>
  <c r="AG70" i="86"/>
  <c r="AF70" i="86"/>
  <c r="AE70" i="86"/>
  <c r="AB70" i="86"/>
  <c r="Y70" i="86"/>
  <c r="S70" i="86"/>
  <c r="P70" i="86"/>
  <c r="M70" i="86"/>
  <c r="D70" i="86"/>
  <c r="AJ69" i="86"/>
  <c r="AI69" i="86"/>
  <c r="AG69" i="86"/>
  <c r="AF69" i="86"/>
  <c r="AE69" i="86"/>
  <c r="AB69" i="86"/>
  <c r="Y69" i="86"/>
  <c r="V69" i="86"/>
  <c r="S69" i="86"/>
  <c r="P69" i="86"/>
  <c r="M69" i="86"/>
  <c r="J69" i="86"/>
  <c r="G69" i="86"/>
  <c r="D69" i="86"/>
  <c r="AJ68" i="86"/>
  <c r="AI68" i="86"/>
  <c r="AG68" i="86"/>
  <c r="AF68" i="86"/>
  <c r="AE68" i="86"/>
  <c r="AB68" i="86"/>
  <c r="Y68" i="86"/>
  <c r="V68" i="86"/>
  <c r="S68" i="86"/>
  <c r="P68" i="86"/>
  <c r="M68" i="86"/>
  <c r="J68" i="86"/>
  <c r="G68" i="86"/>
  <c r="D68" i="86"/>
  <c r="AI64" i="86"/>
  <c r="AF64" i="86"/>
  <c r="G64" i="86"/>
  <c r="G62" i="86"/>
  <c r="AJ61" i="86"/>
  <c r="AI61" i="86"/>
  <c r="AG61" i="86"/>
  <c r="AF61" i="86"/>
  <c r="AJ59" i="86"/>
  <c r="AG59" i="86"/>
  <c r="AB59" i="86"/>
  <c r="Y59" i="86"/>
  <c r="S59" i="86"/>
  <c r="P59" i="86"/>
  <c r="AJ58" i="86"/>
  <c r="AI58" i="86"/>
  <c r="AG58" i="86"/>
  <c r="AF58" i="86"/>
  <c r="AB58" i="86"/>
  <c r="P58" i="86"/>
  <c r="AJ57" i="86"/>
  <c r="AI57" i="86"/>
  <c r="AG57" i="86"/>
  <c r="AF57" i="86"/>
  <c r="AB57" i="86"/>
  <c r="P57" i="86"/>
  <c r="M57" i="86"/>
  <c r="D57" i="86"/>
  <c r="AJ56" i="86"/>
  <c r="AG56" i="86"/>
  <c r="Y56" i="86"/>
  <c r="P56" i="86"/>
  <c r="M56" i="86"/>
  <c r="D56" i="86"/>
  <c r="AJ55" i="86"/>
  <c r="AG55" i="86"/>
  <c r="AB55" i="86"/>
  <c r="Y55" i="86"/>
  <c r="S55" i="86"/>
  <c r="P55" i="86"/>
  <c r="M55" i="86"/>
  <c r="AF55" i="86"/>
  <c r="D55" i="86"/>
  <c r="AJ53" i="86"/>
  <c r="AI53" i="86"/>
  <c r="AG53" i="86"/>
  <c r="AF53" i="86"/>
  <c r="P53" i="86"/>
  <c r="AJ52" i="86"/>
  <c r="AI52" i="86"/>
  <c r="AG52" i="86"/>
  <c r="AF52" i="86"/>
  <c r="AJ51" i="86"/>
  <c r="AI51" i="86"/>
  <c r="AG51" i="86"/>
  <c r="AF51" i="86"/>
  <c r="P51" i="86"/>
  <c r="AJ49" i="86"/>
  <c r="AI49" i="86"/>
  <c r="AG49" i="86"/>
  <c r="AF49" i="86"/>
  <c r="AB49" i="86"/>
  <c r="P49" i="86"/>
  <c r="AJ48" i="86"/>
  <c r="AI48" i="86"/>
  <c r="AG48" i="86"/>
  <c r="AF48" i="86"/>
  <c r="AH48" i="86" s="1"/>
  <c r="AJ46" i="86"/>
  <c r="AI46" i="86"/>
  <c r="AG46" i="86"/>
  <c r="AF46" i="86"/>
  <c r="Y46" i="86"/>
  <c r="S46" i="86"/>
  <c r="J46" i="86"/>
  <c r="G46" i="86"/>
  <c r="G45" i="86"/>
  <c r="AJ44" i="86"/>
  <c r="AI44" i="86"/>
  <c r="AG44" i="86"/>
  <c r="AF44" i="86"/>
  <c r="AE44" i="86"/>
  <c r="AB44" i="86"/>
  <c r="Y44" i="86"/>
  <c r="S44" i="86"/>
  <c r="P44" i="86"/>
  <c r="M44" i="86"/>
  <c r="J44" i="86"/>
  <c r="G44" i="86"/>
  <c r="D44" i="86"/>
  <c r="AJ43" i="86"/>
  <c r="AI43" i="86"/>
  <c r="AG43" i="86"/>
  <c r="AF43" i="86"/>
  <c r="AB43" i="86"/>
  <c r="Y43" i="86"/>
  <c r="V43" i="86"/>
  <c r="S43" i="86"/>
  <c r="P43" i="86"/>
  <c r="D43" i="86"/>
  <c r="AJ42" i="86"/>
  <c r="AI42" i="86"/>
  <c r="AG42" i="86"/>
  <c r="AF42" i="86"/>
  <c r="AB42" i="86"/>
  <c r="V42" i="86"/>
  <c r="P42" i="86"/>
  <c r="D42" i="86"/>
  <c r="AJ41" i="86"/>
  <c r="AI41" i="86"/>
  <c r="AG41" i="86"/>
  <c r="AF41" i="86"/>
  <c r="AE41" i="86"/>
  <c r="AB41" i="86"/>
  <c r="Y41" i="86"/>
  <c r="V41" i="86"/>
  <c r="S41" i="86"/>
  <c r="P41" i="86"/>
  <c r="M41" i="86"/>
  <c r="J41" i="86"/>
  <c r="G41" i="86"/>
  <c r="D41" i="86"/>
  <c r="AJ40" i="86"/>
  <c r="AI40" i="86"/>
  <c r="AG40" i="86"/>
  <c r="AF40" i="86"/>
  <c r="AB40" i="86"/>
  <c r="Y40" i="86"/>
  <c r="V40" i="86"/>
  <c r="S40" i="86"/>
  <c r="P40" i="86"/>
  <c r="J40" i="86"/>
  <c r="G40" i="86"/>
  <c r="D40" i="86"/>
  <c r="G39" i="86"/>
  <c r="AJ38" i="86"/>
  <c r="AG38" i="86"/>
  <c r="Y38" i="86"/>
  <c r="V38" i="86"/>
  <c r="S38" i="86"/>
  <c r="P38" i="86"/>
  <c r="M38" i="86"/>
  <c r="AJ37" i="86"/>
  <c r="AI37" i="86"/>
  <c r="AG37" i="86"/>
  <c r="AF37" i="86"/>
  <c r="AB37" i="86"/>
  <c r="Y37" i="86"/>
  <c r="S37" i="86"/>
  <c r="P37" i="86"/>
  <c r="D37" i="86"/>
  <c r="AJ36" i="86"/>
  <c r="AI36" i="86"/>
  <c r="AG36" i="86"/>
  <c r="AF36" i="86"/>
  <c r="AB36" i="86"/>
  <c r="Y36" i="86"/>
  <c r="V36" i="86"/>
  <c r="S36" i="86"/>
  <c r="P36" i="86"/>
  <c r="D36" i="86"/>
  <c r="AJ34" i="86"/>
  <c r="AI34" i="86"/>
  <c r="AG34" i="86"/>
  <c r="AF34" i="86"/>
  <c r="AB34" i="86"/>
  <c r="Y34" i="86"/>
  <c r="V34" i="86"/>
  <c r="S34" i="86"/>
  <c r="P34" i="86"/>
  <c r="D34" i="86"/>
  <c r="AJ33" i="86"/>
  <c r="AI33" i="86"/>
  <c r="AG33" i="86"/>
  <c r="AF33" i="86"/>
  <c r="Y33" i="86"/>
  <c r="D33" i="86"/>
  <c r="G29" i="86"/>
  <c r="AJ28" i="86"/>
  <c r="AG28" i="86"/>
  <c r="AE28" i="86"/>
  <c r="AB28" i="86"/>
  <c r="Y28" i="86"/>
  <c r="V28" i="86"/>
  <c r="S28" i="86"/>
  <c r="P28" i="86"/>
  <c r="M28" i="86"/>
  <c r="J28" i="86"/>
  <c r="G28" i="86"/>
  <c r="G27" i="86"/>
  <c r="AJ26" i="86"/>
  <c r="AI26" i="86"/>
  <c r="AK26" i="86" s="1"/>
  <c r="AG26" i="86"/>
  <c r="AF26" i="86"/>
  <c r="AH26" i="86" s="1"/>
  <c r="AJ25" i="86"/>
  <c r="AI25" i="86"/>
  <c r="AG25" i="86"/>
  <c r="AF25" i="86"/>
  <c r="AE25" i="86"/>
  <c r="AB25" i="86"/>
  <c r="Y25" i="86"/>
  <c r="P25" i="86"/>
  <c r="J25" i="86"/>
  <c r="G25" i="86"/>
  <c r="D25" i="86"/>
  <c r="AJ24" i="86"/>
  <c r="AI24" i="86"/>
  <c r="AG24" i="86"/>
  <c r="AF24" i="86"/>
  <c r="AB24" i="86"/>
  <c r="P24" i="86"/>
  <c r="D24" i="86"/>
  <c r="AJ23" i="86"/>
  <c r="AI23" i="86"/>
  <c r="AG23" i="86"/>
  <c r="AF23" i="86"/>
  <c r="AE23" i="86"/>
  <c r="AB23" i="86"/>
  <c r="Y23" i="86"/>
  <c r="V23" i="86"/>
  <c r="S23" i="86"/>
  <c r="P23" i="86"/>
  <c r="D23" i="86"/>
  <c r="AJ22" i="86"/>
  <c r="AI22" i="86"/>
  <c r="AG22" i="86"/>
  <c r="AF22" i="86"/>
  <c r="AB22" i="86"/>
  <c r="Y22" i="86"/>
  <c r="V22" i="86"/>
  <c r="S22" i="86"/>
  <c r="P22" i="86"/>
  <c r="M22" i="86"/>
  <c r="J22" i="86"/>
  <c r="G22" i="86"/>
  <c r="D22" i="86"/>
  <c r="AJ21" i="86"/>
  <c r="AI21" i="86"/>
  <c r="AG21" i="86"/>
  <c r="AF21" i="86"/>
  <c r="AB21" i="86"/>
  <c r="Y21" i="86"/>
  <c r="S21" i="86"/>
  <c r="P21" i="86"/>
  <c r="M21" i="86"/>
  <c r="J21" i="86"/>
  <c r="D21" i="86"/>
  <c r="G20" i="86"/>
  <c r="AJ19" i="86"/>
  <c r="AG19" i="86"/>
  <c r="Y19" i="86"/>
  <c r="V19" i="86"/>
  <c r="P19" i="86"/>
  <c r="AJ18" i="86"/>
  <c r="AI18" i="86"/>
  <c r="AG18" i="86"/>
  <c r="AF18" i="86"/>
  <c r="AB18" i="86"/>
  <c r="Y18" i="86"/>
  <c r="P18" i="86"/>
  <c r="AJ17" i="86"/>
  <c r="AI17" i="86"/>
  <c r="AG17" i="86"/>
  <c r="AF17" i="86"/>
  <c r="AB17" i="86"/>
  <c r="Y17" i="86"/>
  <c r="V17" i="86"/>
  <c r="P17" i="86"/>
  <c r="AJ15" i="86"/>
  <c r="AG15" i="86"/>
  <c r="AB15" i="86"/>
  <c r="Y15" i="86"/>
  <c r="V15" i="86"/>
  <c r="P15" i="86"/>
  <c r="AJ14" i="86"/>
  <c r="AI14" i="86"/>
  <c r="AG14" i="86"/>
  <c r="AF14" i="86"/>
  <c r="Y14" i="86"/>
  <c r="P14" i="86"/>
  <c r="F8" i="86"/>
  <c r="I8" i="86" s="1"/>
  <c r="L8" i="86" s="1"/>
  <c r="O8" i="86" s="1"/>
  <c r="R8" i="86" s="1"/>
  <c r="U8" i="86" s="1"/>
  <c r="X8" i="86" s="1"/>
  <c r="AA8" i="86" s="1"/>
  <c r="AD8" i="86" s="1"/>
  <c r="AG8" i="86" s="1"/>
  <c r="AJ8" i="86" s="1"/>
  <c r="E8" i="86"/>
  <c r="H8" i="86" s="1"/>
  <c r="K8" i="86" s="1"/>
  <c r="N8" i="86" s="1"/>
  <c r="Q8" i="86" s="1"/>
  <c r="T8" i="86" s="1"/>
  <c r="W8" i="86" s="1"/>
  <c r="Z8" i="86" s="1"/>
  <c r="AC8" i="86" s="1"/>
  <c r="AF8" i="86" s="1"/>
  <c r="AI8" i="86" s="1"/>
  <c r="P47" i="85"/>
  <c r="J47" i="85"/>
  <c r="G47" i="85"/>
  <c r="AB45" i="85"/>
  <c r="V45" i="85"/>
  <c r="P45" i="85"/>
  <c r="M45" i="85"/>
  <c r="P44" i="85"/>
  <c r="J44" i="85"/>
  <c r="G43" i="85"/>
  <c r="P42" i="85"/>
  <c r="J42" i="85"/>
  <c r="G42" i="85"/>
  <c r="Y41" i="85"/>
  <c r="V41" i="85"/>
  <c r="P41" i="85"/>
  <c r="J41" i="85"/>
  <c r="P38" i="85"/>
  <c r="AJ34" i="85"/>
  <c r="AI34" i="85"/>
  <c r="AG34" i="85"/>
  <c r="AF34" i="85"/>
  <c r="AB34" i="85"/>
  <c r="S34" i="85"/>
  <c r="J34" i="85"/>
  <c r="G34" i="85"/>
  <c r="D34" i="85"/>
  <c r="AJ33" i="85"/>
  <c r="AI33" i="85"/>
  <c r="AK33" i="85" s="1"/>
  <c r="AG33" i="85"/>
  <c r="AF33" i="85"/>
  <c r="AH33" i="85" s="1"/>
  <c r="AI32" i="85"/>
  <c r="AF32" i="85"/>
  <c r="AB32" i="85"/>
  <c r="S32" i="85"/>
  <c r="G32" i="85"/>
  <c r="AJ31" i="85"/>
  <c r="AI31" i="85"/>
  <c r="AG31" i="85"/>
  <c r="AF31" i="85"/>
  <c r="AJ30" i="85"/>
  <c r="AI30" i="85"/>
  <c r="AK30" i="85" s="1"/>
  <c r="AG30" i="85"/>
  <c r="AF30" i="85"/>
  <c r="AH30" i="85" s="1"/>
  <c r="AJ29" i="85"/>
  <c r="AI29" i="85"/>
  <c r="AG29" i="85"/>
  <c r="AF29" i="85"/>
  <c r="AB29" i="85"/>
  <c r="S29" i="85"/>
  <c r="J29" i="85"/>
  <c r="G29" i="85"/>
  <c r="D29" i="85"/>
  <c r="AJ28" i="85"/>
  <c r="AI28" i="85"/>
  <c r="AK28" i="85" s="1"/>
  <c r="AG28" i="85"/>
  <c r="AF28" i="85"/>
  <c r="AH28" i="85" s="1"/>
  <c r="AJ27" i="85"/>
  <c r="AI27" i="85"/>
  <c r="AK27" i="85" s="1"/>
  <c r="AG27" i="85"/>
  <c r="AF27" i="85"/>
  <c r="AH27" i="85" s="1"/>
  <c r="AJ26" i="85"/>
  <c r="AI26" i="85"/>
  <c r="AG26" i="85"/>
  <c r="AF26" i="85"/>
  <c r="AB26" i="85"/>
  <c r="S26" i="85"/>
  <c r="J26" i="85"/>
  <c r="G26" i="85"/>
  <c r="D26" i="85"/>
  <c r="AJ25" i="85"/>
  <c r="AI25" i="85"/>
  <c r="AK25" i="85" s="1"/>
  <c r="AG25" i="85"/>
  <c r="AF25" i="85"/>
  <c r="AH25" i="85" s="1"/>
  <c r="AJ24" i="85"/>
  <c r="AI24" i="85"/>
  <c r="AG24" i="85"/>
  <c r="AF24" i="85"/>
  <c r="AB24" i="85"/>
  <c r="S24" i="85"/>
  <c r="J24" i="85"/>
  <c r="G24" i="85"/>
  <c r="D24" i="85"/>
  <c r="AJ22" i="85"/>
  <c r="AI22" i="85"/>
  <c r="AG22" i="85"/>
  <c r="AF22" i="85"/>
  <c r="AB22" i="85"/>
  <c r="Y22" i="85"/>
  <c r="P22" i="85"/>
  <c r="J22" i="85"/>
  <c r="G22" i="85"/>
  <c r="D22" i="85"/>
  <c r="AJ21" i="85"/>
  <c r="AI21" i="85"/>
  <c r="AG21" i="85"/>
  <c r="AF21" i="85"/>
  <c r="AI20" i="85"/>
  <c r="AF20" i="85"/>
  <c r="AB20" i="85"/>
  <c r="Y20" i="85"/>
  <c r="G20" i="85"/>
  <c r="AJ19" i="85"/>
  <c r="AI19" i="85"/>
  <c r="AG19" i="85"/>
  <c r="AF19" i="85"/>
  <c r="J19" i="85"/>
  <c r="AJ18" i="85"/>
  <c r="AI18" i="85"/>
  <c r="AK18" i="85" s="1"/>
  <c r="AG18" i="85"/>
  <c r="AF18" i="85"/>
  <c r="AH18" i="85" s="1"/>
  <c r="AJ17" i="85"/>
  <c r="AI17" i="85"/>
  <c r="AG17" i="85"/>
  <c r="AF17" i="85"/>
  <c r="AB17" i="85"/>
  <c r="Y17" i="85"/>
  <c r="P17" i="85"/>
  <c r="J17" i="85"/>
  <c r="G17" i="85"/>
  <c r="D17" i="85"/>
  <c r="AJ16" i="85"/>
  <c r="AI16" i="85"/>
  <c r="AK16" i="85" s="1"/>
  <c r="AG16" i="85"/>
  <c r="AF16" i="85"/>
  <c r="AH16" i="85" s="1"/>
  <c r="AJ15" i="85"/>
  <c r="AI15" i="85"/>
  <c r="AK15" i="85" s="1"/>
  <c r="AG15" i="85"/>
  <c r="AF15" i="85"/>
  <c r="AH15" i="85" s="1"/>
  <c r="AJ14" i="85"/>
  <c r="AI14" i="85"/>
  <c r="AG14" i="85"/>
  <c r="AF14" i="85"/>
  <c r="AB14" i="85"/>
  <c r="Y14" i="85"/>
  <c r="J14" i="85"/>
  <c r="G14" i="85"/>
  <c r="D14" i="85"/>
  <c r="AJ13" i="85"/>
  <c r="AI13" i="85"/>
  <c r="AK13" i="85" s="1"/>
  <c r="AG13" i="85"/>
  <c r="AF13" i="85"/>
  <c r="AH13" i="85" s="1"/>
  <c r="AJ12" i="85"/>
  <c r="AI12" i="85"/>
  <c r="AG12" i="85"/>
  <c r="AF12" i="85"/>
  <c r="AB12" i="85"/>
  <c r="Y12" i="85"/>
  <c r="J12" i="85"/>
  <c r="G12" i="85"/>
  <c r="D12" i="85"/>
  <c r="AJ9" i="85"/>
  <c r="AI9" i="85"/>
  <c r="AG9" i="85"/>
  <c r="AF9" i="85"/>
  <c r="AD9" i="85"/>
  <c r="AC9" i="85"/>
  <c r="AA9" i="85"/>
  <c r="Z9" i="85"/>
  <c r="X9" i="85"/>
  <c r="W9" i="85"/>
  <c r="U9" i="85"/>
  <c r="T9" i="85"/>
  <c r="R9" i="85"/>
  <c r="Q9" i="85"/>
  <c r="O9" i="85"/>
  <c r="N9" i="85"/>
  <c r="L9" i="85"/>
  <c r="K9" i="85"/>
  <c r="I9" i="85"/>
  <c r="H9" i="85"/>
  <c r="F9" i="85"/>
  <c r="E9" i="85"/>
  <c r="AJ144" i="84"/>
  <c r="AI144" i="84"/>
  <c r="AG144" i="84"/>
  <c r="AF144" i="84"/>
  <c r="P144" i="84"/>
  <c r="AJ143" i="84"/>
  <c r="AI143" i="84"/>
  <c r="AG143" i="84"/>
  <c r="AF143" i="84"/>
  <c r="P143" i="84"/>
  <c r="AI142" i="84"/>
  <c r="AF142" i="84"/>
  <c r="P142" i="84"/>
  <c r="AJ141" i="84"/>
  <c r="AI141" i="84"/>
  <c r="AK141" i="84" s="1"/>
  <c r="AG141" i="84"/>
  <c r="AF141" i="84"/>
  <c r="AH141" i="84" s="1"/>
  <c r="AJ140" i="84"/>
  <c r="AI140" i="84"/>
  <c r="AG140" i="84"/>
  <c r="AF140" i="84"/>
  <c r="AJ139" i="84"/>
  <c r="AI139" i="84"/>
  <c r="AG139" i="84"/>
  <c r="AF139" i="84"/>
  <c r="P139" i="84"/>
  <c r="AJ138" i="84"/>
  <c r="AI138" i="84"/>
  <c r="AG138" i="84"/>
  <c r="AF138" i="84"/>
  <c r="P138" i="84"/>
  <c r="AJ137" i="84"/>
  <c r="AI137" i="84"/>
  <c r="AK137" i="84" s="1"/>
  <c r="AG137" i="84"/>
  <c r="AF137" i="84"/>
  <c r="AH137" i="84" s="1"/>
  <c r="AJ136" i="84"/>
  <c r="AI136" i="84"/>
  <c r="AG136" i="84"/>
  <c r="AF136" i="84"/>
  <c r="P136" i="84"/>
  <c r="AJ135" i="84"/>
  <c r="AI135" i="84"/>
  <c r="AK135" i="84" s="1"/>
  <c r="AG135" i="84"/>
  <c r="AF135" i="84"/>
  <c r="AH135" i="84" s="1"/>
  <c r="AJ134" i="84"/>
  <c r="AI134" i="84"/>
  <c r="AG134" i="84"/>
  <c r="AF134" i="84"/>
  <c r="P134" i="84"/>
  <c r="AJ132" i="84"/>
  <c r="AI132" i="84"/>
  <c r="AG132" i="84"/>
  <c r="AF132" i="84"/>
  <c r="AB132" i="84"/>
  <c r="V132" i="84"/>
  <c r="P132" i="84"/>
  <c r="AJ131" i="84"/>
  <c r="AI131" i="84"/>
  <c r="AG131" i="84"/>
  <c r="AF131" i="84"/>
  <c r="AB131" i="84"/>
  <c r="V131" i="84"/>
  <c r="P131" i="84"/>
  <c r="P130" i="84"/>
  <c r="AJ129" i="84"/>
  <c r="AI129" i="84"/>
  <c r="AK129" i="84" s="1"/>
  <c r="AG129" i="84"/>
  <c r="AF129" i="84"/>
  <c r="AH129" i="84" s="1"/>
  <c r="AJ128" i="84"/>
  <c r="AI128" i="84"/>
  <c r="AG128" i="84"/>
  <c r="AF128" i="84"/>
  <c r="AB128" i="84"/>
  <c r="V128" i="84"/>
  <c r="P128" i="84"/>
  <c r="AJ127" i="84"/>
  <c r="AI127" i="84"/>
  <c r="AG127" i="84"/>
  <c r="AF127" i="84"/>
  <c r="AB127" i="84"/>
  <c r="V127" i="84"/>
  <c r="P127" i="84"/>
  <c r="AJ126" i="84"/>
  <c r="AI126" i="84"/>
  <c r="AG126" i="84"/>
  <c r="AF126" i="84"/>
  <c r="AB126" i="84"/>
  <c r="P126" i="84"/>
  <c r="AJ125" i="84"/>
  <c r="AI125" i="84"/>
  <c r="AG125" i="84"/>
  <c r="AF125" i="84"/>
  <c r="AB125" i="84"/>
  <c r="AJ124" i="84"/>
  <c r="AI124" i="84"/>
  <c r="AG124" i="84"/>
  <c r="AF124" i="84"/>
  <c r="AB124" i="84"/>
  <c r="V124" i="84"/>
  <c r="P124" i="84"/>
  <c r="AJ123" i="84"/>
  <c r="AI123" i="84"/>
  <c r="AG123" i="84"/>
  <c r="AF123" i="84"/>
  <c r="AB123" i="84"/>
  <c r="AJ122" i="84"/>
  <c r="AI122" i="84"/>
  <c r="AG122" i="84"/>
  <c r="AF122" i="84"/>
  <c r="AB122" i="84"/>
  <c r="P122" i="84"/>
  <c r="AJ118" i="84"/>
  <c r="AI118" i="84"/>
  <c r="AG118" i="84"/>
  <c r="AF118" i="84"/>
  <c r="AB118" i="84"/>
  <c r="AJ117" i="84"/>
  <c r="AI117" i="84"/>
  <c r="AG117" i="84"/>
  <c r="AF117" i="84"/>
  <c r="AB117" i="84"/>
  <c r="Y117" i="84"/>
  <c r="Y116" i="84"/>
  <c r="AJ115" i="84"/>
  <c r="AI115" i="84"/>
  <c r="AK115" i="84" s="1"/>
  <c r="AG115" i="84"/>
  <c r="AF115" i="84"/>
  <c r="AH115" i="84" s="1"/>
  <c r="AJ114" i="84"/>
  <c r="AI114" i="84"/>
  <c r="AG114" i="84"/>
  <c r="AF114" i="84"/>
  <c r="AJ113" i="84"/>
  <c r="AI113" i="84"/>
  <c r="AG113" i="84"/>
  <c r="AF113" i="84"/>
  <c r="AJ112" i="84"/>
  <c r="AI112" i="84"/>
  <c r="AK112" i="84" s="1"/>
  <c r="AG112" i="84"/>
  <c r="AF112" i="84"/>
  <c r="AH112" i="84" s="1"/>
  <c r="AJ111" i="84"/>
  <c r="AI111" i="84"/>
  <c r="AK111" i="84" s="1"/>
  <c r="AG111" i="84"/>
  <c r="AF111" i="84"/>
  <c r="AH111" i="84" s="1"/>
  <c r="AJ110" i="84"/>
  <c r="AI110" i="84"/>
  <c r="AG110" i="84"/>
  <c r="AF110" i="84"/>
  <c r="AB110" i="84"/>
  <c r="AJ109" i="84"/>
  <c r="AI109" i="84"/>
  <c r="AK109" i="84" s="1"/>
  <c r="AG109" i="84"/>
  <c r="AF109" i="84"/>
  <c r="AH109" i="84" s="1"/>
  <c r="AJ108" i="84"/>
  <c r="AI108" i="84"/>
  <c r="AG108" i="84"/>
  <c r="AF108" i="84"/>
  <c r="AB108" i="84"/>
  <c r="Y108" i="84"/>
  <c r="AJ106" i="84"/>
  <c r="AI106" i="84"/>
  <c r="AG106" i="84"/>
  <c r="AF106" i="84"/>
  <c r="AB106" i="84"/>
  <c r="S106" i="84"/>
  <c r="AJ105" i="84"/>
  <c r="AI105" i="84"/>
  <c r="AG105" i="84"/>
  <c r="AF105" i="84"/>
  <c r="AJ103" i="84"/>
  <c r="AI103" i="84"/>
  <c r="AK103" i="84" s="1"/>
  <c r="AG103" i="84"/>
  <c r="AF103" i="84"/>
  <c r="AH103" i="84" s="1"/>
  <c r="AJ102" i="84"/>
  <c r="AI102" i="84"/>
  <c r="AK102" i="84" s="1"/>
  <c r="AG102" i="84"/>
  <c r="AF102" i="84"/>
  <c r="AH102" i="84" s="1"/>
  <c r="AJ101" i="84"/>
  <c r="AI101" i="84"/>
  <c r="AG101" i="84"/>
  <c r="AF101" i="84"/>
  <c r="AB101" i="84"/>
  <c r="S101" i="84"/>
  <c r="AJ100" i="84"/>
  <c r="AI100" i="84"/>
  <c r="AG100" i="84"/>
  <c r="AF100" i="84"/>
  <c r="AJ99" i="84"/>
  <c r="AI99" i="84"/>
  <c r="AG99" i="84"/>
  <c r="AF99" i="84"/>
  <c r="AB99" i="84"/>
  <c r="AJ98" i="84"/>
  <c r="AI98" i="84"/>
  <c r="AG98" i="84"/>
  <c r="AF98" i="84"/>
  <c r="AB98" i="84"/>
  <c r="S98" i="84"/>
  <c r="AJ97" i="84"/>
  <c r="AI97" i="84"/>
  <c r="AG97" i="84"/>
  <c r="AF97" i="84"/>
  <c r="AJ96" i="84"/>
  <c r="AI96" i="84"/>
  <c r="AG96" i="84"/>
  <c r="AF96" i="84"/>
  <c r="AB96" i="84"/>
  <c r="S96" i="84"/>
  <c r="AJ94" i="84"/>
  <c r="AG94" i="84"/>
  <c r="AI94" i="84"/>
  <c r="Y94" i="84"/>
  <c r="S94" i="84"/>
  <c r="M94" i="84"/>
  <c r="D94" i="84"/>
  <c r="AJ93" i="84"/>
  <c r="AG93" i="84"/>
  <c r="AB93" i="84"/>
  <c r="Y93" i="84"/>
  <c r="S93" i="84"/>
  <c r="M93" i="84"/>
  <c r="D93" i="84"/>
  <c r="AJ91" i="84"/>
  <c r="AI91" i="84"/>
  <c r="AG91" i="84"/>
  <c r="AF91" i="84"/>
  <c r="AB91" i="84"/>
  <c r="S91" i="84"/>
  <c r="AJ90" i="84"/>
  <c r="AI90" i="84"/>
  <c r="AG90" i="84"/>
  <c r="AF90" i="84"/>
  <c r="AB90" i="84"/>
  <c r="S90" i="84"/>
  <c r="AJ89" i="84"/>
  <c r="AG89" i="84"/>
  <c r="Y89" i="84"/>
  <c r="S89" i="84"/>
  <c r="M89" i="84"/>
  <c r="D89" i="84"/>
  <c r="AJ88" i="84"/>
  <c r="AI88" i="84"/>
  <c r="AK88" i="84" s="1"/>
  <c r="AG88" i="84"/>
  <c r="AF88" i="84"/>
  <c r="AH88" i="84" s="1"/>
  <c r="AJ87" i="84"/>
  <c r="AI87" i="84"/>
  <c r="AK87" i="84" s="1"/>
  <c r="AG87" i="84"/>
  <c r="AF87" i="84"/>
  <c r="AH87" i="84" s="1"/>
  <c r="AJ86" i="84"/>
  <c r="AG86" i="84"/>
  <c r="AI86" i="84"/>
  <c r="Y86" i="84"/>
  <c r="S86" i="84"/>
  <c r="M86" i="84"/>
  <c r="D86" i="84"/>
  <c r="AJ84" i="84"/>
  <c r="AI84" i="84"/>
  <c r="AG84" i="84"/>
  <c r="AF84" i="84"/>
  <c r="AB84" i="84"/>
  <c r="Y84" i="84"/>
  <c r="S84" i="84"/>
  <c r="M84" i="84"/>
  <c r="D84" i="84"/>
  <c r="AJ82" i="84"/>
  <c r="AI82" i="84"/>
  <c r="AG82" i="84"/>
  <c r="AF82" i="84"/>
  <c r="Y82" i="84"/>
  <c r="AJ81" i="84"/>
  <c r="AI81" i="84"/>
  <c r="AG81" i="84"/>
  <c r="AF81" i="84"/>
  <c r="AJ79" i="84"/>
  <c r="AI79" i="84"/>
  <c r="AK79" i="84" s="1"/>
  <c r="AG79" i="84"/>
  <c r="AF79" i="84"/>
  <c r="AJ78" i="84"/>
  <c r="AI78" i="84"/>
  <c r="AK78" i="84" s="1"/>
  <c r="AG78" i="84"/>
  <c r="AF78" i="84"/>
  <c r="AJ77" i="84"/>
  <c r="AI77" i="84"/>
  <c r="AG77" i="84"/>
  <c r="AF77" i="84"/>
  <c r="AJ76" i="84"/>
  <c r="AI76" i="84"/>
  <c r="AK76" i="84" s="1"/>
  <c r="AG76" i="84"/>
  <c r="AF76" i="84"/>
  <c r="AJ75" i="84"/>
  <c r="AI75" i="84"/>
  <c r="AK75" i="84" s="1"/>
  <c r="AG75" i="84"/>
  <c r="AF75" i="84"/>
  <c r="AJ74" i="84"/>
  <c r="AI74" i="84"/>
  <c r="AG74" i="84"/>
  <c r="AF74" i="84"/>
  <c r="Y74" i="84"/>
  <c r="AJ73" i="84"/>
  <c r="AI73" i="84"/>
  <c r="AK73" i="84" s="1"/>
  <c r="AG73" i="84"/>
  <c r="AF73" i="84"/>
  <c r="AJ72" i="84"/>
  <c r="AI72" i="84"/>
  <c r="AG72" i="84"/>
  <c r="AF72" i="84"/>
  <c r="AJ70" i="84"/>
  <c r="AI70" i="84"/>
  <c r="AG70" i="84"/>
  <c r="AF70" i="84"/>
  <c r="Y70" i="84"/>
  <c r="AJ69" i="84"/>
  <c r="AI69" i="84"/>
  <c r="AG69" i="84"/>
  <c r="AF69" i="84"/>
  <c r="Y69" i="84"/>
  <c r="AJ67" i="84"/>
  <c r="AI67" i="84"/>
  <c r="AG67" i="84"/>
  <c r="AF67" i="84"/>
  <c r="AJ66" i="84"/>
  <c r="AI66" i="84"/>
  <c r="AG66" i="84"/>
  <c r="AF66" i="84"/>
  <c r="AJ65" i="84"/>
  <c r="AI65" i="84"/>
  <c r="AG65" i="84"/>
  <c r="AF65" i="84"/>
  <c r="Y65" i="84"/>
  <c r="AJ64" i="84"/>
  <c r="AI64" i="84"/>
  <c r="AG64" i="84"/>
  <c r="AF64" i="84"/>
  <c r="Y64" i="84"/>
  <c r="AJ63" i="84"/>
  <c r="AI63" i="84"/>
  <c r="AG63" i="84"/>
  <c r="AF63" i="84"/>
  <c r="AJ62" i="84"/>
  <c r="AI62" i="84"/>
  <c r="AG62" i="84"/>
  <c r="AF62" i="84"/>
  <c r="Y62" i="84"/>
  <c r="AJ60" i="84"/>
  <c r="AI60" i="84"/>
  <c r="AG60" i="84"/>
  <c r="AF60" i="84"/>
  <c r="Y60" i="84"/>
  <c r="AJ58" i="84"/>
  <c r="AI58" i="84"/>
  <c r="AG58" i="84"/>
  <c r="AF58" i="84"/>
  <c r="AB58" i="84"/>
  <c r="Y58" i="84"/>
  <c r="S58" i="84"/>
  <c r="M58" i="84"/>
  <c r="D58" i="84"/>
  <c r="AJ57" i="84"/>
  <c r="AI57" i="84"/>
  <c r="AG57" i="84"/>
  <c r="AF57" i="84"/>
  <c r="M57" i="84"/>
  <c r="D57" i="84"/>
  <c r="AJ55" i="84"/>
  <c r="AI55" i="84"/>
  <c r="AG55" i="84"/>
  <c r="AF55" i="84"/>
  <c r="S55" i="84"/>
  <c r="AJ54" i="84"/>
  <c r="AI54" i="84"/>
  <c r="AK54" i="84" s="1"/>
  <c r="AG54" i="84"/>
  <c r="AF54" i="84"/>
  <c r="AH54" i="84" s="1"/>
  <c r="AJ53" i="84"/>
  <c r="AI53" i="84"/>
  <c r="AG53" i="84"/>
  <c r="AF53" i="84"/>
  <c r="AB53" i="84"/>
  <c r="Y53" i="84"/>
  <c r="S53" i="84"/>
  <c r="M53" i="84"/>
  <c r="D53" i="84"/>
  <c r="AJ52" i="84"/>
  <c r="AI52" i="84"/>
  <c r="AG52" i="84"/>
  <c r="AF52" i="84"/>
  <c r="AJ51" i="84"/>
  <c r="AI51" i="84"/>
  <c r="AG51" i="84"/>
  <c r="AF51" i="84"/>
  <c r="AJ50" i="84"/>
  <c r="AG50" i="84"/>
  <c r="Y50" i="84"/>
  <c r="S50" i="84"/>
  <c r="M50" i="84"/>
  <c r="D50" i="84"/>
  <c r="AJ48" i="84"/>
  <c r="AI48" i="84"/>
  <c r="AG48" i="84"/>
  <c r="AF48" i="84"/>
  <c r="AB48" i="84"/>
  <c r="M48" i="84"/>
  <c r="D48" i="84"/>
  <c r="AJ46" i="84"/>
  <c r="AI46" i="84"/>
  <c r="AG46" i="84"/>
  <c r="AF46" i="84"/>
  <c r="Y46" i="84"/>
  <c r="AJ45" i="84"/>
  <c r="AI45" i="84"/>
  <c r="AG45" i="84"/>
  <c r="AF45" i="84"/>
  <c r="Y45" i="84"/>
  <c r="AJ43" i="84"/>
  <c r="AI43" i="84"/>
  <c r="AK43" i="84" s="1"/>
  <c r="AG43" i="84"/>
  <c r="AF43" i="84"/>
  <c r="AH43" i="84" s="1"/>
  <c r="AJ42" i="84"/>
  <c r="AI42" i="84"/>
  <c r="AK42" i="84" s="1"/>
  <c r="AG42" i="84"/>
  <c r="AF42" i="84"/>
  <c r="AH42" i="84" s="1"/>
  <c r="AJ41" i="84"/>
  <c r="AI41" i="84"/>
  <c r="AG41" i="84"/>
  <c r="AF41" i="84"/>
  <c r="Y41" i="84"/>
  <c r="AJ40" i="84"/>
  <c r="AI40" i="84"/>
  <c r="AG40" i="84"/>
  <c r="AF40" i="84"/>
  <c r="Y40" i="84"/>
  <c r="AJ39" i="84"/>
  <c r="AI39" i="84"/>
  <c r="AK39" i="84" s="1"/>
  <c r="AG39" i="84"/>
  <c r="AF39" i="84"/>
  <c r="AH39" i="84" s="1"/>
  <c r="AJ38" i="84"/>
  <c r="AI38" i="84"/>
  <c r="AG38" i="84"/>
  <c r="AF38" i="84"/>
  <c r="Y38" i="84"/>
  <c r="AJ36" i="84"/>
  <c r="AG36" i="84"/>
  <c r="Y36" i="84"/>
  <c r="AJ22" i="84"/>
  <c r="AG22" i="84"/>
  <c r="AB22" i="84"/>
  <c r="Y22" i="84"/>
  <c r="S22" i="84"/>
  <c r="AI22" i="84"/>
  <c r="AJ21" i="84"/>
  <c r="AG21" i="84"/>
  <c r="AB21" i="84"/>
  <c r="Y21" i="84"/>
  <c r="S21" i="84"/>
  <c r="AJ19" i="84"/>
  <c r="AI19" i="84"/>
  <c r="AG19" i="84"/>
  <c r="AF19" i="84"/>
  <c r="AB19" i="84"/>
  <c r="AJ18" i="84"/>
  <c r="AI18" i="84"/>
  <c r="AG18" i="84"/>
  <c r="AF18" i="84"/>
  <c r="AB18" i="84"/>
  <c r="S18" i="84"/>
  <c r="AJ17" i="84"/>
  <c r="AG17" i="84"/>
  <c r="AB17" i="84"/>
  <c r="Y17" i="84"/>
  <c r="S17" i="84"/>
  <c r="AF17" i="84"/>
  <c r="AJ16" i="84"/>
  <c r="AI16" i="84"/>
  <c r="AG16" i="84"/>
  <c r="AF16" i="84"/>
  <c r="AB16" i="84"/>
  <c r="Y16" i="84"/>
  <c r="S16" i="84"/>
  <c r="D16" i="84"/>
  <c r="AJ15" i="84"/>
  <c r="AI15" i="84"/>
  <c r="AG15" i="84"/>
  <c r="AF15" i="84"/>
  <c r="AB15" i="84"/>
  <c r="S15" i="84"/>
  <c r="D15" i="84"/>
  <c r="AJ14" i="84"/>
  <c r="AG14" i="84"/>
  <c r="AB14" i="84"/>
  <c r="Y14" i="84"/>
  <c r="S14" i="84"/>
  <c r="AJ12" i="84"/>
  <c r="AG12" i="84"/>
  <c r="AB12" i="84"/>
  <c r="Y12" i="84"/>
  <c r="S12" i="84"/>
  <c r="AI12" i="84"/>
  <c r="AJ9" i="84"/>
  <c r="AI9" i="84"/>
  <c r="AG9" i="84"/>
  <c r="AF9" i="84"/>
  <c r="AD9" i="84"/>
  <c r="AC9" i="84"/>
  <c r="AA9" i="84"/>
  <c r="Z9" i="84"/>
  <c r="X9" i="84"/>
  <c r="W9" i="84"/>
  <c r="U9" i="84"/>
  <c r="T9" i="84"/>
  <c r="R9" i="84"/>
  <c r="Q9" i="84"/>
  <c r="O9" i="84"/>
  <c r="N9" i="84"/>
  <c r="L9" i="84"/>
  <c r="K9" i="84"/>
  <c r="I9" i="84"/>
  <c r="H9" i="84"/>
  <c r="F9" i="84"/>
  <c r="E9" i="84"/>
  <c r="AJ108" i="83"/>
  <c r="AI108" i="83"/>
  <c r="AG108" i="83"/>
  <c r="AF108" i="83"/>
  <c r="AB108" i="83"/>
  <c r="Y108" i="83"/>
  <c r="S108" i="83"/>
  <c r="M108" i="83"/>
  <c r="D108" i="83"/>
  <c r="AJ107" i="83"/>
  <c r="AI107" i="83"/>
  <c r="AG107" i="83"/>
  <c r="AF107" i="83"/>
  <c r="D107" i="83"/>
  <c r="AJ105" i="83"/>
  <c r="AI105" i="83"/>
  <c r="AG105" i="83"/>
  <c r="AF105" i="83"/>
  <c r="AJ104" i="83"/>
  <c r="AI104" i="83"/>
  <c r="AK104" i="83" s="1"/>
  <c r="AG104" i="83"/>
  <c r="AF104" i="83"/>
  <c r="AH104" i="83" s="1"/>
  <c r="AJ103" i="83"/>
  <c r="AI103" i="83"/>
  <c r="AG103" i="83"/>
  <c r="AF103" i="83"/>
  <c r="AB103" i="83"/>
  <c r="Y103" i="83"/>
  <c r="S103" i="83"/>
  <c r="M103" i="83"/>
  <c r="D103" i="83"/>
  <c r="AJ102" i="83"/>
  <c r="AI102" i="83"/>
  <c r="AK102" i="83" s="1"/>
  <c r="AG102" i="83"/>
  <c r="AF102" i="83"/>
  <c r="AH102" i="83" s="1"/>
  <c r="AJ101" i="83"/>
  <c r="AI101" i="83"/>
  <c r="AK101" i="83" s="1"/>
  <c r="AG101" i="83"/>
  <c r="AF101" i="83"/>
  <c r="AH101" i="83" s="1"/>
  <c r="AJ100" i="83"/>
  <c r="AI100" i="83"/>
  <c r="AG100" i="83"/>
  <c r="AF100" i="83"/>
  <c r="AB100" i="83"/>
  <c r="Y100" i="83"/>
  <c r="S100" i="83"/>
  <c r="M100" i="83"/>
  <c r="D100" i="83"/>
  <c r="AJ98" i="83"/>
  <c r="AI98" i="83"/>
  <c r="AG98" i="83"/>
  <c r="AF98" i="83"/>
  <c r="D98" i="83"/>
  <c r="AJ96" i="83"/>
  <c r="AI96" i="83"/>
  <c r="AG96" i="83"/>
  <c r="AF96" i="83"/>
  <c r="S96" i="83"/>
  <c r="M96" i="83"/>
  <c r="J96" i="83"/>
  <c r="AJ95" i="83"/>
  <c r="AI95" i="83"/>
  <c r="AG95" i="83"/>
  <c r="AF95" i="83"/>
  <c r="M95" i="83"/>
  <c r="AJ93" i="83"/>
  <c r="AI93" i="83"/>
  <c r="AG93" i="83"/>
  <c r="AF93" i="83"/>
  <c r="J93" i="83"/>
  <c r="AJ92" i="83"/>
  <c r="AI92" i="83"/>
  <c r="AK92" i="83" s="1"/>
  <c r="AG92" i="83"/>
  <c r="AF92" i="83"/>
  <c r="AH92" i="83" s="1"/>
  <c r="AJ91" i="83"/>
  <c r="AI91" i="83"/>
  <c r="AG91" i="83"/>
  <c r="AF91" i="83"/>
  <c r="S91" i="83"/>
  <c r="M91" i="83"/>
  <c r="J91" i="83"/>
  <c r="AJ90" i="83"/>
  <c r="AI90" i="83"/>
  <c r="AK90" i="83" s="1"/>
  <c r="AG90" i="83"/>
  <c r="AF90" i="83"/>
  <c r="AH90" i="83" s="1"/>
  <c r="AJ89" i="83"/>
  <c r="AI89" i="83"/>
  <c r="AK89" i="83" s="1"/>
  <c r="AG89" i="83"/>
  <c r="AF89" i="83"/>
  <c r="AH89" i="83" s="1"/>
  <c r="AJ88" i="83"/>
  <c r="AI88" i="83"/>
  <c r="AG88" i="83"/>
  <c r="AF88" i="83"/>
  <c r="S88" i="83"/>
  <c r="M88" i="83"/>
  <c r="J88" i="83"/>
  <c r="AG87" i="83"/>
  <c r="AF87" i="83"/>
  <c r="AJ86" i="83"/>
  <c r="AI86" i="83"/>
  <c r="AG86" i="83"/>
  <c r="AF86" i="83"/>
  <c r="S86" i="83"/>
  <c r="M86" i="83"/>
  <c r="J86" i="83"/>
  <c r="AJ84" i="83"/>
  <c r="AI84" i="83"/>
  <c r="AG84" i="83"/>
  <c r="AF84" i="83"/>
  <c r="Y84" i="83"/>
  <c r="S84" i="83"/>
  <c r="D84" i="83"/>
  <c r="AJ83" i="83"/>
  <c r="AI83" i="83"/>
  <c r="AG83" i="83"/>
  <c r="AF83" i="83"/>
  <c r="Y83" i="83"/>
  <c r="S83" i="83"/>
  <c r="D83" i="83"/>
  <c r="AJ81" i="83"/>
  <c r="AI81" i="83"/>
  <c r="AK81" i="83" s="1"/>
  <c r="AG81" i="83"/>
  <c r="AF81" i="83"/>
  <c r="AH81" i="83" s="1"/>
  <c r="AJ80" i="83"/>
  <c r="AI80" i="83"/>
  <c r="AG80" i="83"/>
  <c r="AF80" i="83"/>
  <c r="S80" i="83"/>
  <c r="AJ79" i="83"/>
  <c r="AI79" i="83"/>
  <c r="AG79" i="83"/>
  <c r="AF79" i="83"/>
  <c r="Y79" i="83"/>
  <c r="S79" i="83"/>
  <c r="D79" i="83"/>
  <c r="AJ78" i="83"/>
  <c r="AI78" i="83"/>
  <c r="AG78" i="83"/>
  <c r="AF78" i="83"/>
  <c r="Y78" i="83"/>
  <c r="S78" i="83"/>
  <c r="D78" i="83"/>
  <c r="AJ77" i="83"/>
  <c r="AI77" i="83"/>
  <c r="AG77" i="83"/>
  <c r="AF77" i="83"/>
  <c r="D77" i="83"/>
  <c r="AJ76" i="83"/>
  <c r="AI76" i="83"/>
  <c r="AG76" i="83"/>
  <c r="AF76" i="83"/>
  <c r="Y76" i="83"/>
  <c r="S76" i="83"/>
  <c r="D76" i="83"/>
  <c r="AJ74" i="83"/>
  <c r="AI74" i="83"/>
  <c r="AG74" i="83"/>
  <c r="AF74" i="83"/>
  <c r="Y74" i="83"/>
  <c r="S74" i="83"/>
  <c r="D74" i="83"/>
  <c r="AJ72" i="83"/>
  <c r="AI72" i="83"/>
  <c r="AG72" i="83"/>
  <c r="AF72" i="83"/>
  <c r="AB72" i="83"/>
  <c r="Y72" i="83"/>
  <c r="S72" i="83"/>
  <c r="D72" i="83"/>
  <c r="AJ71" i="83"/>
  <c r="AI71" i="83"/>
  <c r="AG71" i="83"/>
  <c r="AF71" i="83"/>
  <c r="AB71" i="83"/>
  <c r="Y71" i="83"/>
  <c r="S71" i="83"/>
  <c r="D71" i="83"/>
  <c r="AJ69" i="83"/>
  <c r="AI69" i="83"/>
  <c r="AG69" i="83"/>
  <c r="AF69" i="83"/>
  <c r="AB69" i="83"/>
  <c r="AJ68" i="83"/>
  <c r="AI68" i="83"/>
  <c r="AG68" i="83"/>
  <c r="AF68" i="83"/>
  <c r="AJ67" i="83"/>
  <c r="AI67" i="83"/>
  <c r="AG67" i="83"/>
  <c r="AF67" i="83"/>
  <c r="AB67" i="83"/>
  <c r="Y67" i="83"/>
  <c r="S67" i="83"/>
  <c r="D67" i="83"/>
  <c r="AJ66" i="83"/>
  <c r="AI66" i="83"/>
  <c r="AK66" i="83" s="1"/>
  <c r="AG66" i="83"/>
  <c r="AF66" i="83"/>
  <c r="AH66" i="83" s="1"/>
  <c r="AJ65" i="83"/>
  <c r="AI65" i="83"/>
  <c r="AK65" i="83" s="1"/>
  <c r="AG65" i="83"/>
  <c r="AF65" i="83"/>
  <c r="AH65" i="83" s="1"/>
  <c r="AJ64" i="83"/>
  <c r="AI64" i="83"/>
  <c r="AG64" i="83"/>
  <c r="AF64" i="83"/>
  <c r="AB64" i="83"/>
  <c r="Y64" i="83"/>
  <c r="S64" i="83"/>
  <c r="D64" i="83"/>
  <c r="AJ62" i="83"/>
  <c r="AI62" i="83"/>
  <c r="AG62" i="83"/>
  <c r="AF62" i="83"/>
  <c r="AB62" i="83"/>
  <c r="Y62" i="83"/>
  <c r="S62" i="83"/>
  <c r="D62" i="83"/>
  <c r="AJ58" i="83"/>
  <c r="AI58" i="83"/>
  <c r="AG58" i="83"/>
  <c r="AF58" i="83"/>
  <c r="AB58" i="83"/>
  <c r="Y58" i="83"/>
  <c r="S58" i="83"/>
  <c r="D58" i="83"/>
  <c r="AJ57" i="83"/>
  <c r="AI57" i="83"/>
  <c r="AG57" i="83"/>
  <c r="AF57" i="83"/>
  <c r="D57" i="83"/>
  <c r="AJ55" i="83"/>
  <c r="AI55" i="83"/>
  <c r="AK55" i="83" s="1"/>
  <c r="AG55" i="83"/>
  <c r="AF55" i="83"/>
  <c r="AH55" i="83" s="1"/>
  <c r="AJ54" i="83"/>
  <c r="AI54" i="83"/>
  <c r="AK54" i="83" s="1"/>
  <c r="AG54" i="83"/>
  <c r="AF54" i="83"/>
  <c r="AH54" i="83" s="1"/>
  <c r="AJ53" i="83"/>
  <c r="AI53" i="83"/>
  <c r="AG53" i="83"/>
  <c r="AF53" i="83"/>
  <c r="AB53" i="83"/>
  <c r="Y53" i="83"/>
  <c r="S53" i="83"/>
  <c r="D53" i="83"/>
  <c r="AJ52" i="83"/>
  <c r="AI52" i="83"/>
  <c r="AK52" i="83" s="1"/>
  <c r="AG52" i="83"/>
  <c r="AF52" i="83"/>
  <c r="AH52" i="83" s="1"/>
  <c r="AJ51" i="83"/>
  <c r="AI51" i="83"/>
  <c r="AK51" i="83" s="1"/>
  <c r="AG51" i="83"/>
  <c r="AF51" i="83"/>
  <c r="AH51" i="83" s="1"/>
  <c r="AJ50" i="83"/>
  <c r="AI50" i="83"/>
  <c r="AG50" i="83"/>
  <c r="AF50" i="83"/>
  <c r="AB50" i="83"/>
  <c r="Y50" i="83"/>
  <c r="S50" i="83"/>
  <c r="D50" i="83"/>
  <c r="AJ48" i="83"/>
  <c r="AI48" i="83"/>
  <c r="AG48" i="83"/>
  <c r="AF48" i="83"/>
  <c r="D48" i="83"/>
  <c r="AG47" i="83"/>
  <c r="AF47" i="83"/>
  <c r="AJ46" i="83"/>
  <c r="AI46" i="83"/>
  <c r="AG46" i="83"/>
  <c r="AF46" i="83"/>
  <c r="AB46" i="83"/>
  <c r="S46" i="83"/>
  <c r="J46" i="83"/>
  <c r="AJ45" i="83"/>
  <c r="AI45" i="83"/>
  <c r="AK45" i="83" s="1"/>
  <c r="AG45" i="83"/>
  <c r="AF45" i="83"/>
  <c r="AH45" i="83" s="1"/>
  <c r="AJ43" i="83"/>
  <c r="AI43" i="83"/>
  <c r="AG43" i="83"/>
  <c r="AF43" i="83"/>
  <c r="J43" i="83"/>
  <c r="AJ42" i="83"/>
  <c r="AI42" i="83"/>
  <c r="AK42" i="83" s="1"/>
  <c r="AG42" i="83"/>
  <c r="AF42" i="83"/>
  <c r="AH42" i="83" s="1"/>
  <c r="AJ41" i="83"/>
  <c r="AI41" i="83"/>
  <c r="AG41" i="83"/>
  <c r="AF41" i="83"/>
  <c r="AB41" i="83"/>
  <c r="S41" i="83"/>
  <c r="J41" i="83"/>
  <c r="AJ40" i="83"/>
  <c r="AI40" i="83"/>
  <c r="AK40" i="83" s="1"/>
  <c r="AG40" i="83"/>
  <c r="AF40" i="83"/>
  <c r="AH40" i="83" s="1"/>
  <c r="AJ39" i="83"/>
  <c r="AI39" i="83"/>
  <c r="AK39" i="83" s="1"/>
  <c r="AG39" i="83"/>
  <c r="AF39" i="83"/>
  <c r="AH39" i="83" s="1"/>
  <c r="AJ38" i="83"/>
  <c r="AI38" i="83"/>
  <c r="AG38" i="83"/>
  <c r="AF38" i="83"/>
  <c r="AB38" i="83"/>
  <c r="S38" i="83"/>
  <c r="J38" i="83"/>
  <c r="AJ36" i="83"/>
  <c r="AI36" i="83"/>
  <c r="AG36" i="83"/>
  <c r="AF36" i="83"/>
  <c r="AB36" i="83"/>
  <c r="S36" i="83"/>
  <c r="J36" i="83"/>
  <c r="AG35" i="83"/>
  <c r="AF35" i="83"/>
  <c r="AJ34" i="83"/>
  <c r="AI34" i="83"/>
  <c r="AG34" i="83"/>
  <c r="AF34" i="83"/>
  <c r="Y34" i="83"/>
  <c r="S34" i="83"/>
  <c r="D34" i="83"/>
  <c r="AJ33" i="83"/>
  <c r="AI33" i="83"/>
  <c r="AG33" i="83"/>
  <c r="AF33" i="83"/>
  <c r="S33" i="83"/>
  <c r="D33" i="83"/>
  <c r="AJ31" i="83"/>
  <c r="AI31" i="83"/>
  <c r="AK31" i="83" s="1"/>
  <c r="AG31" i="83"/>
  <c r="AF31" i="83"/>
  <c r="AH31" i="83" s="1"/>
  <c r="AJ30" i="83"/>
  <c r="AI30" i="83"/>
  <c r="AG30" i="83"/>
  <c r="AF30" i="83"/>
  <c r="AJ29" i="83"/>
  <c r="AI29" i="83"/>
  <c r="AG29" i="83"/>
  <c r="AF29" i="83"/>
  <c r="S29" i="83"/>
  <c r="D29" i="83"/>
  <c r="AJ28" i="83"/>
  <c r="AI28" i="83"/>
  <c r="AG28" i="83"/>
  <c r="AF28" i="83"/>
  <c r="S28" i="83"/>
  <c r="D28" i="83"/>
  <c r="AJ27" i="83"/>
  <c r="AI27" i="83"/>
  <c r="AG27" i="83"/>
  <c r="AF27" i="83"/>
  <c r="D27" i="83"/>
  <c r="AJ26" i="83"/>
  <c r="AI26" i="83"/>
  <c r="AG26" i="83"/>
  <c r="AF26" i="83"/>
  <c r="Y26" i="83"/>
  <c r="S26" i="83"/>
  <c r="D26" i="83"/>
  <c r="AJ25" i="83"/>
  <c r="AI25" i="83"/>
  <c r="AG25" i="83"/>
  <c r="AF25" i="83"/>
  <c r="D25" i="83"/>
  <c r="AJ24" i="83"/>
  <c r="AI24" i="83"/>
  <c r="AG24" i="83"/>
  <c r="AF24" i="83"/>
  <c r="S24" i="83"/>
  <c r="D24" i="83"/>
  <c r="AG23" i="83"/>
  <c r="AF23" i="83"/>
  <c r="AJ22" i="83"/>
  <c r="AI22" i="83"/>
  <c r="AG22" i="83"/>
  <c r="AF22" i="83"/>
  <c r="AB22" i="83"/>
  <c r="Y22" i="83"/>
  <c r="S22" i="83"/>
  <c r="D22" i="83"/>
  <c r="AJ21" i="83"/>
  <c r="AG21" i="83"/>
  <c r="AI21" i="83"/>
  <c r="Y21" i="83"/>
  <c r="S21" i="83"/>
  <c r="D21" i="83"/>
  <c r="AJ19" i="83"/>
  <c r="AI19" i="83"/>
  <c r="AG19" i="83"/>
  <c r="AF19" i="83"/>
  <c r="AB19" i="83"/>
  <c r="AJ18" i="83"/>
  <c r="AI18" i="83"/>
  <c r="AK18" i="83" s="1"/>
  <c r="AG18" i="83"/>
  <c r="AF18" i="83"/>
  <c r="AH18" i="83" s="1"/>
  <c r="AJ17" i="83"/>
  <c r="AI17" i="83"/>
  <c r="AG17" i="83"/>
  <c r="AF17" i="83"/>
  <c r="AB17" i="83"/>
  <c r="Y17" i="83"/>
  <c r="S17" i="83"/>
  <c r="D17" i="83"/>
  <c r="AJ16" i="83"/>
  <c r="AI16" i="83"/>
  <c r="AK16" i="83" s="1"/>
  <c r="AG16" i="83"/>
  <c r="AF16" i="83"/>
  <c r="AH16" i="83" s="1"/>
  <c r="AJ15" i="83"/>
  <c r="AI15" i="83"/>
  <c r="AK15" i="83" s="1"/>
  <c r="AG15" i="83"/>
  <c r="AF15" i="83"/>
  <c r="AH15" i="83" s="1"/>
  <c r="AJ14" i="83"/>
  <c r="AI14" i="83"/>
  <c r="AG14" i="83"/>
  <c r="AF14" i="83"/>
  <c r="AB14" i="83"/>
  <c r="Y14" i="83"/>
  <c r="S14" i="83"/>
  <c r="D14" i="83"/>
  <c r="AJ13" i="83"/>
  <c r="AI13" i="83"/>
  <c r="AG13" i="83"/>
  <c r="AF13" i="83"/>
  <c r="AB13" i="83"/>
  <c r="S13" i="83"/>
  <c r="D13" i="83"/>
  <c r="AJ12" i="83"/>
  <c r="AI12" i="83"/>
  <c r="AG12" i="83"/>
  <c r="AF12" i="83"/>
  <c r="AB12" i="83"/>
  <c r="Y12" i="83"/>
  <c r="S12" i="83"/>
  <c r="D12" i="83"/>
  <c r="AJ9" i="83"/>
  <c r="AI9" i="83"/>
  <c r="AG9" i="83"/>
  <c r="AF9" i="83"/>
  <c r="AD9" i="83"/>
  <c r="AC9" i="83"/>
  <c r="AA9" i="83"/>
  <c r="Z9" i="83"/>
  <c r="X9" i="83"/>
  <c r="W9" i="83"/>
  <c r="U9" i="83"/>
  <c r="T9" i="83"/>
  <c r="R9" i="83"/>
  <c r="Q9" i="83"/>
  <c r="O9" i="83"/>
  <c r="N9" i="83"/>
  <c r="L9" i="83"/>
  <c r="K9" i="83"/>
  <c r="I9" i="83"/>
  <c r="H9" i="83"/>
  <c r="AG45" i="82"/>
  <c r="AF45" i="82"/>
  <c r="AB45" i="82"/>
  <c r="Y45" i="82"/>
  <c r="S45" i="82"/>
  <c r="P45" i="82"/>
  <c r="M45" i="82"/>
  <c r="D45" i="82"/>
  <c r="AG43" i="82"/>
  <c r="AF43" i="82"/>
  <c r="AB43" i="82"/>
  <c r="Y43" i="82"/>
  <c r="V43" i="82"/>
  <c r="S43" i="82"/>
  <c r="M43" i="82"/>
  <c r="G43" i="82"/>
  <c r="D43" i="82"/>
  <c r="P41" i="82"/>
  <c r="AG40" i="82"/>
  <c r="AF40" i="82"/>
  <c r="AB40" i="82"/>
  <c r="Y40" i="82"/>
  <c r="V40" i="82"/>
  <c r="S40" i="82"/>
  <c r="P40" i="82"/>
  <c r="M40" i="82"/>
  <c r="G40" i="82"/>
  <c r="D40" i="82"/>
  <c r="AG39" i="82"/>
  <c r="AF39" i="82"/>
  <c r="AB39" i="82"/>
  <c r="Y39" i="82"/>
  <c r="V39" i="82"/>
  <c r="S39" i="82"/>
  <c r="P39" i="82"/>
  <c r="M39" i="82"/>
  <c r="D39" i="82"/>
  <c r="AG38" i="82"/>
  <c r="AF38" i="82"/>
  <c r="AE38" i="82"/>
  <c r="AB38" i="82"/>
  <c r="Y38" i="82"/>
  <c r="V38" i="82"/>
  <c r="S38" i="82"/>
  <c r="P38" i="82"/>
  <c r="M38" i="82"/>
  <c r="J38" i="82"/>
  <c r="G38" i="82"/>
  <c r="D38" i="82"/>
  <c r="AG34" i="82"/>
  <c r="AF34" i="82"/>
  <c r="AE34" i="82"/>
  <c r="AB34" i="82"/>
  <c r="Y34" i="82"/>
  <c r="S34" i="82"/>
  <c r="P34" i="82"/>
  <c r="D34" i="82"/>
  <c r="AG33" i="82"/>
  <c r="AF33" i="82"/>
  <c r="AE33" i="82"/>
  <c r="AB33" i="82"/>
  <c r="Y33" i="82"/>
  <c r="V33" i="82"/>
  <c r="S33" i="82"/>
  <c r="P33" i="82"/>
  <c r="M33" i="82"/>
  <c r="J33" i="82"/>
  <c r="G33" i="82"/>
  <c r="D33" i="82"/>
  <c r="AG32" i="82"/>
  <c r="AF32" i="82"/>
  <c r="AE32" i="82"/>
  <c r="AB32" i="82"/>
  <c r="Y32" i="82"/>
  <c r="V32" i="82"/>
  <c r="S32" i="82"/>
  <c r="P32" i="82"/>
  <c r="M32" i="82"/>
  <c r="D32" i="82"/>
  <c r="AG31" i="82"/>
  <c r="AF31" i="82"/>
  <c r="AE31" i="82"/>
  <c r="AB31" i="82"/>
  <c r="Y31" i="82"/>
  <c r="S31" i="82"/>
  <c r="P31" i="82"/>
  <c r="M31" i="82"/>
  <c r="D31" i="82"/>
  <c r="AG29" i="82"/>
  <c r="AF29" i="82"/>
  <c r="AE29" i="82"/>
  <c r="AB29" i="82"/>
  <c r="S29" i="82"/>
  <c r="M29" i="82"/>
  <c r="D29" i="82"/>
  <c r="AG28" i="82"/>
  <c r="AF28" i="82"/>
  <c r="AE28" i="82"/>
  <c r="AB28" i="82"/>
  <c r="Y28" i="82"/>
  <c r="S28" i="82"/>
  <c r="G28" i="82"/>
  <c r="D28" i="82"/>
  <c r="AF27" i="82"/>
  <c r="AE27" i="82"/>
  <c r="AB27" i="82"/>
  <c r="Y27" i="82"/>
  <c r="S27" i="82"/>
  <c r="M27" i="82"/>
  <c r="D27" i="82"/>
  <c r="AG26" i="82"/>
  <c r="AF26" i="82"/>
  <c r="AE26" i="82"/>
  <c r="AB26" i="82"/>
  <c r="V26" i="82"/>
  <c r="S26" i="82"/>
  <c r="P26" i="82"/>
  <c r="D26" i="82"/>
  <c r="AF25" i="82"/>
  <c r="AE25" i="82"/>
  <c r="AB25" i="82"/>
  <c r="Y25" i="82"/>
  <c r="S25" i="82"/>
  <c r="M25" i="82"/>
  <c r="J25" i="82"/>
  <c r="G25" i="82"/>
  <c r="D25" i="82"/>
  <c r="AG24" i="82"/>
  <c r="AF24" i="82"/>
  <c r="AE24" i="82"/>
  <c r="AB24" i="82"/>
  <c r="Y24" i="82"/>
  <c r="V24" i="82"/>
  <c r="S24" i="82"/>
  <c r="P24" i="82"/>
  <c r="M24" i="82"/>
  <c r="G24" i="82"/>
  <c r="D24" i="82"/>
  <c r="AG23" i="82"/>
  <c r="AE23" i="82"/>
  <c r="AB23" i="82"/>
  <c r="Y23" i="82"/>
  <c r="V23" i="82"/>
  <c r="S23" i="82"/>
  <c r="P23" i="82"/>
  <c r="AF23" i="82"/>
  <c r="J23" i="82"/>
  <c r="G23" i="82"/>
  <c r="D23" i="82"/>
  <c r="AG22" i="82"/>
  <c r="AF22" i="82"/>
  <c r="AJ20" i="82"/>
  <c r="AI20" i="82"/>
  <c r="AG20" i="82"/>
  <c r="AF20" i="82"/>
  <c r="AE20" i="82"/>
  <c r="AB20" i="82"/>
  <c r="Y20" i="82"/>
  <c r="S20" i="82"/>
  <c r="P20" i="82"/>
  <c r="M20" i="82"/>
  <c r="G20" i="82"/>
  <c r="D20" i="82"/>
  <c r="AJ19" i="82"/>
  <c r="AG19" i="82"/>
  <c r="Y19" i="82"/>
  <c r="V19" i="82"/>
  <c r="S19" i="82"/>
  <c r="P19" i="82"/>
  <c r="M19" i="82"/>
  <c r="J19" i="82"/>
  <c r="G19" i="82"/>
  <c r="D19" i="82"/>
  <c r="AJ18" i="82"/>
  <c r="AI18" i="82"/>
  <c r="AG18" i="82"/>
  <c r="AF18" i="82"/>
  <c r="AJ17" i="82"/>
  <c r="AI17" i="82"/>
  <c r="AG17" i="82"/>
  <c r="AF17" i="82"/>
  <c r="AE17" i="82"/>
  <c r="AB17" i="82"/>
  <c r="Y17" i="82"/>
  <c r="V17" i="82"/>
  <c r="S17" i="82"/>
  <c r="P17" i="82"/>
  <c r="G17" i="82"/>
  <c r="D17" i="82"/>
  <c r="AJ16" i="82"/>
  <c r="AI16" i="82"/>
  <c r="AG16" i="82"/>
  <c r="AF16" i="82"/>
  <c r="AE16" i="82"/>
  <c r="AB16" i="82"/>
  <c r="Y16" i="82"/>
  <c r="S16" i="82"/>
  <c r="P16" i="82"/>
  <c r="M16" i="82"/>
  <c r="G16" i="82"/>
  <c r="D16" i="82"/>
  <c r="AJ15" i="82"/>
  <c r="AI15" i="82"/>
  <c r="AG15" i="82"/>
  <c r="AF15" i="82"/>
  <c r="AE15" i="82"/>
  <c r="AB15" i="82"/>
  <c r="Y15" i="82"/>
  <c r="V15" i="82"/>
  <c r="S15" i="82"/>
  <c r="P15" i="82"/>
  <c r="M15" i="82"/>
  <c r="J15" i="82"/>
  <c r="G15" i="82"/>
  <c r="D15" i="82"/>
  <c r="P14" i="82"/>
  <c r="AJ13" i="82"/>
  <c r="AI13" i="82"/>
  <c r="AG13" i="82"/>
  <c r="AF13" i="82"/>
  <c r="AE13" i="82"/>
  <c r="AB13" i="82"/>
  <c r="Y13" i="82"/>
  <c r="S13" i="82"/>
  <c r="P13" i="82"/>
  <c r="M13" i="82"/>
  <c r="G13" i="82"/>
  <c r="D13" i="82"/>
  <c r="AJ12" i="82"/>
  <c r="AI12" i="82"/>
  <c r="AG12" i="82"/>
  <c r="AF12" i="82"/>
  <c r="AE12" i="82"/>
  <c r="AB12" i="82"/>
  <c r="Y12" i="82"/>
  <c r="S12" i="82"/>
  <c r="M12" i="82"/>
  <c r="J12" i="82"/>
  <c r="G12" i="82"/>
  <c r="D12" i="82"/>
  <c r="AJ11" i="82"/>
  <c r="AI11" i="82"/>
  <c r="AG11" i="82"/>
  <c r="AF11" i="82"/>
  <c r="AE11" i="82"/>
  <c r="AB11" i="82"/>
  <c r="Y11" i="82"/>
  <c r="V11" i="82"/>
  <c r="S11" i="82"/>
  <c r="P11" i="82"/>
  <c r="M11" i="82"/>
  <c r="J11" i="82"/>
  <c r="G11" i="82"/>
  <c r="D11" i="82"/>
  <c r="AJ8" i="82"/>
  <c r="AI8" i="82"/>
  <c r="AG8" i="82"/>
  <c r="AF8" i="82"/>
  <c r="AD8" i="82"/>
  <c r="AC8" i="82"/>
  <c r="AA8" i="82"/>
  <c r="Z8" i="82"/>
  <c r="X8" i="82"/>
  <c r="W8" i="82"/>
  <c r="U8" i="82"/>
  <c r="T8" i="82"/>
  <c r="R8" i="82"/>
  <c r="Q8" i="82"/>
  <c r="O8" i="82"/>
  <c r="N8" i="82"/>
  <c r="L8" i="82"/>
  <c r="K8" i="82"/>
  <c r="I8" i="82"/>
  <c r="H8" i="82"/>
  <c r="F8" i="82"/>
  <c r="E8" i="82"/>
  <c r="AH136" i="84" l="1"/>
  <c r="AK139" i="84"/>
  <c r="AH144" i="84"/>
  <c r="AK136" i="84"/>
  <c r="AH140" i="84"/>
  <c r="AK144" i="84"/>
  <c r="AK118" i="84"/>
  <c r="AK110" i="84"/>
  <c r="AH143" i="84"/>
  <c r="AK113" i="84"/>
  <c r="AK134" i="84"/>
  <c r="AH138" i="84"/>
  <c r="AK138" i="84"/>
  <c r="AK140" i="84"/>
  <c r="AK143" i="84"/>
  <c r="AH139" i="84"/>
  <c r="AH134" i="84"/>
  <c r="G48" i="85"/>
  <c r="G38" i="85"/>
  <c r="G40" i="85"/>
  <c r="AH19" i="84"/>
  <c r="AK114" i="84"/>
  <c r="AK19" i="84"/>
  <c r="AH68" i="83"/>
  <c r="AK69" i="83"/>
  <c r="AK19" i="83"/>
  <c r="AH110" i="84"/>
  <c r="AH114" i="84"/>
  <c r="AH118" i="84"/>
  <c r="AK63" i="84"/>
  <c r="AK67" i="84"/>
  <c r="AH113" i="84"/>
  <c r="AK68" i="83"/>
  <c r="AH69" i="83"/>
  <c r="AH19" i="83"/>
  <c r="AK38" i="84"/>
  <c r="AH38" i="84"/>
  <c r="AH105" i="83"/>
  <c r="AK105" i="83"/>
  <c r="AH76" i="86"/>
  <c r="AK76" i="86"/>
  <c r="V44" i="85"/>
  <c r="AH128" i="84"/>
  <c r="AK128" i="84"/>
  <c r="AH24" i="82"/>
  <c r="AJ41" i="85"/>
  <c r="G41" i="82"/>
  <c r="AI42" i="85"/>
  <c r="AH41" i="83"/>
  <c r="AK50" i="83"/>
  <c r="AJ47" i="85"/>
  <c r="AJ48" i="85"/>
  <c r="D44" i="85"/>
  <c r="AI44" i="85"/>
  <c r="AH95" i="83"/>
  <c r="AJ43" i="85"/>
  <c r="AJ42" i="85"/>
  <c r="AK64" i="84"/>
  <c r="AJ44" i="85"/>
  <c r="AK60" i="84"/>
  <c r="AJ38" i="85"/>
  <c r="AJ40" i="85"/>
  <c r="AI41" i="85"/>
  <c r="AF46" i="87"/>
  <c r="T37" i="88"/>
  <c r="AF23" i="87"/>
  <c r="AG23" i="87"/>
  <c r="V38" i="85"/>
  <c r="AG11" i="87"/>
  <c r="AF40" i="87"/>
  <c r="AG46" i="87"/>
  <c r="U31" i="88"/>
  <c r="V31" i="88" s="1"/>
  <c r="T36" i="88"/>
  <c r="V36" i="88" s="1"/>
  <c r="AG40" i="87"/>
  <c r="T40" i="88"/>
  <c r="V40" i="88" s="1"/>
  <c r="T35" i="88"/>
  <c r="AH23" i="86"/>
  <c r="T39" i="88"/>
  <c r="AF35" i="87"/>
  <c r="H59" i="87"/>
  <c r="J59" i="87" s="1"/>
  <c r="D23" i="87"/>
  <c r="K59" i="87"/>
  <c r="M59" i="87" s="1"/>
  <c r="Y59" i="87"/>
  <c r="I52" i="87"/>
  <c r="J23" i="87"/>
  <c r="B59" i="87"/>
  <c r="D59" i="87" s="1"/>
  <c r="B52" i="87"/>
  <c r="E52" i="87"/>
  <c r="E59" i="87"/>
  <c r="G59" i="87" s="1"/>
  <c r="S59" i="87"/>
  <c r="F52" i="87"/>
  <c r="Y23" i="87"/>
  <c r="V46" i="87"/>
  <c r="U52" i="87"/>
  <c r="AH16" i="87"/>
  <c r="AH17" i="87"/>
  <c r="AH28" i="87"/>
  <c r="G23" i="87"/>
  <c r="G11" i="87"/>
  <c r="AH18" i="87"/>
  <c r="AK25" i="83"/>
  <c r="AH91" i="83"/>
  <c r="AA52" i="87"/>
  <c r="L52" i="87"/>
  <c r="AB38" i="85"/>
  <c r="S45" i="85"/>
  <c r="AH52" i="86"/>
  <c r="O52" i="87"/>
  <c r="C52" i="87"/>
  <c r="AH45" i="87"/>
  <c r="S36" i="88"/>
  <c r="AH122" i="84"/>
  <c r="AH123" i="84"/>
  <c r="S37" i="88"/>
  <c r="AH24" i="87"/>
  <c r="J53" i="87"/>
  <c r="AK77" i="84"/>
  <c r="AH14" i="85"/>
  <c r="AH31" i="85"/>
  <c r="D41" i="85"/>
  <c r="Y42" i="85"/>
  <c r="C11" i="58"/>
  <c r="C12" i="58"/>
  <c r="AH17" i="86"/>
  <c r="AH21" i="86"/>
  <c r="AK25" i="86"/>
  <c r="B19" i="58"/>
  <c r="B18" i="58"/>
  <c r="AH55" i="86"/>
  <c r="C25" i="58"/>
  <c r="B11" i="58"/>
  <c r="AK82" i="84"/>
  <c r="B10" i="58"/>
  <c r="C13" i="58"/>
  <c r="B9" i="58"/>
  <c r="C19" i="58"/>
  <c r="C18" i="58"/>
  <c r="AK43" i="86"/>
  <c r="B22" i="58"/>
  <c r="Y47" i="85"/>
  <c r="C10" i="58"/>
  <c r="C9" i="58"/>
  <c r="C22" i="58"/>
  <c r="C30" i="58"/>
  <c r="B20" i="58"/>
  <c r="B28" i="58"/>
  <c r="AH32" i="82"/>
  <c r="AH38" i="82"/>
  <c r="AH64" i="83"/>
  <c r="AH96" i="83"/>
  <c r="AK98" i="83"/>
  <c r="M106" i="83"/>
  <c r="AK123" i="84"/>
  <c r="C20" i="58"/>
  <c r="AK48" i="86"/>
  <c r="B27" i="58"/>
  <c r="C28" i="58"/>
  <c r="C26" i="58"/>
  <c r="B29" i="58"/>
  <c r="C17" i="58"/>
  <c r="C14" i="58"/>
  <c r="C27" i="58"/>
  <c r="C29" i="58"/>
  <c r="AK100" i="83"/>
  <c r="AH57" i="84"/>
  <c r="C21" i="58"/>
  <c r="B17" i="58"/>
  <c r="Y41" i="82"/>
  <c r="AH45" i="82"/>
  <c r="AH62" i="83"/>
  <c r="AK46" i="84"/>
  <c r="AH91" i="84"/>
  <c r="AB42" i="85"/>
  <c r="AK57" i="86"/>
  <c r="AH91" i="86"/>
  <c r="AK57" i="83"/>
  <c r="AK79" i="83"/>
  <c r="AK45" i="84"/>
  <c r="AB40" i="85"/>
  <c r="S41" i="82"/>
  <c r="AE41" i="82"/>
  <c r="AH13" i="83"/>
  <c r="AH24" i="85"/>
  <c r="AH73" i="86"/>
  <c r="V41" i="82"/>
  <c r="AK33" i="83"/>
  <c r="AH36" i="83"/>
  <c r="AH48" i="83"/>
  <c r="AH50" i="83"/>
  <c r="AH76" i="83"/>
  <c r="AH80" i="83"/>
  <c r="AK94" i="84"/>
  <c r="AK117" i="84"/>
  <c r="AH34" i="85"/>
  <c r="J43" i="85"/>
  <c r="AH22" i="86"/>
  <c r="C35" i="88"/>
  <c r="P36" i="88"/>
  <c r="J41" i="82"/>
  <c r="AH26" i="83"/>
  <c r="AK53" i="84"/>
  <c r="AH84" i="84"/>
  <c r="AK44" i="86"/>
  <c r="Y54" i="87"/>
  <c r="AK101" i="84"/>
  <c r="AH21" i="87"/>
  <c r="AH53" i="84"/>
  <c r="AH105" i="84"/>
  <c r="AH132" i="84"/>
  <c r="S47" i="85"/>
  <c r="D35" i="86"/>
  <c r="AK70" i="86"/>
  <c r="AH90" i="86"/>
  <c r="AH32" i="87"/>
  <c r="AH34" i="87"/>
  <c r="AH51" i="84"/>
  <c r="AK62" i="84"/>
  <c r="AK72" i="84"/>
  <c r="AH97" i="84"/>
  <c r="J48" i="85"/>
  <c r="AH71" i="86"/>
  <c r="AK78" i="86"/>
  <c r="AK12" i="82"/>
  <c r="AK108" i="83"/>
  <c r="AH17" i="84"/>
  <c r="AK91" i="84"/>
  <c r="AK14" i="85"/>
  <c r="AK21" i="85"/>
  <c r="AK18" i="86"/>
  <c r="M16" i="88"/>
  <c r="AH11" i="82"/>
  <c r="AH12" i="83"/>
  <c r="AH17" i="83"/>
  <c r="AK43" i="83"/>
  <c r="Y56" i="83"/>
  <c r="AH67" i="83"/>
  <c r="AK71" i="83"/>
  <c r="AK22" i="84"/>
  <c r="AH45" i="84"/>
  <c r="AK66" i="84"/>
  <c r="S42" i="85"/>
  <c r="AH41" i="86"/>
  <c r="AK67" i="83"/>
  <c r="AB86" i="84"/>
  <c r="AK12" i="85"/>
  <c r="S43" i="85"/>
  <c r="AK24" i="86"/>
  <c r="AK58" i="86"/>
  <c r="D54" i="87"/>
  <c r="AH13" i="82"/>
  <c r="AB20" i="83"/>
  <c r="AH30" i="83"/>
  <c r="AH71" i="83"/>
  <c r="AK40" i="84"/>
  <c r="AH48" i="84"/>
  <c r="AK74" i="84"/>
  <c r="AH106" i="84"/>
  <c r="AK132" i="84"/>
  <c r="AK17" i="85"/>
  <c r="AH19" i="85"/>
  <c r="AH22" i="85"/>
  <c r="AH26" i="85"/>
  <c r="J40" i="85"/>
  <c r="J20" i="86"/>
  <c r="AH37" i="86"/>
  <c r="AH22" i="87"/>
  <c r="M46" i="87"/>
  <c r="AB56" i="87"/>
  <c r="G30" i="82"/>
  <c r="D32" i="83"/>
  <c r="AK80" i="83"/>
  <c r="AK86" i="83"/>
  <c r="AH52" i="84"/>
  <c r="AK99" i="84"/>
  <c r="AH12" i="85"/>
  <c r="AK19" i="85"/>
  <c r="AK26" i="85"/>
  <c r="AH29" i="85"/>
  <c r="Y48" i="85"/>
  <c r="AF28" i="86"/>
  <c r="AH28" i="86" s="1"/>
  <c r="V39" i="86"/>
  <c r="AK46" i="86"/>
  <c r="AK52" i="86"/>
  <c r="AH58" i="86"/>
  <c r="AK71" i="86"/>
  <c r="J55" i="87"/>
  <c r="Y58" i="87"/>
  <c r="M39" i="88"/>
  <c r="AH23" i="82"/>
  <c r="AK13" i="82"/>
  <c r="AH28" i="82"/>
  <c r="AH25" i="83"/>
  <c r="AH38" i="83"/>
  <c r="S44" i="83"/>
  <c r="AK95" i="83"/>
  <c r="D21" i="84"/>
  <c r="AH96" i="84"/>
  <c r="AK97" i="84"/>
  <c r="M41" i="85"/>
  <c r="X40" i="88"/>
  <c r="AI56" i="83"/>
  <c r="Y44" i="84"/>
  <c r="AH33" i="86"/>
  <c r="AK40" i="86"/>
  <c r="AH42" i="86"/>
  <c r="AK69" i="86"/>
  <c r="AB30" i="82"/>
  <c r="M41" i="82"/>
  <c r="AK26" i="83"/>
  <c r="AH46" i="83"/>
  <c r="S70" i="83"/>
  <c r="AH103" i="83"/>
  <c r="AK69" i="84"/>
  <c r="AH44" i="86"/>
  <c r="AK51" i="86"/>
  <c r="S87" i="86"/>
  <c r="AH19" i="87"/>
  <c r="S54" i="87"/>
  <c r="AH16" i="82"/>
  <c r="S21" i="82"/>
  <c r="AK77" i="83"/>
  <c r="AH84" i="83"/>
  <c r="AJ20" i="84"/>
  <c r="AH46" i="84"/>
  <c r="AK65" i="84"/>
  <c r="AI130" i="84"/>
  <c r="AH17" i="85"/>
  <c r="AB41" i="85"/>
  <c r="M44" i="85"/>
  <c r="S48" i="85"/>
  <c r="V16" i="86"/>
  <c r="AK36" i="86"/>
  <c r="AK77" i="86"/>
  <c r="P55" i="87"/>
  <c r="AB55" i="87"/>
  <c r="M56" i="87"/>
  <c r="G39" i="88"/>
  <c r="AJ70" i="83"/>
  <c r="AK29" i="85"/>
  <c r="AH61" i="86"/>
  <c r="AH69" i="86"/>
  <c r="AB57" i="87"/>
  <c r="V14" i="82"/>
  <c r="AH20" i="82"/>
  <c r="P30" i="82"/>
  <c r="AH34" i="82"/>
  <c r="AH22" i="83"/>
  <c r="AH29" i="83"/>
  <c r="AK36" i="83"/>
  <c r="AK46" i="83"/>
  <c r="AK48" i="83"/>
  <c r="AH83" i="83"/>
  <c r="AH93" i="83"/>
  <c r="AI94" i="83"/>
  <c r="AI106" i="83"/>
  <c r="AH107" i="83"/>
  <c r="AH16" i="84"/>
  <c r="M56" i="84"/>
  <c r="AK58" i="84"/>
  <c r="AJ80" i="84"/>
  <c r="AF93" i="84"/>
  <c r="AH93" i="84" s="1"/>
  <c r="AF94" i="84"/>
  <c r="AH94" i="84" s="1"/>
  <c r="AG104" i="84"/>
  <c r="M42" i="85"/>
  <c r="M48" i="85"/>
  <c r="AH14" i="86"/>
  <c r="AH24" i="86"/>
  <c r="AH43" i="86"/>
  <c r="AH88" i="86"/>
  <c r="M23" i="87"/>
  <c r="AH29" i="87"/>
  <c r="AB53" i="87"/>
  <c r="AH31" i="87"/>
  <c r="AH15" i="82"/>
  <c r="AH26" i="82"/>
  <c r="AH39" i="82"/>
  <c r="AH43" i="82"/>
  <c r="AH14" i="83"/>
  <c r="AK21" i="83"/>
  <c r="AK38" i="83"/>
  <c r="AH58" i="83"/>
  <c r="AH72" i="83"/>
  <c r="AK76" i="83"/>
  <c r="AK93" i="83"/>
  <c r="AK15" i="84"/>
  <c r="AK16" i="84"/>
  <c r="Y92" i="84"/>
  <c r="AB116" i="84"/>
  <c r="AK24" i="85"/>
  <c r="AK30" i="83"/>
  <c r="AK41" i="83"/>
  <c r="J44" i="83"/>
  <c r="AK18" i="84"/>
  <c r="AH58" i="84"/>
  <c r="V42" i="85"/>
  <c r="D20" i="86"/>
  <c r="AG39" i="86"/>
  <c r="S46" i="87"/>
  <c r="AK20" i="82"/>
  <c r="AJ44" i="83"/>
  <c r="AH79" i="83"/>
  <c r="AK83" i="83"/>
  <c r="Y106" i="83"/>
  <c r="AK107" i="83"/>
  <c r="AK51" i="84"/>
  <c r="AK70" i="84"/>
  <c r="AF116" i="84"/>
  <c r="AK126" i="84"/>
  <c r="AH131" i="84"/>
  <c r="D20" i="85"/>
  <c r="AH21" i="85"/>
  <c r="AK34" i="85"/>
  <c r="M38" i="85"/>
  <c r="Y38" i="85"/>
  <c r="M40" i="85"/>
  <c r="D42" i="85"/>
  <c r="Y44" i="85"/>
  <c r="AK14" i="86"/>
  <c r="P35" i="86"/>
  <c r="AH46" i="86"/>
  <c r="AH70" i="86"/>
  <c r="AH77" i="86"/>
  <c r="J80" i="86"/>
  <c r="AK88" i="86"/>
  <c r="Y46" i="87"/>
  <c r="Y56" i="87"/>
  <c r="G16" i="88"/>
  <c r="D31" i="88"/>
  <c r="P39" i="88"/>
  <c r="AK15" i="82"/>
  <c r="AK13" i="83"/>
  <c r="AK24" i="83"/>
  <c r="AH53" i="83"/>
  <c r="AK58" i="83"/>
  <c r="AK62" i="83"/>
  <c r="AH78" i="83"/>
  <c r="AF12" i="84"/>
  <c r="AH12" i="84" s="1"/>
  <c r="AI20" i="84"/>
  <c r="AH41" i="84"/>
  <c r="AK86" i="84"/>
  <c r="AK122" i="84"/>
  <c r="AH124" i="84"/>
  <c r="AH25" i="86"/>
  <c r="S35" i="86"/>
  <c r="AK79" i="86"/>
  <c r="AH15" i="87"/>
  <c r="D37" i="88"/>
  <c r="M37" i="88"/>
  <c r="S39" i="88"/>
  <c r="AE13" i="89"/>
  <c r="AI68" i="84"/>
  <c r="S14" i="82"/>
  <c r="AK17" i="82"/>
  <c r="AH29" i="82"/>
  <c r="J30" i="82"/>
  <c r="Y30" i="82"/>
  <c r="AH33" i="83"/>
  <c r="AB56" i="83"/>
  <c r="AI70" i="83"/>
  <c r="AK78" i="83"/>
  <c r="S94" i="83"/>
  <c r="AH98" i="83"/>
  <c r="AK103" i="83"/>
  <c r="AK41" i="84"/>
  <c r="AK57" i="84"/>
  <c r="AK81" i="84"/>
  <c r="AH117" i="84"/>
  <c r="AF39" i="85"/>
  <c r="AG44" i="85"/>
  <c r="S44" i="85"/>
  <c r="AK17" i="86"/>
  <c r="Y20" i="86"/>
  <c r="V35" i="86"/>
  <c r="M39" i="86"/>
  <c r="AH49" i="86"/>
  <c r="AH78" i="86"/>
  <c r="AK86" i="86"/>
  <c r="AB23" i="87"/>
  <c r="Y53" i="87"/>
  <c r="Y14" i="82"/>
  <c r="AF19" i="82"/>
  <c r="AH19" i="82" s="1"/>
  <c r="J21" i="82"/>
  <c r="V21" i="82"/>
  <c r="AH31" i="82"/>
  <c r="AB41" i="82"/>
  <c r="AK17" i="83"/>
  <c r="AH24" i="83"/>
  <c r="AK27" i="83"/>
  <c r="AI44" i="83"/>
  <c r="AK74" i="83"/>
  <c r="AK91" i="83"/>
  <c r="AK98" i="84"/>
  <c r="AH108" i="84"/>
  <c r="AG32" i="85"/>
  <c r="S20" i="86"/>
  <c r="AH57" i="86"/>
  <c r="AK90" i="86"/>
  <c r="G36" i="88"/>
  <c r="AH12" i="82"/>
  <c r="AB14" i="82"/>
  <c r="AK16" i="82"/>
  <c r="AH40" i="82"/>
  <c r="AG41" i="82"/>
  <c r="S32" i="83"/>
  <c r="AH43" i="83"/>
  <c r="D70" i="83"/>
  <c r="AH108" i="83"/>
  <c r="AG20" i="84"/>
  <c r="V40" i="85"/>
  <c r="AF41" i="85"/>
  <c r="Y54" i="86"/>
  <c r="AK73" i="86"/>
  <c r="AH30" i="87"/>
  <c r="D53" i="87"/>
  <c r="Y80" i="84"/>
  <c r="AG44" i="84"/>
  <c r="AB43" i="85"/>
  <c r="AF89" i="84"/>
  <c r="AH89" i="84" s="1"/>
  <c r="AF19" i="86"/>
  <c r="AH19" i="86" s="1"/>
  <c r="AF44" i="85"/>
  <c r="G44" i="85"/>
  <c r="J14" i="82"/>
  <c r="D21" i="82"/>
  <c r="M23" i="82"/>
  <c r="AF41" i="82"/>
  <c r="AH28" i="83"/>
  <c r="AJ32" i="83"/>
  <c r="Y32" i="83"/>
  <c r="AH34" i="83"/>
  <c r="S56" i="83"/>
  <c r="AK64" i="83"/>
  <c r="Y70" i="83"/>
  <c r="AH77" i="83"/>
  <c r="S82" i="83"/>
  <c r="AH88" i="83"/>
  <c r="J94" i="83"/>
  <c r="Y20" i="84"/>
  <c r="Y56" i="84"/>
  <c r="AK105" i="84"/>
  <c r="P39" i="86"/>
  <c r="AB39" i="86"/>
  <c r="AH68" i="86"/>
  <c r="S11" i="88"/>
  <c r="AI14" i="82"/>
  <c r="AH17" i="82"/>
  <c r="D30" i="82"/>
  <c r="AK29" i="83"/>
  <c r="AK34" i="83"/>
  <c r="D56" i="83"/>
  <c r="AF56" i="83"/>
  <c r="D82" i="83"/>
  <c r="S106" i="83"/>
  <c r="D56" i="84"/>
  <c r="D39" i="85"/>
  <c r="AH18" i="86"/>
  <c r="D54" i="86"/>
  <c r="P54" i="86"/>
  <c r="P23" i="87"/>
  <c r="G11" i="88"/>
  <c r="AI82" i="83"/>
  <c r="AJ106" i="83"/>
  <c r="AG56" i="84"/>
  <c r="AJ56" i="84"/>
  <c r="AG38" i="85"/>
  <c r="J38" i="85"/>
  <c r="AK21" i="86"/>
  <c r="S23" i="87"/>
  <c r="AJ14" i="82"/>
  <c r="AK11" i="82"/>
  <c r="D14" i="82"/>
  <c r="M14" i="82"/>
  <c r="AB19" i="82"/>
  <c r="AH33" i="82"/>
  <c r="AK12" i="83"/>
  <c r="AK28" i="83"/>
  <c r="AB44" i="83"/>
  <c r="AB70" i="83"/>
  <c r="AH74" i="83"/>
  <c r="M94" i="83"/>
  <c r="AF106" i="83"/>
  <c r="D17" i="84"/>
  <c r="AK48" i="84"/>
  <c r="AF50" i="84"/>
  <c r="AH50" i="84" s="1"/>
  <c r="S56" i="84"/>
  <c r="AH98" i="84"/>
  <c r="AK31" i="85"/>
  <c r="AG42" i="85"/>
  <c r="AH79" i="86"/>
  <c r="V80" i="86"/>
  <c r="AH33" i="87"/>
  <c r="AI36" i="84"/>
  <c r="AK36" i="84" s="1"/>
  <c r="AK90" i="84"/>
  <c r="AI116" i="84"/>
  <c r="S41" i="85"/>
  <c r="V43" i="85"/>
  <c r="AE20" i="86"/>
  <c r="AK33" i="86"/>
  <c r="AH36" i="86"/>
  <c r="AK42" i="86"/>
  <c r="AH51" i="86"/>
  <c r="AH85" i="86"/>
  <c r="AH14" i="87"/>
  <c r="AH20" i="87"/>
  <c r="AH26" i="87"/>
  <c r="AH47" i="87"/>
  <c r="P57" i="87"/>
  <c r="X41" i="88"/>
  <c r="S58" i="87"/>
  <c r="P37" i="88"/>
  <c r="J54" i="87"/>
  <c r="J58" i="87"/>
  <c r="M36" i="88"/>
  <c r="G37" i="88"/>
  <c r="AK12" i="84"/>
  <c r="AF44" i="84"/>
  <c r="AH55" i="84"/>
  <c r="AB104" i="84"/>
  <c r="AK108" i="84"/>
  <c r="AK131" i="84"/>
  <c r="Y40" i="85"/>
  <c r="AB44" i="85"/>
  <c r="AK23" i="86"/>
  <c r="AJ50" i="86"/>
  <c r="AK68" i="86"/>
  <c r="AK89" i="86"/>
  <c r="AH27" i="87"/>
  <c r="D12" i="84"/>
  <c r="D14" i="84"/>
  <c r="AH18" i="84"/>
  <c r="AH100" i="84"/>
  <c r="AH101" i="84"/>
  <c r="AK106" i="84"/>
  <c r="AJ116" i="84"/>
  <c r="AG130" i="84"/>
  <c r="AI38" i="85"/>
  <c r="AG40" i="85"/>
  <c r="P43" i="85"/>
  <c r="V48" i="85"/>
  <c r="AK34" i="86"/>
  <c r="AK49" i="86"/>
  <c r="AH53" i="86"/>
  <c r="AH82" i="86"/>
  <c r="AH13" i="87"/>
  <c r="AB46" i="87"/>
  <c r="AF15" i="86"/>
  <c r="AH15" i="86" s="1"/>
  <c r="AH25" i="87"/>
  <c r="P46" i="87"/>
  <c r="AH50" i="87"/>
  <c r="S53" i="87"/>
  <c r="M54" i="87"/>
  <c r="Y55" i="87"/>
  <c r="AH15" i="84"/>
  <c r="AB20" i="84"/>
  <c r="AF36" i="84"/>
  <c r="AH36" i="84" s="1"/>
  <c r="AK55" i="84"/>
  <c r="AH90" i="84"/>
  <c r="AH99" i="84"/>
  <c r="V130" i="84"/>
  <c r="J32" i="85"/>
  <c r="P48" i="85"/>
  <c r="P20" i="86"/>
  <c r="D39" i="86"/>
  <c r="AH40" i="86"/>
  <c r="AK41" i="86"/>
  <c r="AK53" i="86"/>
  <c r="AK61" i="86"/>
  <c r="AK82" i="86"/>
  <c r="AH86" i="86"/>
  <c r="AK91" i="86"/>
  <c r="AH12" i="87"/>
  <c r="AH49" i="87"/>
  <c r="X38" i="88"/>
  <c r="V57" i="87"/>
  <c r="AB21" i="82"/>
  <c r="AE21" i="82"/>
  <c r="AG94" i="83"/>
  <c r="M11" i="87"/>
  <c r="AE14" i="82"/>
  <c r="G21" i="82"/>
  <c r="P21" i="82"/>
  <c r="V30" i="82"/>
  <c r="AG45" i="85"/>
  <c r="AH57" i="83"/>
  <c r="AF82" i="83"/>
  <c r="AB106" i="83"/>
  <c r="AK52" i="84"/>
  <c r="AB130" i="84"/>
  <c r="AJ20" i="83"/>
  <c r="AB11" i="87"/>
  <c r="G35" i="88"/>
  <c r="G14" i="82"/>
  <c r="AF14" i="82"/>
  <c r="AI19" i="82"/>
  <c r="AK19" i="82" s="1"/>
  <c r="Y21" i="82"/>
  <c r="AG21" i="82"/>
  <c r="AE30" i="82"/>
  <c r="D41" i="82"/>
  <c r="AK22" i="83"/>
  <c r="AG82" i="83"/>
  <c r="AK88" i="83"/>
  <c r="D106" i="83"/>
  <c r="AJ92" i="84"/>
  <c r="AG92" i="84"/>
  <c r="AH126" i="84"/>
  <c r="AI45" i="85"/>
  <c r="AG14" i="82"/>
  <c r="AK14" i="83"/>
  <c r="AG44" i="83"/>
  <c r="AK72" i="83"/>
  <c r="AJ82" i="83"/>
  <c r="AH86" i="83"/>
  <c r="AF94" i="83"/>
  <c r="AF22" i="84"/>
  <c r="AH22" i="84" s="1"/>
  <c r="D22" i="84"/>
  <c r="S104" i="84"/>
  <c r="AI104" i="84"/>
  <c r="AH125" i="84"/>
  <c r="M43" i="85"/>
  <c r="AG43" i="85"/>
  <c r="AG30" i="82"/>
  <c r="AG56" i="83"/>
  <c r="AK84" i="83"/>
  <c r="AH100" i="83"/>
  <c r="AJ142" i="84"/>
  <c r="AG142" i="84"/>
  <c r="AH142" i="84" s="1"/>
  <c r="Y20" i="83"/>
  <c r="AI21" i="82"/>
  <c r="AI20" i="83"/>
  <c r="AF21" i="83"/>
  <c r="AH21" i="83" s="1"/>
  <c r="AB21" i="83"/>
  <c r="AF32" i="83"/>
  <c r="AJ94" i="83"/>
  <c r="AG106" i="83"/>
  <c r="AJ21" i="82"/>
  <c r="AE19" i="82"/>
  <c r="S30" i="82"/>
  <c r="S20" i="83"/>
  <c r="AF20" i="83"/>
  <c r="AH27" i="83"/>
  <c r="AG32" i="83"/>
  <c r="AI32" i="83"/>
  <c r="AK53" i="83"/>
  <c r="AJ56" i="83"/>
  <c r="AG70" i="83"/>
  <c r="Y82" i="83"/>
  <c r="AK96" i="83"/>
  <c r="AH40" i="84"/>
  <c r="D20" i="83"/>
  <c r="AG20" i="83"/>
  <c r="AF70" i="83"/>
  <c r="AF44" i="83"/>
  <c r="AI56" i="84"/>
  <c r="Y68" i="84"/>
  <c r="AF80" i="84"/>
  <c r="AK84" i="84"/>
  <c r="AF86" i="84"/>
  <c r="AH86" i="84" s="1"/>
  <c r="S92" i="84"/>
  <c r="AF104" i="84"/>
  <c r="AH127" i="84"/>
  <c r="P20" i="85"/>
  <c r="AI20" i="86"/>
  <c r="M20" i="86"/>
  <c r="AE39" i="86"/>
  <c r="AF14" i="84"/>
  <c r="AH14" i="84" s="1"/>
  <c r="AF21" i="84"/>
  <c r="AH21" i="84" s="1"/>
  <c r="AG80" i="84"/>
  <c r="AB47" i="85"/>
  <c r="AI93" i="84"/>
  <c r="AK93" i="84" s="1"/>
  <c r="AK100" i="84"/>
  <c r="AG116" i="84"/>
  <c r="AK125" i="84"/>
  <c r="AI17" i="84"/>
  <c r="AK17" i="84" s="1"/>
  <c r="AJ44" i="84"/>
  <c r="AI50" i="84"/>
  <c r="AK50" i="84" s="1"/>
  <c r="AI89" i="84"/>
  <c r="AK89" i="84" s="1"/>
  <c r="Y43" i="85"/>
  <c r="AK96" i="84"/>
  <c r="AK124" i="84"/>
  <c r="AK127" i="84"/>
  <c r="AF130" i="84"/>
  <c r="AG20" i="85"/>
  <c r="AK22" i="85"/>
  <c r="V47" i="85"/>
  <c r="AF68" i="84"/>
  <c r="AI80" i="84"/>
  <c r="AJ104" i="84"/>
  <c r="M47" i="85"/>
  <c r="D40" i="85"/>
  <c r="AI14" i="84"/>
  <c r="AK14" i="84" s="1"/>
  <c r="AI21" i="84"/>
  <c r="AK21" i="84" s="1"/>
  <c r="AG68" i="84"/>
  <c r="M92" i="84"/>
  <c r="AB48" i="85"/>
  <c r="AB94" i="84"/>
  <c r="AJ130" i="84"/>
  <c r="AK142" i="84"/>
  <c r="AJ20" i="85"/>
  <c r="AJ32" i="85"/>
  <c r="AK32" i="85" s="1"/>
  <c r="D32" i="85"/>
  <c r="S38" i="85"/>
  <c r="D47" i="85"/>
  <c r="AJ54" i="86"/>
  <c r="AG54" i="86"/>
  <c r="AI92" i="84"/>
  <c r="AG41" i="85"/>
  <c r="S20" i="84"/>
  <c r="AB50" i="84"/>
  <c r="AB89" i="84"/>
  <c r="D92" i="84"/>
  <c r="AJ68" i="84"/>
  <c r="AG39" i="85"/>
  <c r="G41" i="85"/>
  <c r="D45" i="85"/>
  <c r="AG16" i="86"/>
  <c r="AF20" i="86"/>
  <c r="AG20" i="86"/>
  <c r="AF59" i="86"/>
  <c r="AH59" i="86" s="1"/>
  <c r="AI59" i="86"/>
  <c r="AK59" i="86" s="1"/>
  <c r="M59" i="86"/>
  <c r="AJ20" i="86"/>
  <c r="P40" i="85"/>
  <c r="AF42" i="85"/>
  <c r="AG48" i="85"/>
  <c r="Y45" i="86"/>
  <c r="S40" i="85"/>
  <c r="AB19" i="86"/>
  <c r="AI19" i="86"/>
  <c r="M87" i="86"/>
  <c r="AI87" i="86"/>
  <c r="AI15" i="86"/>
  <c r="D15" i="86"/>
  <c r="AB20" i="86"/>
  <c r="AI28" i="86"/>
  <c r="AK28" i="86" s="1"/>
  <c r="D28" i="86"/>
  <c r="J20" i="85"/>
  <c r="Y16" i="86"/>
  <c r="AF35" i="86"/>
  <c r="AI38" i="86"/>
  <c r="AF38" i="86"/>
  <c r="AH38" i="86" s="1"/>
  <c r="AB38" i="86"/>
  <c r="AG47" i="85"/>
  <c r="P16" i="86"/>
  <c r="AK22" i="86"/>
  <c r="M35" i="86"/>
  <c r="V20" i="86"/>
  <c r="AH34" i="86"/>
  <c r="AK37" i="86"/>
  <c r="P50" i="86"/>
  <c r="S54" i="86"/>
  <c r="AB80" i="86"/>
  <c r="AK85" i="86"/>
  <c r="D87" i="86"/>
  <c r="Y87" i="86"/>
  <c r="AF87" i="86"/>
  <c r="AJ16" i="86"/>
  <c r="AF39" i="86"/>
  <c r="P87" i="86"/>
  <c r="S80" i="86"/>
  <c r="AJ87" i="86"/>
  <c r="AH89" i="86"/>
  <c r="S11" i="87"/>
  <c r="AF56" i="86"/>
  <c r="AH56" i="86" s="1"/>
  <c r="AI56" i="86"/>
  <c r="AK56" i="86" s="1"/>
  <c r="AF80" i="86"/>
  <c r="Y39" i="86"/>
  <c r="AF50" i="86"/>
  <c r="AB56" i="86"/>
  <c r="AE80" i="86"/>
  <c r="AB87" i="86"/>
  <c r="S39" i="86"/>
  <c r="D80" i="86"/>
  <c r="M80" i="86"/>
  <c r="AG35" i="86"/>
  <c r="Y35" i="86"/>
  <c r="AJ35" i="86"/>
  <c r="J39" i="86"/>
  <c r="AI50" i="86"/>
  <c r="P80" i="86"/>
  <c r="Y80" i="86"/>
  <c r="AI80" i="86"/>
  <c r="P54" i="87"/>
  <c r="AG50" i="86"/>
  <c r="AI55" i="86"/>
  <c r="AJ80" i="86"/>
  <c r="V11" i="87"/>
  <c r="S56" i="87"/>
  <c r="X42" i="88"/>
  <c r="J11" i="87"/>
  <c r="Y11" i="87"/>
  <c r="V11" i="88"/>
  <c r="D56" i="87"/>
  <c r="AI39" i="86"/>
  <c r="AG87" i="86"/>
  <c r="M11" i="88"/>
  <c r="AJ39" i="86"/>
  <c r="AG80" i="86"/>
  <c r="D11" i="87"/>
  <c r="P11" i="87"/>
  <c r="AH48" i="87"/>
  <c r="J31" i="88"/>
  <c r="G54" i="87"/>
  <c r="G58" i="87"/>
  <c r="D36" i="88"/>
  <c r="D46" i="87"/>
  <c r="D55" i="87"/>
  <c r="S13" i="88"/>
  <c r="D39" i="88"/>
  <c r="J40" i="88"/>
  <c r="D11" i="88"/>
  <c r="V13" i="88"/>
  <c r="G46" i="85" l="1"/>
  <c r="AH41" i="85"/>
  <c r="G52" i="87"/>
  <c r="AH35" i="87"/>
  <c r="AH116" i="84"/>
  <c r="V27" i="86"/>
  <c r="W40" i="88"/>
  <c r="Y40" i="88" s="1"/>
  <c r="AJ45" i="85"/>
  <c r="D43" i="85"/>
  <c r="AI43" i="85"/>
  <c r="AK43" i="85" s="1"/>
  <c r="AI40" i="85"/>
  <c r="AK40" i="85" s="1"/>
  <c r="Y93" i="86"/>
  <c r="AJ46" i="85"/>
  <c r="AI48" i="85"/>
  <c r="AK48" i="85" s="1"/>
  <c r="AI47" i="85"/>
  <c r="AK47" i="85" s="1"/>
  <c r="AF40" i="85"/>
  <c r="AH40" i="85" s="1"/>
  <c r="AF20" i="84"/>
  <c r="AH20" i="84" s="1"/>
  <c r="AF30" i="82"/>
  <c r="AH30" i="82" s="1"/>
  <c r="AG52" i="87"/>
  <c r="AF59" i="87"/>
  <c r="W42" i="88" s="1"/>
  <c r="Y42" i="88" s="1"/>
  <c r="D45" i="86"/>
  <c r="D35" i="88"/>
  <c r="U35" i="88"/>
  <c r="V35" i="88" s="1"/>
  <c r="AF52" i="87"/>
  <c r="X37" i="88"/>
  <c r="AH56" i="87"/>
  <c r="D52" i="87"/>
  <c r="AH23" i="87"/>
  <c r="AH44" i="85"/>
  <c r="J35" i="88"/>
  <c r="AH32" i="85"/>
  <c r="AH54" i="87"/>
  <c r="D20" i="84"/>
  <c r="X36" i="88"/>
  <c r="J42" i="82"/>
  <c r="S35" i="82"/>
  <c r="B14" i="58"/>
  <c r="AK55" i="86"/>
  <c r="B25" i="58"/>
  <c r="AK38" i="86"/>
  <c r="B21" i="58"/>
  <c r="AH39" i="85"/>
  <c r="B26" i="58"/>
  <c r="B30" i="58"/>
  <c r="AK15" i="86"/>
  <c r="B12" i="58"/>
  <c r="AK19" i="86"/>
  <c r="B13" i="58"/>
  <c r="Y27" i="86"/>
  <c r="P35" i="82"/>
  <c r="AF43" i="85"/>
  <c r="AH43" i="85" s="1"/>
  <c r="AH57" i="87"/>
  <c r="J29" i="86"/>
  <c r="AB52" i="87"/>
  <c r="AH53" i="87"/>
  <c r="J27" i="86"/>
  <c r="J46" i="85"/>
  <c r="Y45" i="85"/>
  <c r="AK116" i="84"/>
  <c r="J35" i="82"/>
  <c r="AK70" i="83"/>
  <c r="AK39" i="85"/>
  <c r="D93" i="86"/>
  <c r="AK94" i="83"/>
  <c r="AK44" i="83"/>
  <c r="D38" i="85"/>
  <c r="AK14" i="82"/>
  <c r="AH41" i="82"/>
  <c r="AF38" i="85"/>
  <c r="AH38" i="85" s="1"/>
  <c r="V52" i="87"/>
  <c r="AF54" i="86"/>
  <c r="AH54" i="86" s="1"/>
  <c r="V35" i="82"/>
  <c r="AF47" i="85"/>
  <c r="AH47" i="85" s="1"/>
  <c r="X39" i="88"/>
  <c r="AI16" i="86"/>
  <c r="AK16" i="86" s="1"/>
  <c r="AK42" i="85"/>
  <c r="AH42" i="85"/>
  <c r="AF56" i="84"/>
  <c r="AH56" i="84" s="1"/>
  <c r="S46" i="85"/>
  <c r="AH44" i="84"/>
  <c r="AI54" i="86"/>
  <c r="AK106" i="83"/>
  <c r="M30" i="82"/>
  <c r="AI35" i="86"/>
  <c r="AB16" i="86"/>
  <c r="S35" i="88"/>
  <c r="AG60" i="86"/>
  <c r="AF27" i="86"/>
  <c r="J93" i="86"/>
  <c r="AI44" i="84"/>
  <c r="Y60" i="86"/>
  <c r="AF16" i="86"/>
  <c r="AH16" i="86" s="1"/>
  <c r="AF45" i="85"/>
  <c r="AH45" i="85" s="1"/>
  <c r="D48" i="81"/>
  <c r="AK56" i="84"/>
  <c r="AK21" i="82"/>
  <c r="P35" i="88"/>
  <c r="D60" i="86"/>
  <c r="AJ93" i="86"/>
  <c r="P45" i="86"/>
  <c r="AK32" i="83"/>
  <c r="AH14" i="82"/>
  <c r="W37" i="88"/>
  <c r="V37" i="88"/>
  <c r="AB54" i="86"/>
  <c r="S60" i="86"/>
  <c r="S93" i="86"/>
  <c r="AH87" i="86"/>
  <c r="V45" i="86"/>
  <c r="AK87" i="86"/>
  <c r="AK44" i="85"/>
  <c r="AK80" i="84"/>
  <c r="Y46" i="85"/>
  <c r="AH82" i="83"/>
  <c r="AH11" i="87"/>
  <c r="M93" i="86"/>
  <c r="AG45" i="86"/>
  <c r="AJ45" i="86"/>
  <c r="AH50" i="86"/>
  <c r="AB60" i="86"/>
  <c r="P27" i="86"/>
  <c r="AB35" i="86"/>
  <c r="P93" i="86"/>
  <c r="Y29" i="86"/>
  <c r="AB92" i="84"/>
  <c r="AF92" i="84"/>
  <c r="AH68" i="84"/>
  <c r="AB56" i="84"/>
  <c r="AH44" i="83"/>
  <c r="AH32" i="83"/>
  <c r="V29" i="86"/>
  <c r="D48" i="85"/>
  <c r="AF48" i="85"/>
  <c r="AH48" i="85" s="1"/>
  <c r="M52" i="87"/>
  <c r="P42" i="82"/>
  <c r="AK50" i="86"/>
  <c r="AH80" i="86"/>
  <c r="M45" i="86"/>
  <c r="P46" i="85"/>
  <c r="AH20" i="86"/>
  <c r="D27" i="86"/>
  <c r="AK130" i="84"/>
  <c r="AH20" i="83"/>
  <c r="Y35" i="82"/>
  <c r="AE35" i="82"/>
  <c r="AG35" i="82"/>
  <c r="D35" i="82"/>
  <c r="M35" i="88"/>
  <c r="AK39" i="86"/>
  <c r="J52" i="87"/>
  <c r="AH35" i="86"/>
  <c r="M54" i="86"/>
  <c r="S27" i="86"/>
  <c r="AK20" i="85"/>
  <c r="AH130" i="84"/>
  <c r="AH80" i="84"/>
  <c r="AH70" i="83"/>
  <c r="AK56" i="83"/>
  <c r="AB35" i="82"/>
  <c r="P52" i="87"/>
  <c r="AH39" i="86"/>
  <c r="AK20" i="84"/>
  <c r="AK20" i="86"/>
  <c r="M46" i="85"/>
  <c r="AG46" i="85"/>
  <c r="M21" i="82"/>
  <c r="AK38" i="85"/>
  <c r="AH94" i="83"/>
  <c r="J44" i="82"/>
  <c r="W38" i="88"/>
  <c r="Y38" i="88" s="1"/>
  <c r="AH55" i="87"/>
  <c r="W36" i="88"/>
  <c r="AG93" i="86"/>
  <c r="AJ27" i="86"/>
  <c r="AG27" i="86"/>
  <c r="AB93" i="86"/>
  <c r="S52" i="87"/>
  <c r="J45" i="86"/>
  <c r="S45" i="86"/>
  <c r="AK68" i="84"/>
  <c r="M27" i="86"/>
  <c r="AH104" i="84"/>
  <c r="AK104" i="84"/>
  <c r="AF21" i="82"/>
  <c r="AH106" i="83"/>
  <c r="Y52" i="87"/>
  <c r="AH46" i="87"/>
  <c r="W41" i="88"/>
  <c r="Y41" i="88" s="1"/>
  <c r="AH58" i="87"/>
  <c r="W39" i="88"/>
  <c r="V39" i="88"/>
  <c r="AK80" i="86"/>
  <c r="AJ60" i="86"/>
  <c r="V93" i="86"/>
  <c r="AE93" i="86"/>
  <c r="P60" i="86"/>
  <c r="V46" i="85"/>
  <c r="AK92" i="84"/>
  <c r="AH20" i="85"/>
  <c r="AH56" i="83"/>
  <c r="AK20" i="83"/>
  <c r="G35" i="82"/>
  <c r="AK82" i="83"/>
  <c r="G23" i="9"/>
  <c r="G59" i="9" s="1"/>
  <c r="D47" i="81" l="1"/>
  <c r="Y62" i="86"/>
  <c r="AE64" i="86"/>
  <c r="AK35" i="86"/>
  <c r="AH59" i="87"/>
  <c r="S42" i="82"/>
  <c r="D46" i="85"/>
  <c r="V42" i="82"/>
  <c r="AI46" i="85"/>
  <c r="Y37" i="88"/>
  <c r="Y39" i="88"/>
  <c r="Y36" i="88"/>
  <c r="W35" i="88"/>
  <c r="AI45" i="86"/>
  <c r="F21" i="58" s="1"/>
  <c r="G25" i="58"/>
  <c r="G28" i="58"/>
  <c r="G30" i="58"/>
  <c r="G26" i="58"/>
  <c r="G27" i="58"/>
  <c r="G29" i="58"/>
  <c r="G17" i="58"/>
  <c r="G22" i="58"/>
  <c r="G21" i="58"/>
  <c r="G19" i="58"/>
  <c r="G20" i="58"/>
  <c r="G18" i="58"/>
  <c r="AB27" i="86"/>
  <c r="AI60" i="86"/>
  <c r="AK44" i="84"/>
  <c r="AB29" i="86"/>
  <c r="AK54" i="86"/>
  <c r="AI27" i="86"/>
  <c r="AK27" i="86" s="1"/>
  <c r="AB45" i="86"/>
  <c r="AF60" i="86"/>
  <c r="G42" i="82"/>
  <c r="X35" i="88"/>
  <c r="M35" i="82"/>
  <c r="AF42" i="82"/>
  <c r="AH92" i="84"/>
  <c r="AF45" i="86"/>
  <c r="S44" i="82"/>
  <c r="J62" i="86"/>
  <c r="AG29" i="86"/>
  <c r="AJ29" i="86"/>
  <c r="AG42" i="82"/>
  <c r="P29" i="86"/>
  <c r="AH93" i="86"/>
  <c r="AB42" i="82"/>
  <c r="Y42" i="82"/>
  <c r="AB46" i="85"/>
  <c r="AF46" i="85"/>
  <c r="J46" i="82"/>
  <c r="D42" i="82"/>
  <c r="AE27" i="86"/>
  <c r="AG62" i="86"/>
  <c r="AJ62" i="86"/>
  <c r="V62" i="86"/>
  <c r="P62" i="86"/>
  <c r="AH27" i="86"/>
  <c r="P44" i="82"/>
  <c r="AE45" i="86"/>
  <c r="AH52" i="87"/>
  <c r="S29" i="86"/>
  <c r="AF35" i="82"/>
  <c r="D29" i="86"/>
  <c r="D62" i="86"/>
  <c r="AH21" i="82"/>
  <c r="M29" i="86"/>
  <c r="S62" i="86"/>
  <c r="M60" i="86"/>
  <c r="AE42" i="82"/>
  <c r="V44" i="82"/>
  <c r="AK93" i="86"/>
  <c r="B23" i="9"/>
  <c r="M22" i="8" s="1"/>
  <c r="M66" i="8"/>
  <c r="P64" i="86" l="1"/>
  <c r="AK45" i="86"/>
  <c r="V64" i="86"/>
  <c r="M64" i="86"/>
  <c r="F22" i="58"/>
  <c r="J64" i="86"/>
  <c r="F20" i="58"/>
  <c r="F18" i="58"/>
  <c r="F17" i="58"/>
  <c r="F19" i="58"/>
  <c r="Y35" i="88"/>
  <c r="G13" i="58"/>
  <c r="G9" i="58"/>
  <c r="G14" i="58"/>
  <c r="G11" i="58"/>
  <c r="G12" i="58"/>
  <c r="G10" i="58"/>
  <c r="F27" i="58"/>
  <c r="F28" i="58"/>
  <c r="F29" i="58"/>
  <c r="F30" i="58"/>
  <c r="F25" i="58"/>
  <c r="F26" i="58"/>
  <c r="AF29" i="86"/>
  <c r="AH29" i="86" s="1"/>
  <c r="AI62" i="86"/>
  <c r="AK62" i="86" s="1"/>
  <c r="M62" i="86"/>
  <c r="AH42" i="82"/>
  <c r="AK60" i="86"/>
  <c r="AF62" i="86"/>
  <c r="AH62" i="86" s="1"/>
  <c r="AI29" i="86"/>
  <c r="AK29" i="86" s="1"/>
  <c r="P46" i="82"/>
  <c r="G44" i="82"/>
  <c r="D23" i="9"/>
  <c r="AH35" i="82"/>
  <c r="S64" i="86"/>
  <c r="S46" i="82"/>
  <c r="AH60" i="86"/>
  <c r="AH46" i="85"/>
  <c r="Y44" i="82"/>
  <c r="AJ64" i="86"/>
  <c r="D64" i="86"/>
  <c r="AG64" i="86"/>
  <c r="AH45" i="86"/>
  <c r="D44" i="82"/>
  <c r="Y64" i="86"/>
  <c r="AE44" i="82"/>
  <c r="AE62" i="86"/>
  <c r="AB62" i="86"/>
  <c r="AG44" i="82"/>
  <c r="AE29" i="86"/>
  <c r="AB44" i="82"/>
  <c r="AB64" i="86"/>
  <c r="V46" i="82"/>
  <c r="AK46" i="85"/>
  <c r="M42" i="82"/>
  <c r="B59" i="9"/>
  <c r="D59" i="9" s="1"/>
  <c r="F11" i="58" l="1"/>
  <c r="F9" i="58"/>
  <c r="F10" i="58"/>
  <c r="F12" i="58"/>
  <c r="F14" i="58"/>
  <c r="F13" i="58"/>
  <c r="M44" i="82"/>
  <c r="AF44" i="82"/>
  <c r="AH44" i="82" s="1"/>
  <c r="AG46" i="82"/>
  <c r="AK64" i="86"/>
  <c r="AB46" i="82"/>
  <c r="D46" i="82"/>
  <c r="AE46" i="82"/>
  <c r="Y46" i="82"/>
  <c r="G46" i="82"/>
  <c r="AH64" i="86"/>
  <c r="G16" i="10"/>
  <c r="G26" i="10"/>
  <c r="M46" i="82" l="1"/>
  <c r="AF46" i="82"/>
  <c r="D27" i="58"/>
  <c r="AH46" i="82" l="1"/>
  <c r="B33" i="58"/>
  <c r="D29" i="58"/>
  <c r="D17" i="58"/>
  <c r="D11" i="58"/>
  <c r="D18" i="58"/>
  <c r="C38" i="58"/>
  <c r="D19" i="58"/>
  <c r="D22" i="58"/>
  <c r="D26" i="58"/>
  <c r="C37" i="58"/>
  <c r="D28" i="58"/>
  <c r="C34" i="58"/>
  <c r="C35" i="58"/>
  <c r="C24" i="58"/>
  <c r="C36" i="58"/>
  <c r="D20" i="58"/>
  <c r="C16" i="58"/>
  <c r="D30" i="58"/>
  <c r="C33" i="58"/>
  <c r="C8" i="58"/>
  <c r="D9" i="58"/>
  <c r="D14" i="58"/>
  <c r="B35" i="58"/>
  <c r="D10" i="58"/>
  <c r="B34" i="58"/>
  <c r="G16" i="58" l="1"/>
  <c r="G24" i="58"/>
  <c r="D34" i="58"/>
  <c r="C32" i="58"/>
  <c r="G36" i="58" s="1"/>
  <c r="B38" i="58"/>
  <c r="D38" i="58" s="1"/>
  <c r="D35" i="58"/>
  <c r="D13" i="58"/>
  <c r="B37" i="58"/>
  <c r="D33" i="58"/>
  <c r="D25" i="58"/>
  <c r="B24" i="58"/>
  <c r="D24" i="58" s="1"/>
  <c r="B8" i="58"/>
  <c r="D8" i="58" s="1"/>
  <c r="D12" i="58"/>
  <c r="B36" i="58"/>
  <c r="D21" i="58"/>
  <c r="B16" i="58"/>
  <c r="D16" i="58" s="1"/>
  <c r="H22" i="58" l="1"/>
  <c r="H18" i="58"/>
  <c r="H20" i="58"/>
  <c r="H21" i="58"/>
  <c r="G8" i="58"/>
  <c r="H28" i="58"/>
  <c r="H27" i="58"/>
  <c r="H29" i="58"/>
  <c r="H26" i="58"/>
  <c r="H30" i="58"/>
  <c r="G35" i="58"/>
  <c r="B32" i="58"/>
  <c r="F34" i="58" s="1"/>
  <c r="G33" i="58"/>
  <c r="G37" i="58"/>
  <c r="G38" i="58"/>
  <c r="H19" i="58"/>
  <c r="G34" i="58"/>
  <c r="D36" i="58"/>
  <c r="D37" i="58"/>
  <c r="G32" i="58" l="1"/>
  <c r="F33" i="58"/>
  <c r="H33" i="58" s="1"/>
  <c r="H10" i="58"/>
  <c r="H14" i="58"/>
  <c r="F37" i="58"/>
  <c r="H37" i="58" s="1"/>
  <c r="F38" i="58"/>
  <c r="H38" i="58" s="1"/>
  <c r="H34" i="58"/>
  <c r="F36" i="58"/>
  <c r="H36" i="58" s="1"/>
  <c r="H17" i="58"/>
  <c r="F16" i="58"/>
  <c r="H16" i="58" s="1"/>
  <c r="H12" i="58"/>
  <c r="H13" i="58"/>
  <c r="H25" i="58"/>
  <c r="F24" i="58"/>
  <c r="H24" i="58" s="1"/>
  <c r="F35" i="58"/>
  <c r="H35" i="58" s="1"/>
  <c r="D32" i="58"/>
  <c r="H11" i="58"/>
  <c r="H9" i="58"/>
  <c r="F8" i="58"/>
  <c r="H8" i="58" s="1"/>
  <c r="F32" i="58" l="1"/>
  <c r="H32" i="58" s="1"/>
  <c r="K36" i="79" l="1"/>
  <c r="J9" i="79"/>
  <c r="K8" i="79"/>
  <c r="D7" i="79" l="1"/>
  <c r="D37" i="79"/>
  <c r="K122" i="79"/>
  <c r="L23" i="79"/>
  <c r="K114" i="79"/>
  <c r="D48" i="79"/>
  <c r="D10" i="79"/>
  <c r="J114" i="79"/>
  <c r="J29" i="79"/>
  <c r="J97" i="79"/>
  <c r="J28" i="79"/>
  <c r="K76" i="79"/>
  <c r="J122" i="79"/>
  <c r="D122" i="79"/>
  <c r="D9" i="79"/>
  <c r="K7" i="79"/>
  <c r="J22" i="79"/>
  <c r="K10" i="79"/>
  <c r="D36" i="79"/>
  <c r="D8" i="79"/>
  <c r="J8" i="79"/>
  <c r="L8" i="79" s="1"/>
  <c r="K22" i="79"/>
  <c r="K23" i="79"/>
  <c r="K28" i="79"/>
  <c r="K29" i="79"/>
  <c r="K30" i="79"/>
  <c r="J10" i="79"/>
  <c r="K9" i="79"/>
  <c r="L9" i="79" s="1"/>
  <c r="J7" i="79"/>
  <c r="D22" i="79"/>
  <c r="D23" i="79"/>
  <c r="D28" i="79"/>
  <c r="D29" i="79"/>
  <c r="D30" i="79"/>
  <c r="K37" i="79"/>
  <c r="D76" i="79"/>
  <c r="K97" i="79"/>
  <c r="J76" i="79"/>
  <c r="D97" i="79"/>
  <c r="D114" i="79"/>
  <c r="L76" i="79" l="1"/>
  <c r="L122" i="79"/>
  <c r="L97" i="79"/>
  <c r="L114" i="79"/>
  <c r="L10" i="79"/>
  <c r="L22" i="79"/>
  <c r="L29" i="79"/>
  <c r="L28" i="79"/>
  <c r="L7" i="79"/>
  <c r="L30" i="79"/>
  <c r="H31" i="9"/>
  <c r="H67" i="9" s="1"/>
  <c r="K119" i="79"/>
  <c r="K111" i="79"/>
  <c r="G31" i="9"/>
  <c r="G67" i="9" s="1"/>
  <c r="D66" i="79"/>
  <c r="C31" i="9"/>
  <c r="C67" i="9" s="1"/>
  <c r="D111" i="79"/>
  <c r="J111" i="79"/>
  <c r="D119" i="79"/>
  <c r="J119" i="79"/>
  <c r="L111" i="79" l="1"/>
  <c r="L119" i="79"/>
  <c r="D87" i="79"/>
  <c r="K87" i="79"/>
  <c r="D47" i="79"/>
  <c r="B31" i="9"/>
  <c r="B67" i="9" s="1"/>
  <c r="J87" i="79" l="1"/>
  <c r="L87" i="79" s="1"/>
  <c r="J66" i="79"/>
  <c r="K66" i="79"/>
  <c r="L66" i="79" l="1"/>
  <c r="D54" i="78"/>
  <c r="H21" i="9"/>
  <c r="D48" i="78"/>
  <c r="D57" i="78"/>
  <c r="D56" i="78" l="1"/>
  <c r="D53" i="78"/>
  <c r="G21" i="9"/>
  <c r="C21" i="9"/>
  <c r="N20" i="8" s="1"/>
  <c r="D47" i="78"/>
  <c r="H57" i="9"/>
  <c r="N64" i="8"/>
  <c r="M64" i="8" l="1"/>
  <c r="G57" i="9"/>
  <c r="C57" i="9"/>
  <c r="B21" i="9"/>
  <c r="M20" i="8" l="1"/>
  <c r="D21" i="9"/>
  <c r="B57" i="9"/>
  <c r="D57" i="9" s="1"/>
  <c r="D54" i="77" l="1"/>
  <c r="D55" i="77"/>
  <c r="H11" i="9"/>
  <c r="D48" i="77"/>
  <c r="G11" i="9"/>
  <c r="G47" i="9" s="1"/>
  <c r="D53" i="77" l="1"/>
  <c r="M55" i="8"/>
  <c r="H47" i="9"/>
  <c r="N55" i="8"/>
  <c r="D49" i="77"/>
  <c r="C11" i="9"/>
  <c r="C47" i="9" l="1"/>
  <c r="N10" i="8"/>
  <c r="B11" i="9"/>
  <c r="M10" i="8" s="1"/>
  <c r="D47" i="77"/>
  <c r="D11" i="9" l="1"/>
  <c r="B47" i="9"/>
  <c r="D47" i="9" s="1"/>
  <c r="N121" i="8" l="1"/>
  <c r="M121" i="8"/>
  <c r="N99" i="8"/>
  <c r="M99" i="8"/>
  <c r="N84" i="8"/>
  <c r="M84" i="8"/>
  <c r="N71" i="8"/>
  <c r="M71" i="8"/>
  <c r="N52" i="8"/>
  <c r="M52" i="8"/>
  <c r="N34" i="8"/>
  <c r="M34" i="8"/>
  <c r="H65" i="9" l="1"/>
  <c r="M66" i="9"/>
  <c r="L66" i="9"/>
  <c r="N66" i="9"/>
  <c r="O66" i="9"/>
  <c r="K8" i="74" l="1"/>
  <c r="H30" i="9"/>
  <c r="G30" i="9"/>
  <c r="D8" i="74"/>
  <c r="J8" i="74"/>
  <c r="K7" i="74"/>
  <c r="J7" i="74"/>
  <c r="D48" i="74"/>
  <c r="D7" i="74"/>
  <c r="M72" i="8" l="1"/>
  <c r="G66" i="9"/>
  <c r="L8" i="74"/>
  <c r="C30" i="9"/>
  <c r="L7" i="74"/>
  <c r="D47" i="74"/>
  <c r="H66" i="9"/>
  <c r="N72" i="8"/>
  <c r="B30" i="9"/>
  <c r="M29" i="8" s="1"/>
  <c r="B66" i="9" l="1"/>
  <c r="B22" i="4" l="1"/>
  <c r="E22" i="4"/>
  <c r="F22" i="4"/>
  <c r="C29" i="4"/>
  <c r="F29" i="4"/>
  <c r="C22" i="4"/>
  <c r="B29" i="4"/>
  <c r="E29" i="4"/>
  <c r="G21" i="10" l="1"/>
  <c r="C21" i="10"/>
  <c r="E29" i="79"/>
  <c r="E22" i="79"/>
  <c r="G10" i="10"/>
  <c r="C10" i="10"/>
  <c r="F33" i="4" l="1"/>
  <c r="E24" i="4"/>
  <c r="B25" i="4"/>
  <c r="E32" i="4"/>
  <c r="F26" i="4"/>
  <c r="C25" i="4"/>
  <c r="E30" i="4"/>
  <c r="F24" i="4"/>
  <c r="B24" i="4"/>
  <c r="C32" i="4"/>
  <c r="E33" i="4"/>
  <c r="K32" i="13"/>
  <c r="E23" i="4"/>
  <c r="B30" i="4"/>
  <c r="F23" i="4"/>
  <c r="E25" i="4"/>
  <c r="C30" i="4"/>
  <c r="F30" i="4"/>
  <c r="E31" i="4"/>
  <c r="F32" i="4"/>
  <c r="I32" i="37" s="1"/>
  <c r="B23" i="4"/>
  <c r="B31" i="4"/>
  <c r="C23" i="4"/>
  <c r="E26" i="4"/>
  <c r="C31" i="4"/>
  <c r="E31" i="37" s="1"/>
  <c r="F31" i="4"/>
  <c r="I31" i="37" s="1"/>
  <c r="C24" i="4"/>
  <c r="F25" i="4"/>
  <c r="B32" i="4"/>
  <c r="D23" i="23"/>
  <c r="H23" i="33"/>
  <c r="D23" i="29"/>
  <c r="D30" i="33"/>
  <c r="H24" i="23"/>
  <c r="D30" i="16"/>
  <c r="D25" i="13"/>
  <c r="D32" i="29"/>
  <c r="H30" i="33"/>
  <c r="H30" i="29"/>
  <c r="H30" i="23"/>
  <c r="H30" i="13"/>
  <c r="D23" i="37"/>
  <c r="D23" i="20"/>
  <c r="D30" i="20"/>
  <c r="H23" i="37"/>
  <c r="H24" i="13"/>
  <c r="H31" i="29"/>
  <c r="H31" i="23"/>
  <c r="H31" i="13"/>
  <c r="H25" i="13"/>
  <c r="D31" i="13"/>
  <c r="H32" i="33"/>
  <c r="H32" i="29"/>
  <c r="H32" i="23"/>
  <c r="H33" i="33"/>
  <c r="H33" i="29"/>
  <c r="H33" i="23"/>
  <c r="H23" i="13"/>
  <c r="D30" i="13"/>
  <c r="D31" i="33"/>
  <c r="D31" i="29"/>
  <c r="D32" i="13"/>
  <c r="H24" i="37"/>
  <c r="H24" i="33"/>
  <c r="H31" i="33"/>
  <c r="H25" i="37"/>
  <c r="H25" i="33"/>
  <c r="H25" i="29"/>
  <c r="H32" i="13"/>
  <c r="D24" i="37"/>
  <c r="D24" i="33"/>
  <c r="D24" i="29"/>
  <c r="D24" i="13"/>
  <c r="H26" i="37"/>
  <c r="H26" i="33"/>
  <c r="H26" i="29"/>
  <c r="H26" i="23"/>
  <c r="J30" i="29"/>
  <c r="D30" i="29"/>
  <c r="J30" i="23"/>
  <c r="D30" i="23"/>
  <c r="D23" i="33"/>
  <c r="H23" i="29"/>
  <c r="H23" i="23"/>
  <c r="D23" i="13"/>
  <c r="J33" i="23"/>
  <c r="J33" i="33"/>
  <c r="J33" i="29"/>
  <c r="J25" i="29"/>
  <c r="J25" i="13"/>
  <c r="J32" i="33"/>
  <c r="J32" i="29"/>
  <c r="J32" i="23"/>
  <c r="J26" i="37"/>
  <c r="J26" i="33"/>
  <c r="J26" i="29"/>
  <c r="J26" i="23"/>
  <c r="K23" i="33"/>
  <c r="J33" i="37"/>
  <c r="K31" i="23"/>
  <c r="K30" i="16"/>
  <c r="K25" i="37"/>
  <c r="K25" i="33"/>
  <c r="K25" i="29"/>
  <c r="K25" i="13"/>
  <c r="K23" i="37"/>
  <c r="K23" i="20"/>
  <c r="K32" i="33"/>
  <c r="K32" i="29"/>
  <c r="K32" i="23"/>
  <c r="J30" i="16"/>
  <c r="K33" i="23"/>
  <c r="K26" i="33"/>
  <c r="K26" i="29"/>
  <c r="K23" i="13"/>
  <c r="K33" i="33"/>
  <c r="K33" i="29"/>
  <c r="J23" i="20"/>
  <c r="J23" i="37"/>
  <c r="K26" i="37"/>
  <c r="K26" i="23"/>
  <c r="K31" i="13"/>
  <c r="J23" i="29"/>
  <c r="J23" i="23"/>
  <c r="J25" i="37"/>
  <c r="J25" i="33"/>
  <c r="K24" i="23"/>
  <c r="K24" i="13"/>
  <c r="K31" i="33"/>
  <c r="K31" i="29"/>
  <c r="J23" i="13"/>
  <c r="K30" i="20"/>
  <c r="K30" i="13"/>
  <c r="K24" i="33"/>
  <c r="K24" i="29"/>
  <c r="J31" i="37"/>
  <c r="J31" i="13"/>
  <c r="J24" i="37"/>
  <c r="J24" i="33"/>
  <c r="J24" i="29"/>
  <c r="J24" i="23"/>
  <c r="J24" i="13"/>
  <c r="K23" i="29"/>
  <c r="K23" i="23"/>
  <c r="J31" i="33"/>
  <c r="J31" i="29"/>
  <c r="J31" i="23"/>
  <c r="K24" i="37"/>
  <c r="K30" i="37"/>
  <c r="J30" i="13"/>
  <c r="J23" i="33"/>
  <c r="J30" i="33"/>
  <c r="J32" i="13"/>
  <c r="J30" i="37"/>
  <c r="J30" i="20"/>
  <c r="J32" i="37"/>
  <c r="K30" i="33"/>
  <c r="K30" i="29"/>
  <c r="K30" i="23"/>
  <c r="K32" i="37"/>
  <c r="K31" i="37"/>
  <c r="K33" i="37"/>
  <c r="I33" i="37" l="1"/>
  <c r="I33" i="33"/>
  <c r="I33" i="29"/>
  <c r="I30" i="37"/>
  <c r="E30" i="37"/>
  <c r="L32" i="13"/>
  <c r="L31" i="23"/>
  <c r="E23" i="79"/>
  <c r="E30" i="79"/>
  <c r="L23" i="33"/>
  <c r="L30" i="37"/>
  <c r="L24" i="23"/>
  <c r="L24" i="29"/>
  <c r="L23" i="20"/>
  <c r="L31" i="29"/>
  <c r="L25" i="29"/>
  <c r="L24" i="33"/>
  <c r="L26" i="33"/>
  <c r="L33" i="23"/>
  <c r="L30" i="20"/>
  <c r="L31" i="13"/>
  <c r="L24" i="13"/>
  <c r="L24" i="37"/>
  <c r="L31" i="37"/>
  <c r="L23" i="23"/>
  <c r="L26" i="37"/>
  <c r="L26" i="29"/>
  <c r="L30" i="29"/>
  <c r="L32" i="37"/>
  <c r="L31" i="33"/>
  <c r="L23" i="13"/>
  <c r="L23" i="29"/>
  <c r="L33" i="37"/>
  <c r="L32" i="23"/>
  <c r="L25" i="13"/>
  <c r="L33" i="29"/>
  <c r="L25" i="33"/>
  <c r="L30" i="16"/>
  <c r="L26" i="23"/>
  <c r="L32" i="29"/>
  <c r="L33" i="33"/>
  <c r="L30" i="13"/>
  <c r="L30" i="33"/>
  <c r="L25" i="37"/>
  <c r="L23" i="37"/>
  <c r="L32" i="33"/>
  <c r="L30" i="23"/>
  <c r="J9" i="72"/>
  <c r="K8" i="72"/>
  <c r="J8" i="72"/>
  <c r="L8" i="72" l="1"/>
  <c r="E31" i="13"/>
  <c r="E31" i="33"/>
  <c r="E31" i="29"/>
  <c r="E23" i="23"/>
  <c r="E23" i="13"/>
  <c r="E23" i="20"/>
  <c r="E23" i="37"/>
  <c r="E23" i="33"/>
  <c r="E23" i="29"/>
  <c r="E25" i="13"/>
  <c r="E30" i="13"/>
  <c r="E30" i="20"/>
  <c r="E30" i="23"/>
  <c r="E30" i="29"/>
  <c r="E30" i="16"/>
  <c r="E30" i="33"/>
  <c r="E32" i="13"/>
  <c r="E32" i="29"/>
  <c r="E24" i="13"/>
  <c r="E24" i="29"/>
  <c r="E24" i="33"/>
  <c r="E24" i="37"/>
  <c r="K7" i="72"/>
  <c r="K9" i="72"/>
  <c r="L9" i="72" s="1"/>
  <c r="J7" i="72"/>
  <c r="D8" i="72"/>
  <c r="D48" i="72"/>
  <c r="D7" i="72"/>
  <c r="D9" i="72"/>
  <c r="L7" i="72" l="1"/>
  <c r="H25" i="9"/>
  <c r="D47" i="72"/>
  <c r="G25" i="9"/>
  <c r="G61" i="9" s="1"/>
  <c r="B25" i="9"/>
  <c r="M24" i="8" s="1"/>
  <c r="C25" i="9" l="1"/>
  <c r="B61" i="9"/>
  <c r="C61" i="9" l="1"/>
  <c r="D61" i="9" s="1"/>
  <c r="N24" i="8"/>
  <c r="G33" i="4"/>
  <c r="I33" i="4" l="1"/>
  <c r="H33" i="4"/>
  <c r="M33" i="37" l="1"/>
  <c r="M33" i="33"/>
  <c r="M33" i="29"/>
  <c r="J33" i="4"/>
  <c r="B97" i="4" l="1"/>
  <c r="C76" i="4"/>
  <c r="B76" i="4"/>
  <c r="C97" i="4"/>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8" i="37" l="1"/>
  <c r="L9" i="37"/>
  <c r="L76" i="33"/>
  <c r="L97" i="33"/>
  <c r="L97" i="29"/>
  <c r="L76" i="29"/>
  <c r="L76" i="13"/>
  <c r="D97" i="4"/>
  <c r="D76" i="4"/>
  <c r="L97" i="37"/>
  <c r="L76" i="37"/>
  <c r="L97" i="13"/>
  <c r="I97" i="4"/>
  <c r="I76" i="4"/>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K10" i="37"/>
  <c r="K125" i="37"/>
  <c r="J117" i="37"/>
  <c r="J113" i="37"/>
  <c r="D110" i="37"/>
  <c r="K136" i="37"/>
  <c r="J134" i="37"/>
  <c r="J28" i="37"/>
  <c r="K11" i="37"/>
  <c r="J122" i="37"/>
  <c r="J116" i="37"/>
  <c r="K109" i="37"/>
  <c r="J12" i="37"/>
  <c r="J7" i="37"/>
  <c r="H75" i="37"/>
  <c r="D48" i="37"/>
  <c r="J137"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H10" i="37"/>
  <c r="K36" i="37"/>
  <c r="J11" i="37"/>
  <c r="L122" i="37" l="1"/>
  <c r="J76" i="4"/>
  <c r="L114" i="37"/>
  <c r="D77" i="37"/>
  <c r="H29" i="37"/>
  <c r="J29" i="37"/>
  <c r="D100" i="37"/>
  <c r="K98" i="37"/>
  <c r="K77" i="37"/>
  <c r="J79" i="37"/>
  <c r="L110" i="37"/>
  <c r="J97" i="4"/>
  <c r="J100" i="37"/>
  <c r="J66" i="37"/>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E106" i="4" l="1"/>
  <c r="E105" i="4"/>
  <c r="E95" i="4"/>
  <c r="E94" i="4"/>
  <c r="E92" i="4"/>
  <c r="E91" i="4"/>
  <c r="E85" i="4"/>
  <c r="E84" i="4"/>
  <c r="E74" i="4"/>
  <c r="E73" i="4"/>
  <c r="E71" i="4"/>
  <c r="C104" i="4"/>
  <c r="B104" i="4"/>
  <c r="C93" i="4"/>
  <c r="B93" i="4"/>
  <c r="C83" i="4"/>
  <c r="B83" i="4"/>
  <c r="C72" i="4"/>
  <c r="B72" i="4"/>
  <c r="C69" i="4"/>
  <c r="E69" i="29" s="1"/>
  <c r="B69" i="4"/>
  <c r="G31" i="4"/>
  <c r="E83" i="29" l="1"/>
  <c r="E83" i="33"/>
  <c r="E104" i="33"/>
  <c r="E104" i="13"/>
  <c r="E104" i="29"/>
  <c r="E104" i="37"/>
  <c r="E72" i="33"/>
  <c r="E72" i="29"/>
  <c r="E93" i="37"/>
  <c r="E93" i="29"/>
  <c r="E93" i="33"/>
  <c r="E93" i="13"/>
  <c r="F74" i="4"/>
  <c r="F85" i="4"/>
  <c r="F95" i="4"/>
  <c r="F106" i="4"/>
  <c r="F71" i="4"/>
  <c r="G71" i="4" s="1"/>
  <c r="F92" i="4"/>
  <c r="F91" i="4"/>
  <c r="G91" i="4" s="1"/>
  <c r="F73" i="4"/>
  <c r="G73" i="4" s="1"/>
  <c r="F84" i="4"/>
  <c r="G84" i="4" s="1"/>
  <c r="F94" i="4"/>
  <c r="G94" i="4" s="1"/>
  <c r="F105" i="4"/>
  <c r="G105" i="4" s="1"/>
  <c r="G23" i="4"/>
  <c r="G24" i="4"/>
  <c r="G30" i="4"/>
  <c r="G25" i="4"/>
  <c r="G32" i="4"/>
  <c r="D32" i="4"/>
  <c r="D24" i="4"/>
  <c r="I23" i="37"/>
  <c r="I25" i="37"/>
  <c r="G26" i="4"/>
  <c r="D25" i="4"/>
  <c r="I24" i="37"/>
  <c r="D30" i="4"/>
  <c r="D31" i="4"/>
  <c r="E69" i="4"/>
  <c r="E90" i="4"/>
  <c r="E83" i="4"/>
  <c r="E104" i="4"/>
  <c r="E72" i="4"/>
  <c r="E93" i="4"/>
  <c r="G74" i="4" l="1"/>
  <c r="I74" i="23"/>
  <c r="G92" i="4"/>
  <c r="G106" i="4"/>
  <c r="G85" i="4"/>
  <c r="G95" i="4"/>
  <c r="F90" i="4"/>
  <c r="G90" i="4" s="1"/>
  <c r="F104" i="4"/>
  <c r="F83" i="4"/>
  <c r="G83" i="4" s="1"/>
  <c r="F72" i="4"/>
  <c r="F93" i="4"/>
  <c r="G93" i="4" s="1"/>
  <c r="F69" i="4"/>
  <c r="G69" i="4" s="1"/>
  <c r="D69" i="4"/>
  <c r="D72" i="4"/>
  <c r="D104" i="4"/>
  <c r="D93" i="4"/>
  <c r="D83" i="4"/>
  <c r="E29" i="23"/>
  <c r="E29" i="29"/>
  <c r="E29" i="33"/>
  <c r="E29" i="16"/>
  <c r="E29" i="20"/>
  <c r="E29" i="51"/>
  <c r="E29" i="37"/>
  <c r="E29" i="13"/>
  <c r="D23" i="4"/>
  <c r="I26" i="4"/>
  <c r="H26" i="4"/>
  <c r="I106" i="37"/>
  <c r="I95" i="37"/>
  <c r="I85" i="37"/>
  <c r="I74" i="37"/>
  <c r="F26" i="10"/>
  <c r="F16" i="10"/>
  <c r="F34" i="10"/>
  <c r="I26" i="29"/>
  <c r="I26" i="23"/>
  <c r="I26" i="33"/>
  <c r="I26" i="37"/>
  <c r="G34" i="10"/>
  <c r="G72" i="4" l="1"/>
  <c r="I72" i="23"/>
  <c r="G104" i="4"/>
  <c r="M26" i="29"/>
  <c r="J26" i="4"/>
  <c r="I93" i="37"/>
  <c r="I104" i="37"/>
  <c r="I72" i="37"/>
  <c r="I83" i="37"/>
  <c r="M26" i="23"/>
  <c r="M26" i="37"/>
  <c r="M26" i="33"/>
  <c r="C52" i="4" l="1"/>
  <c r="B52" i="4"/>
  <c r="C51" i="4"/>
  <c r="B51" i="4"/>
  <c r="C50" i="4"/>
  <c r="E50" i="26" s="1"/>
  <c r="B50" i="4"/>
  <c r="E51" i="77" l="1"/>
  <c r="E51" i="39"/>
  <c r="E51" i="16"/>
  <c r="E51" i="37"/>
  <c r="E51" i="22"/>
  <c r="E52" i="39"/>
  <c r="E52" i="37"/>
  <c r="E52" i="22"/>
  <c r="E52" i="16"/>
  <c r="D51" i="16"/>
  <c r="D52" i="16"/>
  <c r="D51" i="4" l="1"/>
  <c r="D52" i="4"/>
  <c r="D50" i="4"/>
  <c r="G56" i="10" l="1"/>
  <c r="G60" i="10"/>
  <c r="I69" i="29" l="1"/>
  <c r="F60" i="10"/>
  <c r="F56" i="10"/>
  <c r="K28" i="10" l="1"/>
  <c r="J28" i="10"/>
  <c r="K9" i="33" l="1"/>
  <c r="K9" i="29"/>
  <c r="K8" i="51"/>
  <c r="K8" i="29"/>
  <c r="K8" i="33"/>
  <c r="K9" i="51"/>
  <c r="K8" i="25"/>
  <c r="K9" i="25"/>
  <c r="K8" i="22"/>
  <c r="K9" i="22"/>
  <c r="K9" i="20"/>
  <c r="K8" i="20"/>
  <c r="K8" i="19"/>
  <c r="J36" i="13"/>
  <c r="K9" i="19"/>
  <c r="K37" i="13"/>
  <c r="J37" i="13"/>
  <c r="K36" i="13"/>
  <c r="K8" i="13"/>
  <c r="K9" i="13"/>
  <c r="D22" i="16"/>
  <c r="B7" i="4" l="1"/>
  <c r="B9" i="10" s="1"/>
  <c r="E7" i="4"/>
  <c r="F9" i="10" s="1"/>
  <c r="E114" i="4"/>
  <c r="C108" i="4"/>
  <c r="B12" i="4"/>
  <c r="B41" i="10" s="1"/>
  <c r="B48" i="4"/>
  <c r="E79" i="4"/>
  <c r="F124" i="4"/>
  <c r="B36" i="4"/>
  <c r="B16" i="10" s="1"/>
  <c r="B89" i="4"/>
  <c r="B23" i="10" s="1"/>
  <c r="B55" i="4"/>
  <c r="B57" i="4"/>
  <c r="F10" i="4"/>
  <c r="F135" i="4"/>
  <c r="C10" i="4"/>
  <c r="B135" i="4"/>
  <c r="B25" i="10" s="1"/>
  <c r="C86" i="4"/>
  <c r="C125" i="4"/>
  <c r="C107" i="4"/>
  <c r="C34" i="4"/>
  <c r="C67" i="4"/>
  <c r="E116" i="4"/>
  <c r="B10" i="4"/>
  <c r="B20" i="10" s="1"/>
  <c r="E10" i="4"/>
  <c r="F20" i="10" s="1"/>
  <c r="B54" i="4"/>
  <c r="F109" i="4"/>
  <c r="F7" i="4"/>
  <c r="E117" i="4"/>
  <c r="C99" i="4"/>
  <c r="C28" i="4"/>
  <c r="E11" i="4"/>
  <c r="F30" i="10" s="1"/>
  <c r="E134" i="4"/>
  <c r="F15" i="10" s="1"/>
  <c r="F79" i="4"/>
  <c r="F96" i="4"/>
  <c r="C57" i="4"/>
  <c r="B34" i="4"/>
  <c r="C114" i="4"/>
  <c r="B8" i="4"/>
  <c r="F107" i="4"/>
  <c r="F12" i="4"/>
  <c r="C11" i="4"/>
  <c r="E96" i="4"/>
  <c r="F24" i="10" s="1"/>
  <c r="C79" i="4"/>
  <c r="B49" i="4"/>
  <c r="E100" i="4"/>
  <c r="B108" i="4"/>
  <c r="C124" i="4"/>
  <c r="F117" i="4"/>
  <c r="C116" i="4"/>
  <c r="B110" i="4"/>
  <c r="E34" i="4"/>
  <c r="F31" i="10" s="1"/>
  <c r="E12" i="4"/>
  <c r="F41" i="10" s="1"/>
  <c r="C8" i="4"/>
  <c r="B75" i="4"/>
  <c r="B14" i="10" s="1"/>
  <c r="F113" i="4"/>
  <c r="B114" i="4"/>
  <c r="C120" i="4"/>
  <c r="B35" i="4"/>
  <c r="C121" i="4"/>
  <c r="B11" i="4"/>
  <c r="B30" i="10" s="1"/>
  <c r="F112" i="4"/>
  <c r="C35" i="4"/>
  <c r="C48" i="4"/>
  <c r="F89" i="4"/>
  <c r="B68" i="4"/>
  <c r="B13" i="10" s="1"/>
  <c r="F100" i="4"/>
  <c r="E109" i="4"/>
  <c r="F125" i="4"/>
  <c r="E108" i="4"/>
  <c r="C126" i="4"/>
  <c r="B28" i="4"/>
  <c r="C88" i="4"/>
  <c r="F68" i="4"/>
  <c r="F86" i="4"/>
  <c r="E107" i="4"/>
  <c r="C68" i="4"/>
  <c r="B116" i="4"/>
  <c r="E113" i="4"/>
  <c r="B134" i="4"/>
  <c r="B15" i="10" s="1"/>
  <c r="C9" i="4"/>
  <c r="B107" i="4"/>
  <c r="F11" i="4"/>
  <c r="B37" i="4"/>
  <c r="B26" i="10" s="1"/>
  <c r="C134" i="4"/>
  <c r="C37" i="4"/>
  <c r="E37" i="13" s="1"/>
  <c r="E35" i="4"/>
  <c r="F42" i="10" s="1"/>
  <c r="F114" i="4"/>
  <c r="B96" i="4"/>
  <c r="B24" i="10" s="1"/>
  <c r="C54" i="4"/>
  <c r="B120" i="4"/>
  <c r="C100" i="4"/>
  <c r="B79" i="4"/>
  <c r="B109" i="4"/>
  <c r="F108" i="4"/>
  <c r="B86" i="4"/>
  <c r="E86" i="4"/>
  <c r="F116" i="4"/>
  <c r="C96" i="4"/>
  <c r="C89" i="4"/>
  <c r="E75" i="4"/>
  <c r="F14" i="10" s="1"/>
  <c r="F136" i="4"/>
  <c r="C55" i="4"/>
  <c r="B112" i="4"/>
  <c r="B99" i="4"/>
  <c r="C122" i="4"/>
  <c r="C135" i="4"/>
  <c r="B78" i="4"/>
  <c r="F121" i="4"/>
  <c r="E112" i="4"/>
  <c r="F35" i="4"/>
  <c r="I35" i="37" s="1"/>
  <c r="B122" i="4"/>
  <c r="B67" i="4"/>
  <c r="E89" i="4"/>
  <c r="B124" i="4"/>
  <c r="B125" i="4"/>
  <c r="F34" i="4"/>
  <c r="I34" i="37" s="1"/>
  <c r="C12" i="4"/>
  <c r="E121" i="4"/>
  <c r="C49" i="4"/>
  <c r="B126" i="4"/>
  <c r="D126" i="4" s="1"/>
  <c r="C112" i="4"/>
  <c r="C110" i="4"/>
  <c r="C75" i="4"/>
  <c r="B137" i="4"/>
  <c r="B44" i="10" s="1"/>
  <c r="E136" i="4"/>
  <c r="C7" i="4"/>
  <c r="B9" i="4"/>
  <c r="C36" i="4"/>
  <c r="B121" i="4"/>
  <c r="C136" i="4"/>
  <c r="F75" i="4"/>
  <c r="C137" i="4"/>
  <c r="B88" i="4"/>
  <c r="C78" i="4"/>
  <c r="F134" i="4"/>
  <c r="E135" i="4"/>
  <c r="F25" i="10" s="1"/>
  <c r="B136" i="4"/>
  <c r="B33" i="10" s="1"/>
  <c r="E68" i="4"/>
  <c r="B100" i="4"/>
  <c r="E125" i="4"/>
  <c r="C109" i="4"/>
  <c r="E124" i="4"/>
  <c r="N22" i="8"/>
  <c r="C59" i="9"/>
  <c r="G15" i="9"/>
  <c r="G51" i="9" s="1"/>
  <c r="H38" i="9"/>
  <c r="C36" i="9"/>
  <c r="H37" i="9"/>
  <c r="G36" i="9"/>
  <c r="H17" i="9"/>
  <c r="N60" i="8" s="1"/>
  <c r="G16" i="9"/>
  <c r="G13" i="9"/>
  <c r="G49" i="9" s="1"/>
  <c r="G14" i="9"/>
  <c r="G50" i="9" s="1"/>
  <c r="C35" i="9"/>
  <c r="B39" i="9"/>
  <c r="C39" i="9"/>
  <c r="G19" i="9"/>
  <c r="C38" i="9"/>
  <c r="H13" i="9"/>
  <c r="G10" i="9"/>
  <c r="G46" i="9" s="1"/>
  <c r="G18" i="9"/>
  <c r="H18" i="9"/>
  <c r="G22" i="9"/>
  <c r="H35" i="9"/>
  <c r="H9" i="9"/>
  <c r="H36" i="9"/>
  <c r="G9" i="9"/>
  <c r="H10" i="9"/>
  <c r="N54" i="8" s="1"/>
  <c r="C37" i="9"/>
  <c r="G20" i="9"/>
  <c r="G56" i="9" s="1"/>
  <c r="G17" i="9"/>
  <c r="G53" i="9" s="1"/>
  <c r="G24" i="9"/>
  <c r="G60" i="9" s="1"/>
  <c r="H39" i="9"/>
  <c r="G26" i="9"/>
  <c r="G28" i="9"/>
  <c r="G35" i="9"/>
  <c r="H20" i="9"/>
  <c r="N63" i="8" s="1"/>
  <c r="B35" i="9"/>
  <c r="B38" i="9"/>
  <c r="K135" i="26"/>
  <c r="H29" i="29"/>
  <c r="K121" i="13"/>
  <c r="H121" i="33"/>
  <c r="H125" i="33"/>
  <c r="H68" i="29"/>
  <c r="K113" i="33"/>
  <c r="H29" i="13"/>
  <c r="K12" i="29"/>
  <c r="J86" i="29"/>
  <c r="K108" i="33"/>
  <c r="H22" i="33"/>
  <c r="K68" i="33"/>
  <c r="H35" i="29"/>
  <c r="H34" i="13"/>
  <c r="K22" i="51"/>
  <c r="K135" i="34"/>
  <c r="K134" i="26"/>
  <c r="K113" i="29"/>
  <c r="H100" i="29"/>
  <c r="K137" i="26"/>
  <c r="J79" i="29"/>
  <c r="K28" i="51"/>
  <c r="H89" i="29"/>
  <c r="K12" i="33"/>
  <c r="K116" i="33"/>
  <c r="K29" i="51"/>
  <c r="H34" i="33"/>
  <c r="H12" i="33"/>
  <c r="H125" i="29"/>
  <c r="K108" i="23"/>
  <c r="K22" i="23"/>
  <c r="H107" i="23"/>
  <c r="K107" i="33"/>
  <c r="K100" i="33"/>
  <c r="K75" i="33"/>
  <c r="K122" i="33"/>
  <c r="K114" i="33"/>
  <c r="H29" i="33"/>
  <c r="H75" i="33"/>
  <c r="D37" i="13"/>
  <c r="K89" i="23"/>
  <c r="K68" i="23"/>
  <c r="H135" i="26"/>
  <c r="H22" i="29"/>
  <c r="H96" i="33"/>
  <c r="H117" i="33"/>
  <c r="K28" i="25"/>
  <c r="K96" i="33"/>
  <c r="H35" i="33"/>
  <c r="K117" i="33"/>
  <c r="K28" i="23"/>
  <c r="H114" i="33"/>
  <c r="K89" i="33"/>
  <c r="D57" i="16"/>
  <c r="D28" i="16"/>
  <c r="D29" i="16"/>
  <c r="D9" i="16"/>
  <c r="D10" i="16"/>
  <c r="D54" i="16"/>
  <c r="D8" i="16"/>
  <c r="D49" i="16"/>
  <c r="D7" i="16"/>
  <c r="D48" i="16"/>
  <c r="H100" i="23"/>
  <c r="B21" i="10"/>
  <c r="K109" i="23"/>
  <c r="K34" i="13"/>
  <c r="K107" i="13"/>
  <c r="K121" i="23"/>
  <c r="H109" i="23"/>
  <c r="H22" i="23"/>
  <c r="H100" i="33"/>
  <c r="H68" i="33"/>
  <c r="K125" i="33"/>
  <c r="D49" i="39"/>
  <c r="K7" i="13"/>
  <c r="K7" i="19"/>
  <c r="K10" i="29"/>
  <c r="H7" i="23"/>
  <c r="H7" i="29"/>
  <c r="H7" i="33"/>
  <c r="K10" i="33"/>
  <c r="H10" i="13"/>
  <c r="K7" i="23"/>
  <c r="K11" i="33"/>
  <c r="K7" i="29"/>
  <c r="H11" i="13"/>
  <c r="K22" i="13"/>
  <c r="K29" i="13"/>
  <c r="H79" i="13"/>
  <c r="K100" i="13"/>
  <c r="K116" i="13"/>
  <c r="K10" i="19"/>
  <c r="K10" i="13"/>
  <c r="H121" i="13"/>
  <c r="K7" i="20"/>
  <c r="K10" i="20"/>
  <c r="D49" i="26"/>
  <c r="K11" i="29"/>
  <c r="H113" i="29"/>
  <c r="K7" i="33"/>
  <c r="H89" i="33"/>
  <c r="H107" i="33"/>
  <c r="K121" i="33"/>
  <c r="K126" i="33"/>
  <c r="H89" i="13"/>
  <c r="K109" i="13"/>
  <c r="K67" i="13"/>
  <c r="K11" i="13"/>
  <c r="H113" i="33"/>
  <c r="H12" i="23"/>
  <c r="H86" i="23"/>
  <c r="H136" i="26"/>
  <c r="K28" i="29"/>
  <c r="K34" i="29"/>
  <c r="H134" i="26"/>
  <c r="K117" i="29"/>
  <c r="H79" i="23"/>
  <c r="H89" i="23"/>
  <c r="H117" i="23"/>
  <c r="K35" i="29"/>
  <c r="H117" i="29"/>
  <c r="K28" i="19"/>
  <c r="H40" i="9"/>
  <c r="H22" i="13"/>
  <c r="H7" i="13"/>
  <c r="K35" i="13"/>
  <c r="K108" i="13"/>
  <c r="K12" i="13"/>
  <c r="H107" i="13"/>
  <c r="C40" i="9"/>
  <c r="D48" i="13"/>
  <c r="J10" i="13"/>
  <c r="D10" i="13"/>
  <c r="K28" i="13"/>
  <c r="K68" i="13"/>
  <c r="K112" i="13"/>
  <c r="K117" i="13"/>
  <c r="H35" i="13"/>
  <c r="H109" i="13"/>
  <c r="J89" i="13"/>
  <c r="D89" i="13"/>
  <c r="D11" i="13"/>
  <c r="J11" i="13"/>
  <c r="J9" i="19"/>
  <c r="L9" i="19" s="1"/>
  <c r="D9" i="19"/>
  <c r="K113" i="13"/>
  <c r="J9" i="13"/>
  <c r="L9" i="13" s="1"/>
  <c r="D9" i="13"/>
  <c r="H68" i="13"/>
  <c r="J88" i="13"/>
  <c r="D88" i="13"/>
  <c r="H100" i="13"/>
  <c r="H12" i="13"/>
  <c r="D78" i="13"/>
  <c r="J78" i="13"/>
  <c r="J12" i="13"/>
  <c r="D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D10" i="19"/>
  <c r="J10" i="19"/>
  <c r="J28" i="20"/>
  <c r="D28" i="20"/>
  <c r="D54" i="22"/>
  <c r="D22" i="23"/>
  <c r="J22" i="23"/>
  <c r="D28" i="25"/>
  <c r="J28" i="25"/>
  <c r="J112" i="23"/>
  <c r="D112" i="23"/>
  <c r="D8" i="22"/>
  <c r="J8" i="22"/>
  <c r="L8" i="22" s="1"/>
  <c r="D29" i="23"/>
  <c r="J29" i="23"/>
  <c r="K112" i="23"/>
  <c r="J22" i="51"/>
  <c r="D22" i="51"/>
  <c r="K11" i="23"/>
  <c r="K35" i="23"/>
  <c r="D107" i="23"/>
  <c r="J107" i="23"/>
  <c r="J117" i="23"/>
  <c r="D48" i="25"/>
  <c r="D9" i="22"/>
  <c r="J9" i="22"/>
  <c r="L9" i="22" s="1"/>
  <c r="K12" i="23"/>
  <c r="K67" i="23"/>
  <c r="D78" i="23"/>
  <c r="K78" i="23"/>
  <c r="J108" i="23"/>
  <c r="D108" i="23"/>
  <c r="H113" i="23"/>
  <c r="D67" i="29"/>
  <c r="K67" i="29"/>
  <c r="J75" i="33"/>
  <c r="D75" i="33"/>
  <c r="D48" i="51"/>
  <c r="D54" i="40"/>
  <c r="J28" i="29"/>
  <c r="D28" i="29"/>
  <c r="D136" i="26"/>
  <c r="J136" i="26"/>
  <c r="D7" i="29"/>
  <c r="J7" i="29"/>
  <c r="J12" i="29"/>
  <c r="H12" i="29"/>
  <c r="J109" i="29"/>
  <c r="D109" i="29"/>
  <c r="K120" i="29"/>
  <c r="D68" i="29"/>
  <c r="J68" i="29"/>
  <c r="D86" i="29"/>
  <c r="K86" i="29"/>
  <c r="K89" i="29"/>
  <c r="K107" i="29"/>
  <c r="H121" i="29"/>
  <c r="J10" i="33"/>
  <c r="D10" i="33"/>
  <c r="J68" i="33"/>
  <c r="D68" i="33"/>
  <c r="D126" i="33"/>
  <c r="J126" i="33"/>
  <c r="L126" i="33" s="1"/>
  <c r="K78" i="33"/>
  <c r="K112" i="33"/>
  <c r="J8" i="33"/>
  <c r="L8" i="33" s="1"/>
  <c r="D8" i="33"/>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D49" i="22"/>
  <c r="J10" i="23"/>
  <c r="J34" i="23"/>
  <c r="K113" i="23"/>
  <c r="J125" i="23"/>
  <c r="J7" i="25"/>
  <c r="D7" i="25"/>
  <c r="J10" i="25"/>
  <c r="D10" i="25"/>
  <c r="D29" i="51"/>
  <c r="J29" i="51"/>
  <c r="J12" i="23"/>
  <c r="J78" i="23"/>
  <c r="H29" i="23"/>
  <c r="J68" i="23"/>
  <c r="K79" i="23"/>
  <c r="J88" i="23"/>
  <c r="D88" i="23"/>
  <c r="K99" i="23"/>
  <c r="J109" i="23"/>
  <c r="K120" i="23"/>
  <c r="D48" i="40"/>
  <c r="J29" i="29"/>
  <c r="D29" i="29"/>
  <c r="D134" i="26"/>
  <c r="J134" i="26"/>
  <c r="D137" i="26"/>
  <c r="J137" i="26"/>
  <c r="K7" i="51"/>
  <c r="K10" i="51"/>
  <c r="J78" i="29"/>
  <c r="D78" i="29"/>
  <c r="J22" i="29"/>
  <c r="D22" i="29"/>
  <c r="K68" i="29"/>
  <c r="J88" i="29"/>
  <c r="D88" i="29"/>
  <c r="J11" i="33"/>
  <c r="J121" i="29"/>
  <c r="J134" i="34"/>
  <c r="D134" i="34"/>
  <c r="K108" i="29"/>
  <c r="D48" i="34"/>
  <c r="H77" i="29"/>
  <c r="H107" i="29"/>
  <c r="J117" i="29"/>
  <c r="J135" i="34"/>
  <c r="D135" i="34"/>
  <c r="J9" i="33"/>
  <c r="L9" i="33" s="1"/>
  <c r="D9" i="33"/>
  <c r="J78" i="33"/>
  <c r="D78" i="33"/>
  <c r="J22" i="33"/>
  <c r="D22" i="33"/>
  <c r="J29" i="33"/>
  <c r="D29" i="33"/>
  <c r="J67" i="33"/>
  <c r="K79" i="33"/>
  <c r="J99" i="33"/>
  <c r="D99" i="33"/>
  <c r="D109" i="33"/>
  <c r="J109" i="33"/>
  <c r="D48" i="38"/>
  <c r="G40" i="9"/>
  <c r="J112" i="33"/>
  <c r="D112" i="33"/>
  <c r="J117" i="33"/>
  <c r="D48" i="39"/>
  <c r="D56" i="21"/>
  <c r="D57" i="21"/>
  <c r="K28" i="20"/>
  <c r="J28" i="23"/>
  <c r="D28" i="23"/>
  <c r="D48" i="21"/>
  <c r="D57" i="25"/>
  <c r="J11" i="23"/>
  <c r="J35" i="23"/>
  <c r="J8" i="25"/>
  <c r="L8" i="25" s="1"/>
  <c r="D8" i="25"/>
  <c r="J9" i="51"/>
  <c r="L9" i="51" s="1"/>
  <c r="D9" i="51"/>
  <c r="K29" i="23"/>
  <c r="J67" i="23"/>
  <c r="D67" i="23"/>
  <c r="J79" i="23"/>
  <c r="J99" i="23"/>
  <c r="D99" i="23"/>
  <c r="J120" i="23"/>
  <c r="D120" i="23"/>
  <c r="K125" i="23"/>
  <c r="K7" i="25"/>
  <c r="K10" i="25"/>
  <c r="D48" i="22"/>
  <c r="H10" i="23"/>
  <c r="H34" i="23"/>
  <c r="K86" i="23"/>
  <c r="J89" i="23"/>
  <c r="K100" i="23"/>
  <c r="K116" i="23"/>
  <c r="J121" i="23"/>
  <c r="H125" i="23"/>
  <c r="D54" i="25"/>
  <c r="J7" i="51"/>
  <c r="D7" i="51"/>
  <c r="D10" i="51"/>
  <c r="J10" i="51"/>
  <c r="J34" i="29"/>
  <c r="D34" i="29"/>
  <c r="D10" i="29"/>
  <c r="J10" i="29"/>
  <c r="J89" i="29"/>
  <c r="D89" i="29"/>
  <c r="H10" i="29"/>
  <c r="K22" i="29"/>
  <c r="K29" i="29"/>
  <c r="J120" i="29"/>
  <c r="D120" i="29"/>
  <c r="J107" i="29"/>
  <c r="D107" i="29"/>
  <c r="K78" i="29"/>
  <c r="K99" i="29"/>
  <c r="K109" i="29"/>
  <c r="J125" i="29"/>
  <c r="K134" i="34"/>
  <c r="H27" i="9"/>
  <c r="N69" i="8" s="1"/>
  <c r="H79" i="29"/>
  <c r="J113" i="29"/>
  <c r="K125" i="29"/>
  <c r="D67" i="33"/>
  <c r="K67" i="33"/>
  <c r="J79" i="33"/>
  <c r="D79" i="33"/>
  <c r="J34" i="33"/>
  <c r="K86" i="33"/>
  <c r="D122" i="33"/>
  <c r="J122" i="33"/>
  <c r="K22" i="33"/>
  <c r="K29" i="33"/>
  <c r="H79" i="33"/>
  <c r="J88" i="33"/>
  <c r="D88" i="33"/>
  <c r="J100" i="33"/>
  <c r="D100" i="33"/>
  <c r="K120" i="33"/>
  <c r="J113" i="33"/>
  <c r="D57" i="39"/>
  <c r="J22" i="20"/>
  <c r="D22" i="20"/>
  <c r="J29" i="20"/>
  <c r="D29" i="20"/>
  <c r="D48" i="20"/>
  <c r="J7" i="23"/>
  <c r="D28" i="19"/>
  <c r="J28" i="19"/>
  <c r="K10" i="22"/>
  <c r="K88" i="23"/>
  <c r="J35" i="29"/>
  <c r="D7" i="22"/>
  <c r="J7" i="22"/>
  <c r="D10" i="22"/>
  <c r="J10" i="22"/>
  <c r="H121" i="23"/>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K99" i="33"/>
  <c r="H86" i="29"/>
  <c r="H109" i="29"/>
  <c r="K88" i="33"/>
  <c r="J86" i="33"/>
  <c r="D121" i="33"/>
  <c r="J121" i="33"/>
  <c r="J35" i="33"/>
  <c r="D35" i="33"/>
  <c r="J7" i="33"/>
  <c r="D7" i="33"/>
  <c r="H10" i="33"/>
  <c r="K34" i="33"/>
  <c r="H86" i="33"/>
  <c r="J89" i="33"/>
  <c r="D89" i="33"/>
  <c r="J107" i="33"/>
  <c r="J110" i="33"/>
  <c r="D110" i="33"/>
  <c r="K109" i="33"/>
  <c r="H109" i="33"/>
  <c r="J114" i="33"/>
  <c r="D114" i="33"/>
  <c r="G27" i="9"/>
  <c r="B10" i="10"/>
  <c r="F21" i="10"/>
  <c r="F10" i="10"/>
  <c r="K9" i="16"/>
  <c r="K8" i="16"/>
  <c r="K22" i="16"/>
  <c r="K7" i="16"/>
  <c r="J8" i="16"/>
  <c r="J9" i="16"/>
  <c r="J22" i="16"/>
  <c r="J28" i="16"/>
  <c r="J29" i="16"/>
  <c r="K10" i="16"/>
  <c r="K29" i="16"/>
  <c r="J10" i="16"/>
  <c r="J7" i="16"/>
  <c r="K28" i="16"/>
  <c r="E36" i="37" l="1"/>
  <c r="E36" i="13"/>
  <c r="E37" i="79"/>
  <c r="E37" i="37"/>
  <c r="E34" i="37"/>
  <c r="E35" i="37"/>
  <c r="E36" i="79"/>
  <c r="G114" i="4"/>
  <c r="L28" i="19"/>
  <c r="G125" i="4"/>
  <c r="K77" i="33"/>
  <c r="G89" i="4"/>
  <c r="E48" i="81"/>
  <c r="G112" i="4"/>
  <c r="C98" i="4"/>
  <c r="B53" i="4"/>
  <c r="B38" i="10" s="1"/>
  <c r="G109" i="4"/>
  <c r="E119" i="4"/>
  <c r="B66" i="4"/>
  <c r="E87" i="4"/>
  <c r="G79" i="4"/>
  <c r="F77" i="4"/>
  <c r="C66" i="4"/>
  <c r="F87" i="4"/>
  <c r="F98" i="4"/>
  <c r="B87" i="4"/>
  <c r="B22" i="10" s="1"/>
  <c r="C87" i="4"/>
  <c r="E77" i="4"/>
  <c r="F119" i="4"/>
  <c r="B47" i="4"/>
  <c r="B11" i="10" s="1"/>
  <c r="E98" i="4"/>
  <c r="C53" i="4"/>
  <c r="C47" i="4"/>
  <c r="C77" i="4"/>
  <c r="F66" i="4"/>
  <c r="C119" i="4"/>
  <c r="C111" i="4"/>
  <c r="C56" i="4"/>
  <c r="B77" i="4"/>
  <c r="B119" i="4"/>
  <c r="B43" i="10" s="1"/>
  <c r="B56" i="4"/>
  <c r="B49" i="10" s="1"/>
  <c r="B98" i="4"/>
  <c r="E66" i="4"/>
  <c r="B111" i="4"/>
  <c r="B32" i="10" s="1"/>
  <c r="E111" i="4"/>
  <c r="F32" i="10" s="1"/>
  <c r="F111" i="4"/>
  <c r="M59" i="8"/>
  <c r="G52" i="9"/>
  <c r="M62" i="8"/>
  <c r="G55" i="9"/>
  <c r="M70" i="8"/>
  <c r="G64" i="9"/>
  <c r="M65" i="8"/>
  <c r="M68" i="8"/>
  <c r="M69" i="8"/>
  <c r="G63" i="9"/>
  <c r="M61" i="8"/>
  <c r="G45" i="9"/>
  <c r="G68" i="4"/>
  <c r="G116" i="4"/>
  <c r="G113" i="4"/>
  <c r="G107" i="4"/>
  <c r="G24" i="10"/>
  <c r="C25" i="10"/>
  <c r="G23" i="10"/>
  <c r="C15" i="10"/>
  <c r="G15" i="10"/>
  <c r="C16" i="10"/>
  <c r="C14" i="10"/>
  <c r="G20" i="10"/>
  <c r="G13" i="10"/>
  <c r="G9" i="10"/>
  <c r="C26" i="10"/>
  <c r="N66" i="8"/>
  <c r="H59" i="9"/>
  <c r="C9" i="10"/>
  <c r="C23" i="10"/>
  <c r="C20" i="10"/>
  <c r="C24" i="10"/>
  <c r="C13" i="10"/>
  <c r="G14" i="10"/>
  <c r="G25" i="10"/>
  <c r="G117" i="4"/>
  <c r="D47" i="19"/>
  <c r="G124" i="4"/>
  <c r="G86" i="4"/>
  <c r="G96" i="4"/>
  <c r="G108" i="4"/>
  <c r="F13" i="10"/>
  <c r="G100" i="4"/>
  <c r="G121" i="4"/>
  <c r="G75" i="4"/>
  <c r="N57" i="8"/>
  <c r="H49" i="9"/>
  <c r="F23" i="10"/>
  <c r="M57" i="8"/>
  <c r="D28" i="4"/>
  <c r="N53" i="8"/>
  <c r="M53" i="8"/>
  <c r="M73" i="8"/>
  <c r="L86" i="23"/>
  <c r="E9" i="79"/>
  <c r="E114" i="79"/>
  <c r="E57" i="78"/>
  <c r="E122" i="79"/>
  <c r="E7" i="79"/>
  <c r="E48" i="78"/>
  <c r="E48" i="79"/>
  <c r="E54" i="78"/>
  <c r="E8" i="79"/>
  <c r="E10" i="79"/>
  <c r="E28" i="79"/>
  <c r="H12" i="9"/>
  <c r="N56" i="8" s="1"/>
  <c r="G12" i="9"/>
  <c r="N73" i="8"/>
  <c r="D34" i="4"/>
  <c r="E48" i="77"/>
  <c r="E55" i="77"/>
  <c r="E49" i="77"/>
  <c r="E54" i="77"/>
  <c r="L107" i="23"/>
  <c r="B12" i="9"/>
  <c r="M11" i="8" s="1"/>
  <c r="H77" i="33"/>
  <c r="L10" i="22"/>
  <c r="L29" i="51"/>
  <c r="N124" i="8"/>
  <c r="E28" i="16"/>
  <c r="H54" i="9"/>
  <c r="N61" i="8"/>
  <c r="E28" i="51"/>
  <c r="M67" i="8"/>
  <c r="M60" i="8"/>
  <c r="E28" i="29"/>
  <c r="M63" i="8"/>
  <c r="E28" i="23"/>
  <c r="E28" i="20"/>
  <c r="M54" i="8"/>
  <c r="E28" i="25"/>
  <c r="E28" i="19"/>
  <c r="M58" i="8"/>
  <c r="M124" i="8"/>
  <c r="I9" i="9"/>
  <c r="K98" i="33"/>
  <c r="C12" i="9"/>
  <c r="L22" i="51"/>
  <c r="D47" i="39"/>
  <c r="L7" i="51"/>
  <c r="E34" i="13"/>
  <c r="E34" i="29"/>
  <c r="L110" i="33"/>
  <c r="E8" i="74"/>
  <c r="E7" i="72"/>
  <c r="E7" i="74"/>
  <c r="E48" i="72"/>
  <c r="E48" i="74"/>
  <c r="E28" i="37"/>
  <c r="E28" i="13"/>
  <c r="D35" i="4"/>
  <c r="C29" i="9"/>
  <c r="N28" i="8" s="1"/>
  <c r="D53" i="40"/>
  <c r="L28" i="51"/>
  <c r="L10" i="51"/>
  <c r="E35" i="13"/>
  <c r="E35" i="33"/>
  <c r="B34" i="10"/>
  <c r="H77" i="13"/>
  <c r="B42" i="10"/>
  <c r="D29" i="4"/>
  <c r="E9" i="72"/>
  <c r="E8" i="72"/>
  <c r="D37" i="4"/>
  <c r="L10" i="19"/>
  <c r="D36" i="4"/>
  <c r="I33" i="23"/>
  <c r="B31" i="10"/>
  <c r="D110" i="4"/>
  <c r="L10" i="25"/>
  <c r="L122" i="33"/>
  <c r="L135" i="26"/>
  <c r="D122" i="4"/>
  <c r="D47" i="34"/>
  <c r="L121" i="13"/>
  <c r="L108" i="33"/>
  <c r="E48" i="37"/>
  <c r="I11" i="37"/>
  <c r="E54" i="37"/>
  <c r="I117" i="37"/>
  <c r="E22" i="37"/>
  <c r="I109" i="37"/>
  <c r="E7" i="37"/>
  <c r="E134" i="37"/>
  <c r="I89" i="37"/>
  <c r="I10" i="37"/>
  <c r="I125" i="37"/>
  <c r="I124" i="37"/>
  <c r="I113" i="37"/>
  <c r="I68" i="37"/>
  <c r="E137" i="37"/>
  <c r="I114" i="37"/>
  <c r="I96" i="37"/>
  <c r="E75" i="37"/>
  <c r="E49" i="37"/>
  <c r="I100" i="37"/>
  <c r="E89" i="37"/>
  <c r="D114" i="4"/>
  <c r="I12" i="37"/>
  <c r="I22" i="37"/>
  <c r="I121" i="37"/>
  <c r="I29" i="37"/>
  <c r="I79" i="37"/>
  <c r="I116" i="37"/>
  <c r="I75" i="37"/>
  <c r="E135" i="37"/>
  <c r="I112" i="37"/>
  <c r="I108" i="37"/>
  <c r="E10" i="37"/>
  <c r="E57" i="37"/>
  <c r="I7" i="37"/>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29"/>
  <c r="H111" i="13"/>
  <c r="L35" i="23"/>
  <c r="N123" i="8"/>
  <c r="C10" i="9"/>
  <c r="N9" i="8" s="1"/>
  <c r="N102" i="8"/>
  <c r="C22" i="9"/>
  <c r="N21" i="8" s="1"/>
  <c r="C13" i="9"/>
  <c r="C20" i="9"/>
  <c r="N19" i="8" s="1"/>
  <c r="C26" i="9"/>
  <c r="N25" i="8" s="1"/>
  <c r="K111" i="13"/>
  <c r="L107" i="33"/>
  <c r="L100" i="33"/>
  <c r="M102" i="8"/>
  <c r="L108" i="13"/>
  <c r="D56" i="40"/>
  <c r="N126" i="8"/>
  <c r="H119" i="23"/>
  <c r="L116" i="33"/>
  <c r="C18" i="9"/>
  <c r="N17" i="8" s="1"/>
  <c r="D53" i="22"/>
  <c r="L35" i="33"/>
  <c r="L8" i="16"/>
  <c r="L67" i="29"/>
  <c r="L29" i="20"/>
  <c r="L116" i="23"/>
  <c r="L108" i="23"/>
  <c r="L28" i="25"/>
  <c r="L9" i="16"/>
  <c r="H98" i="13"/>
  <c r="K111" i="29"/>
  <c r="L7" i="16"/>
  <c r="D53" i="16"/>
  <c r="D56" i="25"/>
  <c r="L117" i="33"/>
  <c r="L12" i="13"/>
  <c r="D56" i="16"/>
  <c r="N122" i="8"/>
  <c r="L99" i="23"/>
  <c r="L7" i="20"/>
  <c r="K119" i="13"/>
  <c r="M103" i="8"/>
  <c r="K66" i="23"/>
  <c r="L11" i="33"/>
  <c r="H119" i="13"/>
  <c r="L22" i="16"/>
  <c r="L29" i="16"/>
  <c r="C14" i="9"/>
  <c r="N13" i="8" s="1"/>
  <c r="L10" i="16"/>
  <c r="D47" i="16"/>
  <c r="L28" i="16"/>
  <c r="N125" i="8"/>
  <c r="L7" i="13"/>
  <c r="B27" i="9"/>
  <c r="M26" i="8" s="1"/>
  <c r="M104" i="8"/>
  <c r="M125" i="8"/>
  <c r="N101" i="8"/>
  <c r="N127" i="8"/>
  <c r="C27" i="9"/>
  <c r="N26" i="8" s="1"/>
  <c r="C19" i="9"/>
  <c r="N18" i="8" s="1"/>
  <c r="M101" i="8"/>
  <c r="B9" i="9"/>
  <c r="B15" i="9"/>
  <c r="M14" i="8" s="1"/>
  <c r="M105" i="8"/>
  <c r="H119" i="33"/>
  <c r="L125" i="33"/>
  <c r="L121" i="23"/>
  <c r="M123" i="8"/>
  <c r="L116" i="13"/>
  <c r="N104" i="8"/>
  <c r="L10" i="33"/>
  <c r="C17" i="9"/>
  <c r="N16" i="8" s="1"/>
  <c r="B17" i="9"/>
  <c r="M16" i="8" s="1"/>
  <c r="L22" i="13"/>
  <c r="L107" i="13"/>
  <c r="L10" i="13"/>
  <c r="L121" i="33"/>
  <c r="C24" i="9"/>
  <c r="N23" i="8" s="1"/>
  <c r="H87" i="23"/>
  <c r="L7" i="23"/>
  <c r="H87" i="33"/>
  <c r="L120" i="29"/>
  <c r="D47" i="22"/>
  <c r="L11" i="23"/>
  <c r="L117" i="29"/>
  <c r="K119" i="23"/>
  <c r="L34" i="13"/>
  <c r="M126" i="8"/>
  <c r="B19" i="9"/>
  <c r="M18" i="8" s="1"/>
  <c r="B18" i="9"/>
  <c r="M17" i="8" s="1"/>
  <c r="L7" i="19"/>
  <c r="M100" i="8"/>
  <c r="L11" i="13"/>
  <c r="C9" i="9"/>
  <c r="N8" i="8" s="1"/>
  <c r="C28" i="9"/>
  <c r="N27" i="8" s="1"/>
  <c r="E48" i="39"/>
  <c r="E48" i="16"/>
  <c r="I73" i="29"/>
  <c r="I89" i="13"/>
  <c r="I89" i="29"/>
  <c r="I89" i="33"/>
  <c r="I89" i="23"/>
  <c r="I35" i="23"/>
  <c r="I35" i="29"/>
  <c r="I35" i="33"/>
  <c r="I35" i="13"/>
  <c r="G42" i="10"/>
  <c r="I134" i="26"/>
  <c r="I10" i="23"/>
  <c r="I10" i="29"/>
  <c r="I10" i="33"/>
  <c r="I10" i="13"/>
  <c r="E49" i="39"/>
  <c r="E49" i="16"/>
  <c r="I23" i="33"/>
  <c r="I23" i="13"/>
  <c r="I23" i="23"/>
  <c r="I23" i="29"/>
  <c r="E54" i="39"/>
  <c r="E54" i="16"/>
  <c r="I114" i="33"/>
  <c r="C31" i="10"/>
  <c r="C41" i="10"/>
  <c r="I86" i="23"/>
  <c r="I86" i="29"/>
  <c r="I86" i="33"/>
  <c r="C33" i="10"/>
  <c r="H16" i="9"/>
  <c r="N59" i="8" s="1"/>
  <c r="B14" i="9"/>
  <c r="M13" i="8" s="1"/>
  <c r="M127" i="8"/>
  <c r="B10" i="9"/>
  <c r="M9" i="8" s="1"/>
  <c r="H61" i="9"/>
  <c r="N100" i="8"/>
  <c r="I29" i="33"/>
  <c r="I29" i="23"/>
  <c r="I29" i="29"/>
  <c r="I29" i="13"/>
  <c r="I25" i="29"/>
  <c r="I25" i="33"/>
  <c r="I25" i="13"/>
  <c r="I30" i="23"/>
  <c r="I30" i="29"/>
  <c r="I30" i="33"/>
  <c r="I30" i="13"/>
  <c r="C30" i="10"/>
  <c r="I107" i="13"/>
  <c r="I107" i="23"/>
  <c r="I107" i="29"/>
  <c r="I107" i="33"/>
  <c r="C44" i="10"/>
  <c r="I75" i="33"/>
  <c r="I32" i="13"/>
  <c r="I32" i="23"/>
  <c r="I32" i="29"/>
  <c r="I32" i="33"/>
  <c r="I100" i="13"/>
  <c r="I100" i="23"/>
  <c r="I100" i="29"/>
  <c r="I100" i="33"/>
  <c r="I22" i="23"/>
  <c r="I22" i="29"/>
  <c r="I22" i="33"/>
  <c r="I22" i="13"/>
  <c r="C34" i="10"/>
  <c r="I121" i="13"/>
  <c r="I121" i="23"/>
  <c r="I121" i="33"/>
  <c r="I121" i="29"/>
  <c r="I113" i="23"/>
  <c r="I113" i="13"/>
  <c r="I113" i="33"/>
  <c r="I113" i="29"/>
  <c r="I108" i="13"/>
  <c r="N103" i="8"/>
  <c r="B37" i="9"/>
  <c r="B13" i="9"/>
  <c r="B29" i="9"/>
  <c r="M28" i="8" s="1"/>
  <c r="G39" i="9"/>
  <c r="G62" i="9" s="1"/>
  <c r="H19" i="9"/>
  <c r="N62" i="8" s="1"/>
  <c r="C15" i="9"/>
  <c r="N14" i="8" s="1"/>
  <c r="B28" i="9"/>
  <c r="M27" i="8" s="1"/>
  <c r="H26" i="9"/>
  <c r="N68" i="8" s="1"/>
  <c r="B36" i="9"/>
  <c r="I71" i="29"/>
  <c r="I106" i="23"/>
  <c r="I106" i="13"/>
  <c r="I106" i="29"/>
  <c r="I106" i="33"/>
  <c r="I136" i="26"/>
  <c r="G33" i="10"/>
  <c r="I7" i="29"/>
  <c r="I7" i="33"/>
  <c r="I7" i="23"/>
  <c r="I7" i="13"/>
  <c r="I92" i="29"/>
  <c r="B45" i="10"/>
  <c r="I91" i="13"/>
  <c r="I31" i="13"/>
  <c r="I31" i="33"/>
  <c r="I31" i="23"/>
  <c r="I31" i="29"/>
  <c r="C45" i="10"/>
  <c r="I105" i="29"/>
  <c r="C42" i="10"/>
  <c r="I24" i="13"/>
  <c r="I24" i="33"/>
  <c r="I24" i="23"/>
  <c r="I94" i="29"/>
  <c r="B26" i="9"/>
  <c r="M25" i="8" s="1"/>
  <c r="H15" i="9"/>
  <c r="M122" i="8"/>
  <c r="B40" i="9"/>
  <c r="N105" i="8"/>
  <c r="C16" i="9"/>
  <c r="N15" i="8" s="1"/>
  <c r="H28" i="9"/>
  <c r="N70" i="8" s="1"/>
  <c r="I74" i="13"/>
  <c r="I74" i="29"/>
  <c r="I74" i="33"/>
  <c r="I85" i="13"/>
  <c r="I85" i="29"/>
  <c r="I85" i="23"/>
  <c r="I85" i="33"/>
  <c r="I135" i="26"/>
  <c r="I96" i="33"/>
  <c r="I68" i="23"/>
  <c r="I68" i="29"/>
  <c r="I68" i="33"/>
  <c r="I68" i="13"/>
  <c r="I95" i="13"/>
  <c r="I95" i="23"/>
  <c r="I95" i="29"/>
  <c r="I95" i="33"/>
  <c r="G136" i="4"/>
  <c r="F33" i="10"/>
  <c r="I79" i="13"/>
  <c r="I79" i="23"/>
  <c r="I79" i="33"/>
  <c r="I79" i="29"/>
  <c r="I109" i="13"/>
  <c r="I109" i="29"/>
  <c r="I109" i="23"/>
  <c r="I109" i="33"/>
  <c r="I12" i="29"/>
  <c r="I12" i="33"/>
  <c r="I12" i="23"/>
  <c r="I12" i="13"/>
  <c r="G41" i="10"/>
  <c r="I11" i="13"/>
  <c r="I11" i="23"/>
  <c r="I11" i="33"/>
  <c r="G30" i="10"/>
  <c r="I11" i="29"/>
  <c r="I84" i="29"/>
  <c r="I125" i="13"/>
  <c r="I125" i="23"/>
  <c r="I125" i="29"/>
  <c r="I125" i="33"/>
  <c r="I34" i="13"/>
  <c r="I34" i="23"/>
  <c r="I34" i="29"/>
  <c r="I34" i="33"/>
  <c r="G31" i="10"/>
  <c r="D96" i="4"/>
  <c r="I117" i="13"/>
  <c r="I117" i="23"/>
  <c r="I117" i="29"/>
  <c r="I117" i="33"/>
  <c r="D75" i="4"/>
  <c r="E57" i="39"/>
  <c r="E57" i="16"/>
  <c r="L120" i="23"/>
  <c r="L67" i="23"/>
  <c r="H98" i="33"/>
  <c r="L100" i="13"/>
  <c r="D53" i="39"/>
  <c r="L109" i="29"/>
  <c r="L7" i="29"/>
  <c r="L28" i="29"/>
  <c r="L117" i="23"/>
  <c r="H98" i="23"/>
  <c r="L10" i="20"/>
  <c r="K98" i="13"/>
  <c r="L29" i="13"/>
  <c r="G37" i="9"/>
  <c r="G54" i="9" s="1"/>
  <c r="B16" i="9"/>
  <c r="M15" i="8" s="1"/>
  <c r="G38" i="9"/>
  <c r="G58" i="9" s="1"/>
  <c r="B20" i="9"/>
  <c r="M19" i="8" s="1"/>
  <c r="H14" i="9"/>
  <c r="N58" i="8" s="1"/>
  <c r="B24" i="9"/>
  <c r="M23" i="8" s="1"/>
  <c r="N30" i="8"/>
  <c r="H24" i="9"/>
  <c r="N67" i="8" s="1"/>
  <c r="B22" i="9"/>
  <c r="M21" i="8" s="1"/>
  <c r="H22" i="9"/>
  <c r="N65" i="8" s="1"/>
  <c r="L22" i="20"/>
  <c r="L109" i="33"/>
  <c r="L99" i="33"/>
  <c r="H111" i="29"/>
  <c r="L10" i="23"/>
  <c r="L28" i="13"/>
  <c r="D56" i="13"/>
  <c r="L99" i="29"/>
  <c r="K119" i="33"/>
  <c r="L88" i="33"/>
  <c r="L79" i="33"/>
  <c r="L34" i="29"/>
  <c r="H66" i="33"/>
  <c r="L78" i="33"/>
  <c r="L67" i="13"/>
  <c r="L109" i="13"/>
  <c r="L112" i="13"/>
  <c r="L35" i="13"/>
  <c r="L79" i="29"/>
  <c r="L86" i="29"/>
  <c r="L7" i="22"/>
  <c r="K66" i="33"/>
  <c r="L89" i="29"/>
  <c r="L12" i="23"/>
  <c r="H87" i="13"/>
  <c r="L120" i="13"/>
  <c r="L68" i="13"/>
  <c r="L7" i="25"/>
  <c r="L134" i="34"/>
  <c r="L108" i="29"/>
  <c r="D53" i="25"/>
  <c r="L112" i="33"/>
  <c r="L29" i="33"/>
  <c r="L121" i="29"/>
  <c r="L29" i="29"/>
  <c r="H111" i="23"/>
  <c r="L68" i="29"/>
  <c r="L136" i="26"/>
  <c r="D47" i="25"/>
  <c r="L112" i="23"/>
  <c r="L113" i="13"/>
  <c r="L117" i="13"/>
  <c r="L86" i="33"/>
  <c r="H119" i="29"/>
  <c r="L100" i="29"/>
  <c r="L34" i="33"/>
  <c r="L125" i="29"/>
  <c r="L88" i="29"/>
  <c r="L78" i="29"/>
  <c r="L88" i="23"/>
  <c r="L125" i="23"/>
  <c r="L113" i="23"/>
  <c r="H111" i="33"/>
  <c r="D47" i="51"/>
  <c r="D47" i="26"/>
  <c r="L29" i="23"/>
  <c r="L28" i="20"/>
  <c r="L100" i="23"/>
  <c r="L79" i="23"/>
  <c r="L67" i="33"/>
  <c r="L22" i="33"/>
  <c r="L22" i="29"/>
  <c r="J77" i="29"/>
  <c r="K98" i="23"/>
  <c r="L78" i="23"/>
  <c r="L34" i="23"/>
  <c r="L124" i="13"/>
  <c r="L79" i="13"/>
  <c r="L89" i="13"/>
  <c r="L99" i="13"/>
  <c r="L125" i="13"/>
  <c r="L78" i="13"/>
  <c r="K66" i="13"/>
  <c r="L86" i="13"/>
  <c r="K87" i="13"/>
  <c r="J77" i="13"/>
  <c r="L88" i="13"/>
  <c r="H66" i="13"/>
  <c r="D47" i="13"/>
  <c r="D66" i="33"/>
  <c r="J66" i="33"/>
  <c r="J98" i="23"/>
  <c r="D98" i="23"/>
  <c r="D111" i="33"/>
  <c r="J111" i="33"/>
  <c r="D66" i="13"/>
  <c r="J66" i="13"/>
  <c r="K111" i="33"/>
  <c r="J111" i="29"/>
  <c r="J111" i="23"/>
  <c r="D111" i="23"/>
  <c r="J87" i="13"/>
  <c r="D87" i="13"/>
  <c r="J119" i="33"/>
  <c r="D119" i="33"/>
  <c r="D77" i="29"/>
  <c r="K77" i="29"/>
  <c r="D77" i="13"/>
  <c r="K77" i="13"/>
  <c r="J66" i="29"/>
  <c r="J87" i="33"/>
  <c r="D87" i="33"/>
  <c r="D119" i="29"/>
  <c r="J119" i="29"/>
  <c r="D98" i="33"/>
  <c r="J98" i="33"/>
  <c r="J87" i="29"/>
  <c r="D87" i="29"/>
  <c r="J87" i="23"/>
  <c r="D87" i="23"/>
  <c r="K119" i="29"/>
  <c r="K111" i="23"/>
  <c r="D119" i="13"/>
  <c r="J119" i="13"/>
  <c r="D98" i="13"/>
  <c r="J98" i="13"/>
  <c r="D111" i="13"/>
  <c r="J111" i="13"/>
  <c r="J98" i="29"/>
  <c r="D98" i="29"/>
  <c r="H66" i="29"/>
  <c r="D119" i="23"/>
  <c r="J119" i="23"/>
  <c r="J66" i="23"/>
  <c r="D66" i="23"/>
  <c r="D77" i="33"/>
  <c r="J77" i="33"/>
  <c r="J77" i="23"/>
  <c r="D77" i="23"/>
  <c r="D66" i="29"/>
  <c r="K66" i="29"/>
  <c r="E48" i="38"/>
  <c r="E88" i="33"/>
  <c r="E108" i="33"/>
  <c r="E22" i="33"/>
  <c r="E99" i="33"/>
  <c r="E9" i="33"/>
  <c r="E110" i="33"/>
  <c r="E122" i="33"/>
  <c r="E75" i="33"/>
  <c r="E126" i="33"/>
  <c r="E116" i="33"/>
  <c r="E10" i="33"/>
  <c r="E79" i="33"/>
  <c r="E7" i="33"/>
  <c r="E89" i="33"/>
  <c r="E100" i="33"/>
  <c r="E125" i="33"/>
  <c r="E68" i="33"/>
  <c r="E96" i="33"/>
  <c r="E8" i="33"/>
  <c r="E78" i="33"/>
  <c r="E67" i="33"/>
  <c r="E112" i="33"/>
  <c r="E109" i="33"/>
  <c r="E114" i="33"/>
  <c r="E121" i="33"/>
  <c r="E120" i="33"/>
  <c r="E99" i="29"/>
  <c r="E9" i="29"/>
  <c r="E48" i="34"/>
  <c r="E86" i="29"/>
  <c r="E134" i="34"/>
  <c r="E68" i="29"/>
  <c r="E88" i="29"/>
  <c r="E108" i="29"/>
  <c r="E22" i="29"/>
  <c r="E10" i="29"/>
  <c r="E79" i="29"/>
  <c r="E135" i="34"/>
  <c r="E7" i="29"/>
  <c r="E89" i="29"/>
  <c r="E100" i="29"/>
  <c r="E107" i="29"/>
  <c r="E8" i="29"/>
  <c r="E78" i="29"/>
  <c r="E67" i="29"/>
  <c r="E109" i="29"/>
  <c r="E120" i="29"/>
  <c r="E48" i="40"/>
  <c r="E57" i="40"/>
  <c r="E54" i="40"/>
  <c r="E9" i="51"/>
  <c r="E48" i="51"/>
  <c r="E22" i="51"/>
  <c r="E10" i="51"/>
  <c r="E7" i="51"/>
  <c r="E8" i="51"/>
  <c r="E9" i="25"/>
  <c r="E10" i="25"/>
  <c r="E57" i="25"/>
  <c r="E48" i="25"/>
  <c r="E137" i="26"/>
  <c r="E49" i="26"/>
  <c r="E54" i="25"/>
  <c r="E135" i="26"/>
  <c r="E7" i="25"/>
  <c r="E136" i="26"/>
  <c r="E134" i="26"/>
  <c r="E8" i="25"/>
  <c r="E99" i="23"/>
  <c r="E86" i="23"/>
  <c r="E88" i="23"/>
  <c r="E108" i="23"/>
  <c r="E116" i="23"/>
  <c r="E22" i="23"/>
  <c r="E107" i="23"/>
  <c r="E78" i="23"/>
  <c r="E67" i="23"/>
  <c r="E112" i="23"/>
  <c r="E120" i="23"/>
  <c r="E9" i="22"/>
  <c r="E48" i="21"/>
  <c r="E48" i="22"/>
  <c r="E10" i="22"/>
  <c r="E57" i="21"/>
  <c r="E57" i="22"/>
  <c r="E49" i="22"/>
  <c r="E54" i="22"/>
  <c r="E7" i="22"/>
  <c r="E8" i="22"/>
  <c r="E22" i="20"/>
  <c r="E10" i="19"/>
  <c r="E10" i="20"/>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24" i="4"/>
  <c r="D125" i="4"/>
  <c r="D109" i="4"/>
  <c r="E22" i="16"/>
  <c r="E9" i="16"/>
  <c r="D22" i="4"/>
  <c r="D136" i="4"/>
  <c r="D57" i="4"/>
  <c r="E10" i="16"/>
  <c r="G22"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L77" i="33" l="1"/>
  <c r="E47" i="37"/>
  <c r="M56" i="8"/>
  <c r="G48" i="9"/>
  <c r="G68" i="9" s="1"/>
  <c r="G12" i="10"/>
  <c r="G22" i="10"/>
  <c r="C12" i="10"/>
  <c r="C22" i="10"/>
  <c r="C11" i="10"/>
  <c r="E47" i="81"/>
  <c r="G77" i="4"/>
  <c r="G87" i="4"/>
  <c r="G111" i="4"/>
  <c r="G119" i="4"/>
  <c r="G98" i="4"/>
  <c r="F43" i="10"/>
  <c r="M12" i="8"/>
  <c r="B49" i="9"/>
  <c r="N12" i="8"/>
  <c r="C49" i="9"/>
  <c r="C32" i="9"/>
  <c r="H32" i="9"/>
  <c r="J23" i="9" s="1"/>
  <c r="M8" i="8"/>
  <c r="B32" i="9"/>
  <c r="G32" i="9"/>
  <c r="M30" i="8"/>
  <c r="E66" i="79"/>
  <c r="E111" i="79"/>
  <c r="E97" i="79"/>
  <c r="E76" i="79"/>
  <c r="E56" i="78"/>
  <c r="E53" i="78"/>
  <c r="E47" i="78"/>
  <c r="E47" i="79"/>
  <c r="E119" i="79"/>
  <c r="E87" i="79"/>
  <c r="I12" i="9"/>
  <c r="H48" i="9"/>
  <c r="E47" i="77"/>
  <c r="E53" i="77"/>
  <c r="B48" i="9"/>
  <c r="L98" i="33"/>
  <c r="C48" i="9"/>
  <c r="N11" i="8"/>
  <c r="D12" i="9"/>
  <c r="E47" i="72"/>
  <c r="E47" i="74"/>
  <c r="L77" i="23"/>
  <c r="I77" i="29"/>
  <c r="I77" i="23"/>
  <c r="I77" i="13"/>
  <c r="I77" i="33"/>
  <c r="E56" i="37"/>
  <c r="I111" i="37"/>
  <c r="E119" i="37"/>
  <c r="I119" i="37"/>
  <c r="I87" i="37"/>
  <c r="E111" i="37"/>
  <c r="E53" i="37"/>
  <c r="I66" i="37"/>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66" i="23"/>
  <c r="L66" i="13"/>
  <c r="E66" i="23"/>
  <c r="E66" i="13"/>
  <c r="E66" i="29"/>
  <c r="E66" i="33"/>
  <c r="L111" i="33"/>
  <c r="D87" i="4"/>
  <c r="E98" i="23"/>
  <c r="E87" i="29"/>
  <c r="I90" i="13"/>
  <c r="I90" i="29"/>
  <c r="C43" i="10"/>
  <c r="I119" i="13"/>
  <c r="I119" i="23"/>
  <c r="I119" i="29"/>
  <c r="I119" i="33"/>
  <c r="G43" i="10"/>
  <c r="F22" i="10"/>
  <c r="I98" i="13"/>
  <c r="I98" i="23"/>
  <c r="I98" i="29"/>
  <c r="I98" i="33"/>
  <c r="D66" i="4"/>
  <c r="B12" i="10"/>
  <c r="I66" i="13"/>
  <c r="I66" i="29"/>
  <c r="I66" i="33"/>
  <c r="I66" i="23"/>
  <c r="G66" i="4"/>
  <c r="F12" i="10"/>
  <c r="E53" i="39"/>
  <c r="C38" i="10"/>
  <c r="E53" i="16"/>
  <c r="I72" i="13"/>
  <c r="I72" i="29"/>
  <c r="I72" i="33"/>
  <c r="I83" i="13"/>
  <c r="I83" i="23"/>
  <c r="I83" i="29"/>
  <c r="I83" i="33"/>
  <c r="I93" i="13"/>
  <c r="I93" i="23"/>
  <c r="I93" i="33"/>
  <c r="I93" i="29"/>
  <c r="I104" i="13"/>
  <c r="I104" i="23"/>
  <c r="I104" i="29"/>
  <c r="I104" i="33"/>
  <c r="I111" i="13"/>
  <c r="I111" i="23"/>
  <c r="I111" i="29"/>
  <c r="I111" i="33"/>
  <c r="G32" i="10"/>
  <c r="E56" i="39"/>
  <c r="E56" i="16"/>
  <c r="C49" i="10"/>
  <c r="C32" i="10"/>
  <c r="E47" i="39"/>
  <c r="E47" i="16"/>
  <c r="I87" i="13"/>
  <c r="I87" i="29"/>
  <c r="I87" i="23"/>
  <c r="I87" i="33"/>
  <c r="L87" i="13"/>
  <c r="L119" i="29"/>
  <c r="L66" i="29"/>
  <c r="L77" i="29"/>
  <c r="L111" i="23"/>
  <c r="E98" i="13"/>
  <c r="L77" i="13"/>
  <c r="E47" i="38"/>
  <c r="E77" i="33"/>
  <c r="E111" i="33"/>
  <c r="E119" i="33"/>
  <c r="E47" i="34"/>
  <c r="E119" i="29"/>
  <c r="E77" i="29"/>
  <c r="E53" i="40"/>
  <c r="E56" i="40"/>
  <c r="E47" i="40"/>
  <c r="E47" i="51"/>
  <c r="E53" i="25"/>
  <c r="E47" i="25"/>
  <c r="E47" i="26"/>
  <c r="E56" i="25"/>
  <c r="E119" i="23"/>
  <c r="E77" i="23"/>
  <c r="E111" i="23"/>
  <c r="E56" i="21"/>
  <c r="E56" i="22"/>
  <c r="E47" i="21"/>
  <c r="E47" i="22"/>
  <c r="E53" i="22"/>
  <c r="E47" i="19"/>
  <c r="E47" i="20"/>
  <c r="E53" i="13"/>
  <c r="E77" i="13"/>
  <c r="E56" i="13"/>
  <c r="E111" i="13"/>
  <c r="E47" i="13"/>
  <c r="E119" i="13"/>
  <c r="D111" i="4"/>
  <c r="D77" i="4"/>
  <c r="D119" i="4"/>
  <c r="D53" i="4"/>
  <c r="D56" i="4"/>
  <c r="D47" i="4"/>
  <c r="I73" i="4"/>
  <c r="I84" i="4"/>
  <c r="E21" i="9" l="1"/>
  <c r="E23" i="9"/>
  <c r="J28" i="9"/>
  <c r="J15" i="9"/>
  <c r="J27" i="9"/>
  <c r="J11" i="9"/>
  <c r="J25" i="9"/>
  <c r="J9" i="9"/>
  <c r="J31" i="9"/>
  <c r="J22" i="9"/>
  <c r="J24" i="9"/>
  <c r="J16" i="9"/>
  <c r="J30" i="9"/>
  <c r="J21" i="9"/>
  <c r="J14" i="9"/>
  <c r="J12" i="9"/>
  <c r="J18" i="9"/>
  <c r="J26" i="9"/>
  <c r="J10" i="9"/>
  <c r="J29" i="9"/>
  <c r="J20" i="9"/>
  <c r="J13" i="9"/>
  <c r="J19" i="9"/>
  <c r="J17" i="9"/>
  <c r="I48" i="9"/>
  <c r="D48" i="9"/>
  <c r="M73" i="29"/>
  <c r="M84" i="29"/>
  <c r="C60" i="10"/>
  <c r="H84" i="4"/>
  <c r="J84" i="4" s="1"/>
  <c r="H71" i="4"/>
  <c r="H92" i="4"/>
  <c r="H107" i="4"/>
  <c r="H106" i="4"/>
  <c r="H85" i="4"/>
  <c r="H73" i="4"/>
  <c r="J73" i="4" s="1"/>
  <c r="H114" i="4"/>
  <c r="H116" i="4"/>
  <c r="H95" i="4"/>
  <c r="H74" i="4"/>
  <c r="H94" i="4"/>
  <c r="H91" i="4"/>
  <c r="H104" i="4"/>
  <c r="H105" i="4"/>
  <c r="H93" i="4"/>
  <c r="H28" i="4"/>
  <c r="J32" i="9" l="1"/>
  <c r="H98" i="4"/>
  <c r="H117" i="4"/>
  <c r="H99" i="4"/>
  <c r="H24" i="4"/>
  <c r="H90" i="4"/>
  <c r="H72" i="4"/>
  <c r="H78" i="4"/>
  <c r="D9" i="10"/>
  <c r="H124" i="4"/>
  <c r="H112" i="4"/>
  <c r="H88" i="4"/>
  <c r="H9" i="4"/>
  <c r="H8" i="4"/>
  <c r="H79" i="4"/>
  <c r="H83" i="4"/>
  <c r="H122" i="4"/>
  <c r="H14" i="10"/>
  <c r="H37" i="4"/>
  <c r="H121" i="4"/>
  <c r="I121" i="4"/>
  <c r="I112" i="4"/>
  <c r="I9" i="4"/>
  <c r="I109" i="4"/>
  <c r="K49" i="10"/>
  <c r="H113" i="4"/>
  <c r="I105" i="4"/>
  <c r="I93" i="4"/>
  <c r="M93" i="23" s="1"/>
  <c r="I108" i="4"/>
  <c r="H11" i="4"/>
  <c r="I85" i="4"/>
  <c r="M85" i="23" s="1"/>
  <c r="I122" i="4"/>
  <c r="I79" i="4"/>
  <c r="I100" i="4"/>
  <c r="I104" i="4"/>
  <c r="M104" i="23" s="1"/>
  <c r="H110" i="4"/>
  <c r="H25" i="4"/>
  <c r="H125" i="4"/>
  <c r="H86" i="4"/>
  <c r="H42" i="10"/>
  <c r="H21" i="10"/>
  <c r="I120" i="4"/>
  <c r="I28" i="4"/>
  <c r="H109" i="4"/>
  <c r="I32" i="4"/>
  <c r="I67" i="4"/>
  <c r="K11" i="10"/>
  <c r="I23" i="4"/>
  <c r="H22" i="10"/>
  <c r="H108" i="4"/>
  <c r="I95" i="4"/>
  <c r="M95" i="23" s="1"/>
  <c r="H10" i="4"/>
  <c r="I126" i="4"/>
  <c r="I77" i="4"/>
  <c r="I88" i="4"/>
  <c r="I91" i="4"/>
  <c r="I117" i="4"/>
  <c r="H67" i="4"/>
  <c r="H12" i="10"/>
  <c r="I116" i="4"/>
  <c r="H120" i="4"/>
  <c r="I110" i="4"/>
  <c r="I113" i="4"/>
  <c r="I69" i="4"/>
  <c r="I90" i="4"/>
  <c r="I78" i="4"/>
  <c r="K26" i="10"/>
  <c r="I98" i="4"/>
  <c r="I99" i="4"/>
  <c r="K9" i="10"/>
  <c r="H77" i="4"/>
  <c r="I92" i="4"/>
  <c r="H24" i="10"/>
  <c r="I31" i="4"/>
  <c r="I24" i="4"/>
  <c r="H69" i="4"/>
  <c r="H126" i="4"/>
  <c r="J126" i="4" s="1"/>
  <c r="K16" i="10"/>
  <c r="I72" i="4"/>
  <c r="M72" i="23" s="1"/>
  <c r="I30" i="4"/>
  <c r="H36" i="4"/>
  <c r="K45" i="10"/>
  <c r="I94" i="4"/>
  <c r="I107" i="4"/>
  <c r="I74" i="4"/>
  <c r="M74" i="23" s="1"/>
  <c r="I8" i="4"/>
  <c r="I114" i="4"/>
  <c r="I83" i="4"/>
  <c r="M83" i="23" s="1"/>
  <c r="I86" i="4"/>
  <c r="I106" i="4"/>
  <c r="M106" i="23" s="1"/>
  <c r="H10" i="10"/>
  <c r="I124" i="4"/>
  <c r="H100" i="4"/>
  <c r="H7" i="4"/>
  <c r="H23" i="4"/>
  <c r="H15" i="10"/>
  <c r="I71" i="4"/>
  <c r="I125" i="4"/>
  <c r="M28" i="79" l="1"/>
  <c r="M97" i="79"/>
  <c r="M114" i="79"/>
  <c r="M23" i="79"/>
  <c r="M76" i="79"/>
  <c r="M8" i="79"/>
  <c r="M122" i="79"/>
  <c r="M30" i="79"/>
  <c r="M9" i="79"/>
  <c r="M9" i="72"/>
  <c r="M8" i="72"/>
  <c r="M8" i="74"/>
  <c r="J91" i="4"/>
  <c r="J106" i="4"/>
  <c r="J95" i="4"/>
  <c r="J71" i="4"/>
  <c r="J74" i="4"/>
  <c r="J94" i="4"/>
  <c r="J92" i="4"/>
  <c r="J93" i="4"/>
  <c r="J104" i="4"/>
  <c r="J85" i="4"/>
  <c r="J105" i="4"/>
  <c r="J69" i="4"/>
  <c r="J83" i="4"/>
  <c r="J23" i="4"/>
  <c r="J72" i="4"/>
  <c r="J90" i="4"/>
  <c r="J24" i="4"/>
  <c r="J110" i="4"/>
  <c r="M67" i="37"/>
  <c r="M106" i="37"/>
  <c r="M107" i="37"/>
  <c r="M32" i="37"/>
  <c r="M79" i="37"/>
  <c r="M124" i="37"/>
  <c r="M88" i="37"/>
  <c r="M78" i="37"/>
  <c r="M100" i="37"/>
  <c r="M86" i="37"/>
  <c r="M122" i="37"/>
  <c r="M109" i="37"/>
  <c r="M74" i="37"/>
  <c r="M83" i="37"/>
  <c r="M99" i="37"/>
  <c r="M113" i="37"/>
  <c r="M117" i="37"/>
  <c r="M95" i="37"/>
  <c r="M28" i="37"/>
  <c r="M85" i="37"/>
  <c r="M72" i="37"/>
  <c r="M114" i="37"/>
  <c r="M110" i="37"/>
  <c r="M9" i="37"/>
  <c r="M31" i="37"/>
  <c r="M8" i="37"/>
  <c r="M24" i="37"/>
  <c r="M108" i="37"/>
  <c r="M112" i="37"/>
  <c r="J122" i="4"/>
  <c r="M23" i="37"/>
  <c r="M93" i="37"/>
  <c r="M121" i="37"/>
  <c r="M125" i="37"/>
  <c r="M30" i="37"/>
  <c r="M116" i="37"/>
  <c r="M120" i="37"/>
  <c r="M104" i="37"/>
  <c r="J114" i="4"/>
  <c r="M98" i="37"/>
  <c r="M97" i="37"/>
  <c r="M97" i="13"/>
  <c r="M97" i="29"/>
  <c r="M97" i="33"/>
  <c r="M77" i="37"/>
  <c r="M76" i="37"/>
  <c r="M76" i="33"/>
  <c r="M76" i="29"/>
  <c r="M76" i="13"/>
  <c r="M106" i="13"/>
  <c r="M106" i="29"/>
  <c r="M106" i="33"/>
  <c r="M83" i="13"/>
  <c r="M83" i="33"/>
  <c r="M83" i="29"/>
  <c r="M74" i="13"/>
  <c r="M74" i="33"/>
  <c r="M74" i="29"/>
  <c r="M94" i="29"/>
  <c r="M24" i="13"/>
  <c r="M24" i="23"/>
  <c r="M24" i="33"/>
  <c r="M24" i="29"/>
  <c r="M69" i="29"/>
  <c r="M88" i="13"/>
  <c r="M88" i="29"/>
  <c r="M88" i="23"/>
  <c r="M88" i="33"/>
  <c r="J28" i="4"/>
  <c r="M28" i="19"/>
  <c r="M28" i="20"/>
  <c r="M28" i="25"/>
  <c r="M28" i="23"/>
  <c r="M28" i="51"/>
  <c r="M28" i="29"/>
  <c r="M28" i="16"/>
  <c r="M28" i="13"/>
  <c r="M85" i="13"/>
  <c r="M85" i="29"/>
  <c r="M85" i="33"/>
  <c r="M105" i="29"/>
  <c r="M121" i="23"/>
  <c r="M121" i="13"/>
  <c r="M121" i="29"/>
  <c r="M121" i="33"/>
  <c r="M71" i="29"/>
  <c r="M125" i="23"/>
  <c r="M125" i="13"/>
  <c r="M125" i="29"/>
  <c r="M125" i="33"/>
  <c r="M124" i="13"/>
  <c r="M114" i="33"/>
  <c r="M72" i="13"/>
  <c r="M72" i="33"/>
  <c r="M72" i="29"/>
  <c r="M31" i="23"/>
  <c r="M31" i="13"/>
  <c r="M31" i="29"/>
  <c r="M31" i="33"/>
  <c r="M78" i="23"/>
  <c r="M78" i="13"/>
  <c r="M78" i="29"/>
  <c r="M78" i="33"/>
  <c r="M113" i="23"/>
  <c r="M113" i="13"/>
  <c r="M113" i="29"/>
  <c r="M113" i="33"/>
  <c r="J116" i="4"/>
  <c r="M116" i="13"/>
  <c r="M116" i="23"/>
  <c r="M116" i="33"/>
  <c r="M117" i="23"/>
  <c r="M117" i="13"/>
  <c r="M117" i="29"/>
  <c r="M117" i="33"/>
  <c r="M23" i="20"/>
  <c r="M23" i="23"/>
  <c r="M23" i="13"/>
  <c r="M23" i="29"/>
  <c r="M23" i="33"/>
  <c r="M32" i="13"/>
  <c r="M32" i="33"/>
  <c r="M32" i="23"/>
  <c r="M32" i="29"/>
  <c r="M104" i="13"/>
  <c r="M104" i="33"/>
  <c r="M104" i="29"/>
  <c r="M79" i="13"/>
  <c r="M79" i="23"/>
  <c r="M79" i="33"/>
  <c r="M79" i="29"/>
  <c r="M8" i="20"/>
  <c r="M8" i="13"/>
  <c r="M8" i="22"/>
  <c r="M8" i="51"/>
  <c r="M8" i="25"/>
  <c r="M8" i="29"/>
  <c r="M8" i="33"/>
  <c r="M8" i="19"/>
  <c r="M8" i="16"/>
  <c r="M30" i="20"/>
  <c r="M30" i="13"/>
  <c r="M30" i="23"/>
  <c r="M30" i="33"/>
  <c r="M30" i="29"/>
  <c r="M30" i="16"/>
  <c r="M99" i="23"/>
  <c r="M99" i="29"/>
  <c r="M99" i="13"/>
  <c r="M99" i="33"/>
  <c r="M110" i="33"/>
  <c r="M95" i="13"/>
  <c r="M95" i="33"/>
  <c r="M95" i="29"/>
  <c r="M120" i="13"/>
  <c r="M120" i="23"/>
  <c r="M120" i="29"/>
  <c r="M120" i="33"/>
  <c r="M100" i="13"/>
  <c r="M100" i="29"/>
  <c r="M100" i="33"/>
  <c r="M100" i="23"/>
  <c r="M122" i="33"/>
  <c r="M108" i="13"/>
  <c r="M108" i="23"/>
  <c r="M108" i="33"/>
  <c r="M108" i="29"/>
  <c r="M9" i="19"/>
  <c r="M9" i="25"/>
  <c r="M9" i="20"/>
  <c r="M9" i="22"/>
  <c r="M9" i="51"/>
  <c r="M9" i="13"/>
  <c r="M9" i="16"/>
  <c r="M9" i="29"/>
  <c r="M9" i="33"/>
  <c r="M86" i="23"/>
  <c r="M86" i="29"/>
  <c r="M86" i="13"/>
  <c r="M86" i="33"/>
  <c r="J107" i="4"/>
  <c r="M107" i="23"/>
  <c r="M107" i="13"/>
  <c r="M107" i="29"/>
  <c r="M107" i="33"/>
  <c r="M92" i="29"/>
  <c r="M98" i="13"/>
  <c r="M98" i="23"/>
  <c r="M98" i="29"/>
  <c r="M98" i="33"/>
  <c r="M90" i="13"/>
  <c r="M90" i="29"/>
  <c r="M91" i="13"/>
  <c r="M77" i="13"/>
  <c r="M77" i="23"/>
  <c r="M77" i="29"/>
  <c r="M77" i="33"/>
  <c r="M126" i="33"/>
  <c r="M67" i="13"/>
  <c r="M67" i="23"/>
  <c r="M67" i="29"/>
  <c r="M67" i="33"/>
  <c r="M93" i="13"/>
  <c r="M93" i="29"/>
  <c r="M93" i="33"/>
  <c r="M109" i="13"/>
  <c r="M109" i="23"/>
  <c r="M109" i="29"/>
  <c r="M109" i="33"/>
  <c r="M112" i="13"/>
  <c r="M112" i="23"/>
  <c r="M112" i="33"/>
  <c r="J108" i="4"/>
  <c r="M38" i="8"/>
  <c r="D38" i="9"/>
  <c r="H60" i="9"/>
  <c r="H46" i="9"/>
  <c r="N40" i="8"/>
  <c r="I15" i="9"/>
  <c r="B65" i="9"/>
  <c r="D29" i="9"/>
  <c r="D14" i="9"/>
  <c r="B50" i="9"/>
  <c r="D20" i="9"/>
  <c r="B56" i="9"/>
  <c r="B41" i="9"/>
  <c r="I10" i="9"/>
  <c r="I22" i="9"/>
  <c r="H50" i="9"/>
  <c r="B64" i="9"/>
  <c r="D28" i="9"/>
  <c r="I18" i="9"/>
  <c r="N38" i="8"/>
  <c r="C46" i="9"/>
  <c r="C56" i="9"/>
  <c r="B54" i="9"/>
  <c r="D18" i="9"/>
  <c r="H51" i="9"/>
  <c r="N37" i="8"/>
  <c r="N36" i="8"/>
  <c r="C63" i="9"/>
  <c r="N39" i="8"/>
  <c r="M40" i="8"/>
  <c r="D40" i="9"/>
  <c r="B63" i="9"/>
  <c r="I31" i="9"/>
  <c r="C45" i="9"/>
  <c r="M85" i="8"/>
  <c r="I35" i="9"/>
  <c r="H53" i="9"/>
  <c r="D39" i="9"/>
  <c r="M39" i="8"/>
  <c r="H56" i="9"/>
  <c r="I19" i="9"/>
  <c r="D13" i="9"/>
  <c r="B60" i="9"/>
  <c r="D24" i="9"/>
  <c r="C54" i="9"/>
  <c r="D31" i="9"/>
  <c r="D9" i="9"/>
  <c r="B45" i="9"/>
  <c r="M86" i="8"/>
  <c r="I36" i="9"/>
  <c r="I26" i="9"/>
  <c r="H62" i="9"/>
  <c r="H63" i="9"/>
  <c r="N90" i="8"/>
  <c r="H58" i="9"/>
  <c r="N86" i="8"/>
  <c r="H45" i="9"/>
  <c r="C51" i="9"/>
  <c r="I38" i="9"/>
  <c r="M88" i="8"/>
  <c r="N88" i="8"/>
  <c r="C65" i="9"/>
  <c r="C62" i="9"/>
  <c r="D19" i="9"/>
  <c r="B55" i="9"/>
  <c r="C52" i="9"/>
  <c r="N89" i="8"/>
  <c r="C41" i="9"/>
  <c r="M37" i="8"/>
  <c r="D37" i="9"/>
  <c r="I24" i="9"/>
  <c r="B58" i="9"/>
  <c r="D22" i="9"/>
  <c r="D35" i="9"/>
  <c r="M35" i="8"/>
  <c r="N87" i="8"/>
  <c r="D27" i="9"/>
  <c r="H41" i="9"/>
  <c r="C60" i="9"/>
  <c r="N35" i="8"/>
  <c r="B52" i="9"/>
  <c r="D16" i="9"/>
  <c r="C55" i="9"/>
  <c r="N85" i="8"/>
  <c r="C64" i="9"/>
  <c r="I37" i="9"/>
  <c r="M87" i="8"/>
  <c r="D10" i="9"/>
  <c r="B46" i="9"/>
  <c r="C50" i="9"/>
  <c r="G41" i="9"/>
  <c r="F27" i="10" s="1"/>
  <c r="D26" i="9"/>
  <c r="B62" i="9"/>
  <c r="H52" i="9"/>
  <c r="M89" i="8"/>
  <c r="I39" i="9"/>
  <c r="H55" i="9"/>
  <c r="D17" i="9"/>
  <c r="B53" i="9"/>
  <c r="H64" i="9"/>
  <c r="C53" i="9"/>
  <c r="M90" i="8"/>
  <c r="I40" i="9"/>
  <c r="I17" i="9"/>
  <c r="M36" i="8"/>
  <c r="D36" i="9"/>
  <c r="D25" i="9"/>
  <c r="B51" i="9"/>
  <c r="D15" i="9"/>
  <c r="I13" i="9"/>
  <c r="I27" i="9"/>
  <c r="I16" i="9"/>
  <c r="C5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J45" i="10"/>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37" i="9"/>
  <c r="B68" i="9" l="1"/>
  <c r="H68" i="9"/>
  <c r="M119" i="79"/>
  <c r="M111" i="79"/>
  <c r="M37" i="79"/>
  <c r="M36" i="79"/>
  <c r="M22" i="79"/>
  <c r="M29" i="79"/>
  <c r="M10" i="79"/>
  <c r="M66" i="79"/>
  <c r="M7" i="79"/>
  <c r="M87" i="79"/>
  <c r="B17" i="10"/>
  <c r="L15" i="9"/>
  <c r="M27" i="9"/>
  <c r="J57" i="9" l="1"/>
  <c r="J59" i="9"/>
  <c r="J47" i="9"/>
  <c r="M7" i="72"/>
  <c r="M7" i="74"/>
  <c r="J37" i="9"/>
  <c r="M16" i="9"/>
  <c r="N18" i="9"/>
  <c r="N20" i="9"/>
  <c r="L31" i="9"/>
  <c r="M29" i="9"/>
  <c r="M37" i="9"/>
  <c r="N15" i="9"/>
  <c r="O36" i="9"/>
  <c r="O39" i="9"/>
  <c r="O19" i="9"/>
  <c r="N19" i="9"/>
  <c r="M25" i="9"/>
  <c r="N14" i="9"/>
  <c r="M9" i="9"/>
  <c r="N31" i="9"/>
  <c r="M19" i="9"/>
  <c r="O24" i="9"/>
  <c r="M26" i="9"/>
  <c r="O12" i="9"/>
  <c r="O22" i="9"/>
  <c r="N10" i="9"/>
  <c r="L39" i="9"/>
  <c r="N26" i="9"/>
  <c r="N30" i="9"/>
  <c r="N17" i="9"/>
  <c r="O38" i="9"/>
  <c r="O28" i="9"/>
  <c r="N22" i="9"/>
  <c r="M12" i="9"/>
  <c r="M18" i="9"/>
  <c r="O37" i="9"/>
  <c r="M31" i="9"/>
  <c r="N40" i="9"/>
  <c r="N35" i="9"/>
  <c r="M15" i="9"/>
  <c r="O18" i="9"/>
  <c r="N24" i="9"/>
  <c r="L19" i="9"/>
  <c r="M24" i="9"/>
  <c r="L24" i="9"/>
  <c r="L9" i="9"/>
  <c r="L10" i="9"/>
  <c r="L40" i="9"/>
  <c r="O35" i="9"/>
  <c r="L14" i="9"/>
  <c r="O26" i="9"/>
  <c r="M30" i="9"/>
  <c r="L17" i="9"/>
  <c r="L29" i="9"/>
  <c r="N36" i="9"/>
  <c r="L28" i="9"/>
  <c r="L18" i="9"/>
  <c r="M14" i="9"/>
  <c r="N27" i="9"/>
  <c r="O16" i="9"/>
  <c r="N38" i="9"/>
  <c r="L36" i="9"/>
  <c r="N39" i="9"/>
  <c r="N9" i="9"/>
  <c r="O27" i="9"/>
  <c r="M38" i="9"/>
  <c r="N25" i="9"/>
  <c r="L20" i="9"/>
  <c r="N16" i="9"/>
  <c r="O17" i="9"/>
  <c r="M10" i="9"/>
  <c r="O30" i="9"/>
  <c r="O14" i="9"/>
  <c r="N28" i="9"/>
  <c r="N37" i="9"/>
  <c r="O31" i="9"/>
  <c r="L16" i="9"/>
  <c r="M22" i="9"/>
  <c r="O9" i="9"/>
  <c r="O29" i="9"/>
  <c r="L12" i="9"/>
  <c r="M28" i="9"/>
  <c r="N29" i="9"/>
  <c r="L27" i="9"/>
  <c r="M17" i="9"/>
  <c r="O10" i="9"/>
  <c r="L35" i="9"/>
  <c r="N12" i="9"/>
  <c r="L25" i="9"/>
  <c r="M40" i="9"/>
  <c r="O25" i="9"/>
  <c r="L26" i="9"/>
  <c r="M20" i="9"/>
  <c r="M36" i="9"/>
  <c r="O20" i="9"/>
  <c r="M39" i="9"/>
  <c r="M35" i="9"/>
  <c r="O15" i="9"/>
  <c r="O40" i="9"/>
  <c r="L38" i="9"/>
  <c r="L22" i="9"/>
  <c r="J25" i="4" l="1"/>
  <c r="M33" i="23"/>
  <c r="M35" i="37"/>
  <c r="M22" i="37"/>
  <c r="M29" i="37"/>
  <c r="M135" i="37"/>
  <c r="M37" i="37"/>
  <c r="M137" i="37"/>
  <c r="M66" i="37"/>
  <c r="M111" i="37"/>
  <c r="M10" i="37"/>
  <c r="M136" i="37"/>
  <c r="M75" i="37"/>
  <c r="M134" i="37"/>
  <c r="M36" i="37"/>
  <c r="M12" i="37"/>
  <c r="M89" i="37"/>
  <c r="M87" i="37"/>
  <c r="M25" i="37"/>
  <c r="M11" i="37"/>
  <c r="M7" i="37"/>
  <c r="M34" i="37"/>
  <c r="M119" i="37"/>
  <c r="M68" i="37"/>
  <c r="M96" i="37"/>
  <c r="L24" i="10"/>
  <c r="L14" i="10"/>
  <c r="J75" i="4"/>
  <c r="J96" i="4"/>
  <c r="L15" i="10"/>
  <c r="L45" i="9"/>
  <c r="M41" i="9"/>
  <c r="M63" i="9"/>
  <c r="O62" i="9"/>
  <c r="L50" i="9"/>
  <c r="M45" i="9"/>
  <c r="M52" i="9"/>
  <c r="O52" i="9"/>
  <c r="N55" i="9"/>
  <c r="O65" i="9"/>
  <c r="O51" i="9"/>
  <c r="M55" i="9"/>
  <c r="N52" i="9"/>
  <c r="N49" i="9"/>
  <c r="O64" i="9"/>
  <c r="M62" i="9"/>
  <c r="L60" i="9"/>
  <c r="L53" i="9"/>
  <c r="L58" i="9"/>
  <c r="M67" i="9"/>
  <c r="L64" i="9"/>
  <c r="M32" i="9"/>
  <c r="O50" i="9"/>
  <c r="L41" i="9"/>
  <c r="L49" i="9"/>
  <c r="M65" i="9"/>
  <c r="N32" i="9"/>
  <c r="M56" i="9"/>
  <c r="O41" i="9"/>
  <c r="N51" i="9"/>
  <c r="O45" i="9"/>
  <c r="L55" i="9"/>
  <c r="N65" i="9"/>
  <c r="M58" i="9"/>
  <c r="O58" i="9"/>
  <c r="N63" i="9"/>
  <c r="O54" i="9"/>
  <c r="L56" i="9"/>
  <c r="L63" i="9"/>
  <c r="N60" i="9"/>
  <c r="N50" i="9"/>
  <c r="O55" i="9"/>
  <c r="O67" i="9"/>
  <c r="O63" i="9"/>
  <c r="L54" i="9"/>
  <c r="O60" i="9"/>
  <c r="N45" i="9"/>
  <c r="L67" i="9"/>
  <c r="M64" i="9"/>
  <c r="N58" i="9"/>
  <c r="M50" i="9"/>
  <c r="O32" i="9"/>
  <c r="M53" i="9"/>
  <c r="M54" i="9"/>
  <c r="N64" i="9"/>
  <c r="N46" i="9"/>
  <c r="L62" i="9"/>
  <c r="M49" i="9"/>
  <c r="M51" i="9"/>
  <c r="N41" i="9"/>
  <c r="N56" i="9"/>
  <c r="M46" i="9"/>
  <c r="N67" i="9"/>
  <c r="N54" i="9"/>
  <c r="L32" i="9"/>
  <c r="M60" i="9"/>
  <c r="L51" i="9"/>
  <c r="O53" i="9"/>
  <c r="O49" i="9"/>
  <c r="O46" i="9"/>
  <c r="N62" i="9"/>
  <c r="O56" i="9"/>
  <c r="L46" i="9"/>
  <c r="L42" i="10"/>
  <c r="J11" i="4"/>
  <c r="M11" i="13"/>
  <c r="M11" i="33"/>
  <c r="M11" i="23"/>
  <c r="M11" i="29"/>
  <c r="J10" i="4"/>
  <c r="M10" i="19"/>
  <c r="M10" i="20"/>
  <c r="M10" i="25"/>
  <c r="M10" i="23"/>
  <c r="M10" i="22"/>
  <c r="M10" i="13"/>
  <c r="M10" i="51"/>
  <c r="M10" i="16"/>
  <c r="M10" i="29"/>
  <c r="M10" i="33"/>
  <c r="M68" i="13"/>
  <c r="M68" i="23"/>
  <c r="M68" i="29"/>
  <c r="M68" i="33"/>
  <c r="M136" i="26"/>
  <c r="M119" i="23"/>
  <c r="M119" i="13"/>
  <c r="M119" i="29"/>
  <c r="M119" i="33"/>
  <c r="M111" i="23"/>
  <c r="M111" i="29"/>
  <c r="M111" i="13"/>
  <c r="M111" i="33"/>
  <c r="J7" i="4"/>
  <c r="M7" i="19"/>
  <c r="M7" i="13"/>
  <c r="M7" i="23"/>
  <c r="M7" i="22"/>
  <c r="M7" i="25"/>
  <c r="M7" i="20"/>
  <c r="M7" i="29"/>
  <c r="M7" i="16"/>
  <c r="M7" i="51"/>
  <c r="M7" i="33"/>
  <c r="J22" i="4"/>
  <c r="M22" i="20"/>
  <c r="M22" i="13"/>
  <c r="M22" i="51"/>
  <c r="M22" i="23"/>
  <c r="M22" i="29"/>
  <c r="M22" i="33"/>
  <c r="M22" i="16"/>
  <c r="M29" i="23"/>
  <c r="M29" i="13"/>
  <c r="M29" i="29"/>
  <c r="M29" i="51"/>
  <c r="M29" i="16"/>
  <c r="M29" i="20"/>
  <c r="M29" i="33"/>
  <c r="M137" i="26"/>
  <c r="M87" i="13"/>
  <c r="M87" i="23"/>
  <c r="M87" i="33"/>
  <c r="M87" i="29"/>
  <c r="M35" i="13"/>
  <c r="M35" i="23"/>
  <c r="M35" i="29"/>
  <c r="M35" i="33"/>
  <c r="M34" i="13"/>
  <c r="M34" i="23"/>
  <c r="M34" i="29"/>
  <c r="M34" i="33"/>
  <c r="M66" i="13"/>
  <c r="M66" i="33"/>
  <c r="M66" i="23"/>
  <c r="M66" i="29"/>
  <c r="M89" i="13"/>
  <c r="M89" i="23"/>
  <c r="M89" i="29"/>
  <c r="M89" i="33"/>
  <c r="M96" i="33"/>
  <c r="M75" i="33"/>
  <c r="J37" i="4"/>
  <c r="M37" i="13"/>
  <c r="I63" i="9"/>
  <c r="M134" i="26"/>
  <c r="M134" i="34"/>
  <c r="M12" i="13"/>
  <c r="M12" i="23"/>
  <c r="M12" i="29"/>
  <c r="M12" i="33"/>
  <c r="J36" i="4"/>
  <c r="M36" i="13"/>
  <c r="L21" i="10"/>
  <c r="H53" i="10"/>
  <c r="M135" i="26"/>
  <c r="M135" i="34"/>
  <c r="M25" i="13"/>
  <c r="M25" i="29"/>
  <c r="M25" i="33"/>
  <c r="L31" i="10"/>
  <c r="L22" i="10"/>
  <c r="L12" i="10"/>
  <c r="L10" i="10"/>
  <c r="I58" i="9"/>
  <c r="I67" i="9"/>
  <c r="I52" i="9"/>
  <c r="I49" i="9"/>
  <c r="I32" i="9"/>
  <c r="D41" i="9"/>
  <c r="G17" i="10"/>
  <c r="E36" i="9"/>
  <c r="E35" i="9"/>
  <c r="E40" i="9"/>
  <c r="E39" i="9"/>
  <c r="E38" i="9"/>
  <c r="F17" i="10"/>
  <c r="J17" i="10" s="1"/>
  <c r="E37" i="9"/>
  <c r="B27" i="10"/>
  <c r="J27" i="10" s="1"/>
  <c r="J38" i="9"/>
  <c r="G27" i="10"/>
  <c r="H27" i="10" s="1"/>
  <c r="J48" i="9"/>
  <c r="C27" i="10"/>
  <c r="J39" i="9"/>
  <c r="J35" i="9"/>
  <c r="I41" i="9"/>
  <c r="J36" i="9"/>
  <c r="J40"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J53" i="10"/>
  <c r="D53" i="10"/>
  <c r="D55" i="10"/>
  <c r="J55" i="10"/>
  <c r="K52" i="10"/>
  <c r="C57" i="10"/>
  <c r="J60" i="10"/>
  <c r="L60" i="10" s="1"/>
  <c r="D60" i="10"/>
  <c r="J35" i="10"/>
  <c r="J56" i="10"/>
  <c r="L30" i="9"/>
  <c r="N53" i="9" l="1"/>
  <c r="L52" i="9"/>
  <c r="L68" i="9" s="1"/>
  <c r="L65" i="9"/>
  <c r="J61" i="9"/>
  <c r="L55" i="10"/>
  <c r="M68" i="9"/>
  <c r="O68" i="9"/>
  <c r="N68" i="9"/>
  <c r="L53" i="10"/>
  <c r="J41" i="9"/>
  <c r="I68" i="9"/>
  <c r="E41" i="9"/>
  <c r="H17" i="10"/>
  <c r="J52" i="9"/>
  <c r="J51" i="9"/>
  <c r="I51" i="9" s="1"/>
  <c r="D27" i="10"/>
  <c r="K27" i="10"/>
  <c r="L27" i="10" s="1"/>
  <c r="J46" i="9"/>
  <c r="I46" i="9" s="1"/>
  <c r="J54" i="9"/>
  <c r="I54" i="9" s="1"/>
  <c r="J56" i="9"/>
  <c r="J45" i="9"/>
  <c r="I45" i="9" s="1"/>
  <c r="J58" i="9"/>
  <c r="J53" i="9"/>
  <c r="I53" i="9" s="1"/>
  <c r="J60" i="9"/>
  <c r="I60" i="9" s="1"/>
  <c r="J49" i="9"/>
  <c r="J67" i="9"/>
  <c r="J55" i="9"/>
  <c r="I55" i="9" s="1"/>
  <c r="J50" i="9"/>
  <c r="J62" i="9"/>
  <c r="I62" i="9" s="1"/>
  <c r="J63" i="9"/>
  <c r="K57" i="10"/>
  <c r="H57" i="10"/>
  <c r="L46" i="10"/>
  <c r="L35" i="10"/>
  <c r="L54" i="10"/>
  <c r="J57" i="10"/>
  <c r="D57" i="10"/>
  <c r="L52" i="10"/>
  <c r="J68" i="9" l="1"/>
  <c r="L57" i="10"/>
  <c r="D30" i="9" l="1"/>
  <c r="N29" i="8" l="1"/>
  <c r="C66" i="9"/>
  <c r="D66" i="9" l="1"/>
  <c r="C68" i="9"/>
  <c r="E59" i="9" s="1"/>
  <c r="E11" i="9"/>
  <c r="E25" i="9"/>
  <c r="D32" i="9"/>
  <c r="E22" i="9"/>
  <c r="E13" i="9"/>
  <c r="E31" i="9"/>
  <c r="E19" i="9"/>
  <c r="E28" i="9"/>
  <c r="E14" i="9"/>
  <c r="E9" i="9"/>
  <c r="E24" i="9"/>
  <c r="E12" i="9"/>
  <c r="C17" i="10"/>
  <c r="K17" i="10" s="1"/>
  <c r="L17" i="10" s="1"/>
  <c r="E26" i="9"/>
  <c r="E30" i="9"/>
  <c r="E17" i="9"/>
  <c r="E20" i="9"/>
  <c r="E16" i="9"/>
  <c r="E10" i="9"/>
  <c r="E27" i="9"/>
  <c r="E29" i="9"/>
  <c r="E15" i="9"/>
  <c r="E18" i="9"/>
  <c r="E66" i="9"/>
  <c r="E32" i="9" l="1"/>
  <c r="E47" i="9"/>
  <c r="E57" i="9"/>
  <c r="D68" i="9"/>
  <c r="D17" i="10"/>
  <c r="E48" i="9"/>
  <c r="E56" i="9"/>
  <c r="D56" i="9" s="1"/>
  <c r="E67" i="9"/>
  <c r="D67" i="9" s="1"/>
  <c r="E60" i="9"/>
  <c r="D60" i="9" s="1"/>
  <c r="E62" i="9"/>
  <c r="D62" i="9" s="1"/>
  <c r="E51" i="9"/>
  <c r="D51" i="9" s="1"/>
  <c r="E54" i="9"/>
  <c r="D54" i="9" s="1"/>
  <c r="E46" i="9"/>
  <c r="D46" i="9" s="1"/>
  <c r="E55" i="9"/>
  <c r="D55" i="9" s="1"/>
  <c r="E45" i="9"/>
  <c r="D45" i="9" s="1"/>
  <c r="E52" i="9"/>
  <c r="D52" i="9" s="1"/>
  <c r="E63" i="9"/>
  <c r="D63" i="9" s="1"/>
  <c r="E61" i="9"/>
  <c r="E49" i="9"/>
  <c r="D49" i="9" s="1"/>
  <c r="E65" i="9"/>
  <c r="D65" i="9" s="1"/>
  <c r="E53" i="9"/>
  <c r="D53" i="9" s="1"/>
  <c r="E64" i="9"/>
  <c r="D64" i="9" s="1"/>
  <c r="E50" i="9"/>
  <c r="D50" i="9" s="1"/>
  <c r="E58" i="9"/>
  <c r="D58" i="9" s="1"/>
  <c r="E6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<sst xmlns="http://schemas.openxmlformats.org/spreadsheetml/2006/main" count="5415" uniqueCount="501">
  <si>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</si>
  <si>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</si>
  <si>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</si>
  <si>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</si>
  <si>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</si>
  <si>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</si>
  <si>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</si>
  <si>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</si>
  <si>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</si>
  <si>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</si>
  <si>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</si>
  <si>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</si>
  <si>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</si>
  <si>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</si>
  <si>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</si>
  <si>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</si>
  <si>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</si>
  <si>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</si>
  <si>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</si>
  <si>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</si>
  <si>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</si>
  <si>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</si>
  <si>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</si>
  <si>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</si>
  <si>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</si>
  <si>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</si>
  <si>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</si>
  <si>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</si>
  <si>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</si>
  <si>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</si>
  <si>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</si>
  <si>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</si>
  <si>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</si>
  <si>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</si>
  <si>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</si>
  <si>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</si>
  <si>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</si>
  <si>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</si>
  <si>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</si>
  <si>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</si>
  <si>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</si>
  <si>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</si>
  <si>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</si>
  <si>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</si>
  <si>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</si>
  <si>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</si>
  <si>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</si>
  <si>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</si>
  <si>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</si>
  <si>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</si>
  <si>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</si>
  <si>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</si>
  <si>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</si>
  <si>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</si>
  <si>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</si>
  <si>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</si>
  <si>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</si>
  <si>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</si>
  <si>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</si>
  <si>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</si>
  <si>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If Skadefors</t>
  </si>
  <si>
    <t>KLP</t>
  </si>
  <si>
    <t>KLP Skadef</t>
  </si>
  <si>
    <t>Nordea Liv</t>
  </si>
  <si>
    <t>OPF</t>
  </si>
  <si>
    <t>SpareBank 1</t>
  </si>
  <si>
    <t>Telenor Fors</t>
  </si>
  <si>
    <t>Tryg Fors</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</si>
  <si>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</si>
  <si>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</si>
  <si>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</si>
  <si>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</si>
  <si>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</si>
  <si>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</si>
  <si>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</si>
  <si>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</si>
  <si>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</si>
  <si>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</si>
  <si>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</si>
  <si>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</si>
  <si>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</si>
  <si>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</si>
  <si>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</si>
  <si>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</si>
  <si>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</si>
  <si>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</si>
  <si>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</si>
  <si>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</si>
  <si>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</si>
  <si>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</si>
  <si>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</si>
  <si>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</si>
  <si>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</si>
  <si>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</si>
  <si>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</si>
  <si>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</si>
  <si>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</si>
  <si>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</si>
  <si>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</si>
  <si>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</si>
  <si>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</si>
  <si>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</si>
  <si>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</si>
  <si>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</si>
  <si>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</si>
  <si>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</si>
  <si>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</si>
  <si>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</si>
  <si>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</si>
  <si>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</si>
  <si>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</si>
  <si>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</si>
  <si>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</si>
  <si>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</si>
  <si>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</si>
  <si>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</si>
  <si>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</si>
  <si>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Frende Livsforsikring AS</t>
  </si>
  <si>
    <t>Frende Skadeforsikring AS</t>
  </si>
  <si>
    <t>Gjensidige Forsikring ASA</t>
  </si>
  <si>
    <t>If Skadeforsikring nuf</t>
  </si>
  <si>
    <t>Telenor Forsikring AS</t>
  </si>
  <si>
    <t>SpareBank 1 Forsikring AS</t>
  </si>
  <si>
    <t>KLP Skadeforsikring</t>
  </si>
  <si>
    <t>Selskap</t>
  </si>
  <si>
    <t>Flytting fra andre</t>
  </si>
  <si>
    <t>Flytting til andre</t>
  </si>
  <si>
    <t>Q8</t>
  </si>
  <si>
    <t>Q9</t>
  </si>
  <si>
    <t>Q10</t>
  </si>
  <si>
    <t>Q16</t>
  </si>
  <si>
    <t>R7</t>
  </si>
  <si>
    <t>R8</t>
  </si>
  <si>
    <t>R9</t>
  </si>
  <si>
    <t>R10</t>
  </si>
  <si>
    <t>R14</t>
  </si>
  <si>
    <t>R15</t>
  </si>
  <si>
    <t>Q17</t>
  </si>
  <si>
    <t>Q18</t>
  </si>
  <si>
    <t>R11</t>
  </si>
  <si>
    <t>Tabell 1.3 Hovedtall</t>
  </si>
  <si>
    <t>Aktivaposter (aggregert)</t>
  </si>
  <si>
    <t>i mill. kr</t>
  </si>
  <si>
    <t>prosentvis andel</t>
  </si>
  <si>
    <t>Selskapsporteføljen</t>
  </si>
  <si>
    <t xml:space="preserve">   Aksjer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</si>
  <si>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</si>
  <si>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</si>
  <si>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</si>
  <si>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</si>
  <si>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</si>
  <si>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</si>
  <si>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</si>
  <si>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</si>
  <si>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</si>
  <si>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</si>
  <si>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</si>
  <si>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</si>
  <si>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</si>
  <si>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</si>
  <si>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</si>
  <si>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</si>
  <si>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</si>
  <si>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</si>
  <si>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</si>
  <si>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</si>
  <si>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</si>
  <si>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</si>
  <si>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</si>
  <si>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</si>
  <si>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</si>
  <si>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</si>
  <si>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</si>
  <si>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</si>
  <si>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</si>
  <si>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</si>
  <si>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</si>
  <si>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</si>
  <si>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</si>
  <si>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</si>
  <si>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</si>
  <si>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</si>
  <si>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</si>
  <si>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</si>
  <si>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</si>
  <si>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</si>
  <si>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</si>
  <si>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</si>
  <si>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6.3.2 Utlån og fordringer</t>
  </si>
  <si>
    <t xml:space="preserve">    6.4 Finansielle eiendeler som måles til virkelig verdi</t>
  </si>
  <si>
    <t xml:space="preserve">         6.4.1 Aksjer og andeler (inkl. aksjer og andeler målt til kost)</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</si>
  <si>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</si>
  <si>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</si>
  <si>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</si>
  <si>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</si>
  <si>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</si>
  <si>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</si>
  <si>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</si>
  <si>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</si>
  <si>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8.3.2 Utlån og fordringer</t>
  </si>
  <si>
    <t xml:space="preserve">    8.4 Finansielle eiendeler som måles til virkelig verdi</t>
  </si>
  <si>
    <t xml:space="preserve">         8.4.1 Aksjer og andeler (inkl. aksjer og andeler målt til kost)</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</si>
  <si>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</si>
  <si>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</si>
  <si>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</si>
  <si>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</si>
  <si>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</si>
  <si>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</si>
  <si>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</si>
  <si>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</si>
  <si>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</si>
  <si>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</si>
  <si>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</si>
  <si>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</si>
  <si>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</si>
  <si>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</si>
  <si>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</si>
  <si>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</si>
  <si>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</si>
  <si>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</si>
  <si>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</si>
  <si>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</si>
  <si>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</si>
  <si>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</si>
  <si>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</si>
  <si>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</si>
  <si>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</si>
  <si>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</si>
  <si>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</si>
  <si>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</si>
  <si>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</si>
  <si>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</si>
  <si>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</si>
  <si>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</si>
  <si>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</si>
  <si>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</si>
  <si>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</si>
  <si>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Tabell 7b</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</si>
  <si>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</si>
  <si>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</si>
  <si>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</si>
  <si>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</si>
  <si>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</si>
  <si>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</si>
  <si>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</si>
  <si>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</si>
  <si>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</si>
  <si>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</si>
  <si>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</si>
  <si>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</si>
  <si>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</si>
  <si>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</si>
  <si>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</si>
  <si>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</si>
  <si>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</si>
  <si>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</si>
  <si>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</si>
  <si>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</si>
  <si>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</si>
  <si>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</si>
  <si>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</si>
  <si>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</si>
  <si>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</si>
  <si>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</si>
  <si>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</si>
  <si>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</si>
  <si>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</si>
  <si>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</si>
  <si>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</si>
  <si>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</si>
  <si>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</si>
  <si>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</si>
  <si>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</si>
  <si>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</si>
  <si>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</si>
  <si>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</si>
  <si>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</si>
  <si>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</si>
  <si>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</si>
  <si>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</si>
  <si>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</si>
  <si>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</si>
  <si>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</si>
  <si>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</si>
  <si>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</si>
  <si>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</si>
  <si>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</si>
  <si>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</si>
  <si>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</si>
  <si>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</si>
  <si>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</si>
  <si>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</si>
  <si>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</si>
  <si>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</si>
  <si>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</si>
  <si>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</si>
  <si>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</si>
  <si>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</si>
  <si>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</si>
  <si>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</si>
  <si>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</si>
  <si>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</si>
  <si>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</si>
  <si>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</si>
  <si>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</si>
  <si>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</si>
  <si>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</si>
  <si>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</si>
  <si>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</si>
  <si>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</si>
  <si>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</si>
  <si>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</si>
  <si>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</si>
  <si>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</si>
  <si>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</si>
  <si>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</si>
  <si>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</si>
  <si>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</si>
  <si>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</si>
  <si>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</si>
  <si>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31.12.</t>
  </si>
  <si>
    <t xml:space="preserve">Resultatanalyse - Individuell kapital og </t>
  </si>
  <si>
    <t>individuell pensjon</t>
  </si>
  <si>
    <t>Individuell kapital - gml. overskuddsmodell</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</si>
  <si>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</si>
  <si>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</si>
  <si>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</si>
  <si>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</si>
  <si>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</si>
  <si>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</si>
  <si>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</si>
  <si>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</si>
  <si>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</si>
  <si>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</si>
  <si>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</si>
  <si>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</si>
  <si>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</si>
  <si>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</si>
  <si>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</si>
  <si>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</si>
  <si>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</si>
  <si>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</si>
  <si>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</si>
  <si>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</si>
  <si>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</si>
  <si>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</si>
  <si>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</si>
  <si>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</si>
  <si>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</si>
  <si>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</si>
  <si>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</si>
  <si>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</si>
  <si>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</si>
  <si>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</si>
  <si>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</si>
  <si>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</si>
  <si>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</si>
  <si>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</si>
  <si>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</si>
  <si>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</si>
  <si>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</si>
  <si>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</si>
  <si>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</si>
  <si>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</si>
  <si>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</si>
  <si>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</si>
  <si>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</si>
  <si>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</si>
  <si>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</si>
  <si>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</si>
  <si>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</si>
  <si>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t xml:space="preserve">         - Herav fripoliser med modifisert/ny overskuddsmodell</t>
  </si>
  <si>
    <t xml:space="preserve">         Ulykke/andre</t>
  </si>
  <si>
    <t xml:space="preserve">        Premiereserve for egen regning</t>
  </si>
  <si>
    <t>Sum avsetning til forsikringsforpliktelser - KF</t>
  </si>
  <si>
    <t>Tabell 7.b</t>
  </si>
  <si>
    <t>Produkter med</t>
  </si>
  <si>
    <t>med investeringsvalg</t>
  </si>
  <si>
    <t>alle produkter KF + SI</t>
  </si>
  <si>
    <t>14. Forsikringsmessige avsetninger</t>
  </si>
  <si>
    <t>Sum avsetning til forsikringsforpliktelser - SI</t>
  </si>
  <si>
    <r>
      <t>Soliditetskapital</t>
    </r>
    <r>
      <rPr>
        <sz val="14"/>
        <rFont val="Times New Roman"/>
        <family val="1"/>
      </rPr>
      <t xml:space="preserve"> (%)</t>
    </r>
  </si>
  <si>
    <t>Avkastningstall</t>
  </si>
  <si>
    <t>Gammel overskuddsmodell</t>
  </si>
  <si>
    <t>Modifisert/ny overskuddsmodell</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</si>
  <si>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</si>
  <si>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</si>
  <si>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</si>
  <si>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</si>
  <si>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</si>
  <si>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</si>
  <si>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</si>
  <si>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</si>
  <si>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</si>
  <si>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</si>
  <si>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</si>
  <si>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</si>
  <si>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</si>
  <si>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</si>
  <si>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</si>
  <si>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</si>
  <si>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</si>
  <si>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</si>
  <si>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</si>
  <si>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</si>
  <si>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</si>
  <si>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</si>
  <si>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</si>
  <si>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</si>
  <si>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</si>
  <si>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</si>
  <si>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</si>
  <si>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</si>
  <si>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</si>
  <si>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</si>
  <si>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</si>
  <si>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</si>
  <si>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Fremtind Livsforsikring</t>
  </si>
  <si>
    <t>WaterCircle Forsikring</t>
  </si>
  <si>
    <t>Fremtind Livsfors</t>
  </si>
  <si>
    <t>Landkreditt Fors.</t>
  </si>
  <si>
    <t>Fremtind Liv</t>
  </si>
  <si>
    <t>Mer/mindre-verdier</t>
  </si>
  <si>
    <t>Landkreditt Forsikring</t>
  </si>
  <si>
    <t>WaterCircles Fors.</t>
  </si>
  <si>
    <t>WaterCicles Fors.</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</si>
  <si>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</si>
  <si>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</si>
  <si>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</si>
  <si>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</si>
  <si>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</si>
  <si>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</si>
  <si>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</si>
  <si>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</si>
  <si>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</si>
  <si>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</si>
  <si>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</si>
  <si>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</si>
  <si>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6.1 Endring i premiereserve mv.</t>
  </si>
  <si>
    <t>18. Resultat før andre inntekter og kostnader</t>
  </si>
  <si>
    <t>19. Andre inntekter og kostnader</t>
  </si>
  <si>
    <t>Bufferfond</t>
  </si>
  <si>
    <t>Storebrand Liv</t>
  </si>
  <si>
    <t>1. Premieinntekter f.e.r.</t>
  </si>
  <si>
    <t xml:space="preserve">    1.3 Overføring av premiereserve og pensjonskapital mv. fra andre f.selskap/p.kasser</t>
  </si>
  <si>
    <t xml:space="preserve">    6.2 Endring i bufferfond</t>
  </si>
  <si>
    <t xml:space="preserve">    6.3 Endring i premiefond, innskuddsfond og fond for regulering av pensjoner mv.</t>
  </si>
  <si>
    <t xml:space="preserve">    6.4 Endring i tekniske avsetninger for skadeforsikringsvirksomhet</t>
  </si>
  <si>
    <r>
      <t>norske livselskaper</t>
    </r>
    <r>
      <rPr>
        <b/>
        <vertAlign val="superscript"/>
        <sz val="14"/>
        <rFont val="Times New Roman"/>
        <family val="1"/>
      </rPr>
      <t xml:space="preserve"> </t>
    </r>
  </si>
  <si>
    <t xml:space="preserve">    13.2 Bufferfond</t>
  </si>
  <si>
    <t xml:space="preserve">    13.4 Andre tekniske avsetninger for skadeforsikringsvirksomheten</t>
  </si>
  <si>
    <t xml:space="preserve">    14.1 Pensjonskapital mv.</t>
  </si>
  <si>
    <t xml:space="preserve">    14.2 Bufferfond</t>
  </si>
  <si>
    <t xml:space="preserve">    14.3 Premiefond, innskuddsfond og fond for regulering av pensjoner mv.</t>
  </si>
  <si>
    <t xml:space="preserve">         Privat kollektiv pensjon</t>
  </si>
  <si>
    <t xml:space="preserve">         Kommunal kollektiv pensjon</t>
  </si>
  <si>
    <t>13.2 Bufferfond</t>
  </si>
  <si>
    <t>13.4 Andre tekniske avsetninger for skadeforsikringsvirksomheten</t>
  </si>
  <si>
    <t>Spesifikasjon av post 14. Forsikringsforpliktelser - SI</t>
  </si>
  <si>
    <r>
      <t>14.3 Premiefond, innskuddsfond og fond for regulering av pensjoner mv.</t>
    </r>
    <r>
      <rPr>
        <b/>
        <strike/>
        <sz val="14"/>
        <rFont val="Times New Roman"/>
        <family val="1"/>
      </rPr>
      <t>Premie-, innskudds- og pensjonistenes overskuddsfond</t>
    </r>
  </si>
  <si>
    <t xml:space="preserve">         Annet</t>
  </si>
  <si>
    <t xml:space="preserve">         2.3.1 Rentebærende verdipapirer</t>
  </si>
  <si>
    <t xml:space="preserve">         2.4.2 Rentebærende verdipapirer</t>
  </si>
  <si>
    <t xml:space="preserve">         6.3.1 Rentebærende verdipapirer</t>
  </si>
  <si>
    <t xml:space="preserve">         6.4.2 Rentebærende verdipapirer</t>
  </si>
  <si>
    <t xml:space="preserve">         8.3.1 Rentebærende verdipapirer</t>
  </si>
  <si>
    <t xml:space="preserve">         8.4.2 Rentebærende verdipapirer</t>
  </si>
  <si>
    <t xml:space="preserve">   Rentebærende verdipapirer</t>
  </si>
  <si>
    <t>Oslo Forsikring</t>
  </si>
  <si>
    <t>14.2 Bufferfond</t>
  </si>
  <si>
    <t xml:space="preserve">    6.5 Overføring av bufferfond fra andre fors.selskap/pensj.kasser</t>
  </si>
  <si>
    <t xml:space="preserve">    5.2 Overføring av premiereserve, pensjonskapital mv. og bufferfond til andre f.selskap/p.kasser</t>
  </si>
  <si>
    <t xml:space="preserve">    13.3 Premiefond, innskuddsfond og fond for regulering av pensjoner mv.</t>
  </si>
  <si>
    <t>13.3 Premiefond, innskuddsfond og fond for regulering av pensjoner mv.</t>
  </si>
  <si>
    <t xml:space="preserve">Tilleggsavsetninger (2023)  </t>
  </si>
  <si>
    <r>
      <t xml:space="preserve">    Kursreguleringsfond</t>
    </r>
    <r>
      <rPr>
        <i/>
        <vertAlign val="superscript"/>
        <sz val="14"/>
        <rFont val="Times New Roman"/>
        <family val="1"/>
      </rPr>
      <t>19</t>
    </r>
  </si>
  <si>
    <t>Fra og med 2024 inngår mye av kursreserven i bufferfondet og er dermed rapportert i egen post.</t>
  </si>
  <si>
    <r>
      <t xml:space="preserve">    Endring i kursreguleringsfond</t>
    </r>
    <r>
      <rPr>
        <i/>
        <vertAlign val="superscript"/>
        <sz val="14"/>
        <rFont val="Times New Roman"/>
        <family val="1"/>
      </rPr>
      <t>19</t>
    </r>
  </si>
  <si>
    <t xml:space="preserve">    Endring i tilleggsavsetninger (2023)</t>
  </si>
  <si>
    <t xml:space="preserve">    Tilleggsavsetninger (2023)</t>
  </si>
  <si>
    <r>
      <t>Kursreguleringsfond</t>
    </r>
    <r>
      <rPr>
        <b/>
        <i/>
        <vertAlign val="superscript"/>
        <sz val="14"/>
        <rFont val="Times New Roman"/>
        <family val="1"/>
      </rPr>
      <t>19</t>
    </r>
  </si>
  <si>
    <t>Tilleggsavsetninger (2023)</t>
  </si>
  <si>
    <t xml:space="preserve">        Pensjonskapital mv. for egen regning</t>
  </si>
  <si>
    <r>
      <t>Kursreguleringsfond</t>
    </r>
    <r>
      <rPr>
        <i/>
        <vertAlign val="superscript"/>
        <sz val="14"/>
        <rFont val="Times New Roman"/>
        <family val="1"/>
      </rPr>
      <t>19</t>
    </r>
  </si>
  <si>
    <t>14.1 Pensjonskapital mv. brutto</t>
  </si>
  <si>
    <t>Nordea Liv Forsikring AS</t>
  </si>
  <si>
    <t>Landkreditt Frsikring</t>
  </si>
  <si>
    <t>Kapitalavkastning I (%) (- 2023)</t>
  </si>
  <si>
    <t>Gjennomsnitt 2020 - 2024</t>
  </si>
  <si>
    <r>
      <t xml:space="preserve">Kapitalavkastning (%) </t>
    </r>
    <r>
      <rPr>
        <b/>
        <i/>
        <sz val="14"/>
        <rFont val="Times New Roman"/>
        <family val="1"/>
      </rPr>
      <t>/ Kapitalavkastning II (%) (- 2023)</t>
    </r>
  </si>
  <si>
    <t>Spesifikasjon av post 13 - forsikringsforpliktelser - produkter uten investeringsvalg</t>
  </si>
  <si>
    <t>Spesifikasjon post 14 forsikringsforpliktelser - produkter med investeringsvalg</t>
  </si>
  <si>
    <t>Avkastningsresultat  før fra/til tilleggsreserver</t>
  </si>
  <si>
    <t>Fra/til tilleggsreserver</t>
  </si>
  <si>
    <t xml:space="preserve">Avkastningsresultat  før fra/til tilleggsreserver </t>
  </si>
  <si>
    <t>Figur 1  Brutto forfalt premie livprodukter  -  produkter uten investeringsvalg pr. 31.12.</t>
  </si>
  <si>
    <t>Figur 2  Brutto forfalt premie livprodukter  -  produkter med investeringsvalg pr. 31.12.</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</si>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</sst>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
      <b/>
      <sz val="15"/>
      <name val="Arial"/>
      <family val="2"/>
    </font>
    <font>
      <b/>
      <strike/>
      <sz val="14"/>
      <name val="Times New Roman"/>
      <family val="1"/>
    </font>
    <font>
      <i/>
      <sz val="14"/>
      <name val="Times New Roman"/>
      <family val="1"/>
    </font>
    <font>
      <b/>
      <i/>
      <sz val="16"/>
      <color rgb="FFFF0000"/>
      <name val="Times New Roman"/>
      <family val="1"/>
    </font>
    <font>
      <b/>
      <i/>
      <sz val="14"/>
      <name val="Times New Roman"/>
      <family val="1"/>
    </font>
    <font>
      <i/>
      <vertAlign val="superscript"/>
      <sz val="14"/>
      <name val="Times New Roman"/>
      <family val="1"/>
    </font>
    <font>
      <b/>
      <i/>
      <vertAlign val="superscript"/>
      <sz val="14"/>
      <name val="Times New Roman"/>
      <family val="1"/>
    </font>
    <font>
      <u/>
      <sz val="14"/>
      <name val="Times New Roman"/>
      <family val="1"/>
    </font>
    <font>
      <sz val="14"/>
      <color rgb="FF0000FF"/>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3">
    <xf numFmtId="0" fontId="0" fillId="0" borderId="0"/>
    <xf numFmtId="0" fontId="20" fillId="0" borderId="0"/>
    <xf numFmtId="43" fontId="26" fillId="0" borderId="0" applyFont="0" applyFill="0" applyBorder="0" applyAlignment="0" applyProtection="0"/>
    <xf numFmtId="0" fontId="43"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0" fontId="11" fillId="0" borderId="0"/>
    <xf numFmtId="0" fontId="20" fillId="0" borderId="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6" borderId="0" applyNumberFormat="0" applyBorder="0" applyAlignment="0" applyProtection="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26" fillId="0" borderId="0" applyFont="0" applyFill="0" applyBorder="0" applyAlignment="0" applyProtection="0"/>
    <xf numFmtId="0" fontId="11"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3" fillId="0" borderId="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7" borderId="0" applyNumberFormat="0" applyBorder="0" applyAlignment="0" applyProtection="0"/>
    <xf numFmtId="0" fontId="15" fillId="0" borderId="0"/>
    <xf numFmtId="170" fontId="16" fillId="0" borderId="7" applyFont="0" applyFill="0" applyBorder="0" applyAlignment="0" applyProtection="0">
      <alignment horizontal="right"/>
    </xf>
    <xf numFmtId="43" fontId="20" fillId="0" borderId="0" applyFon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0" fontId="1" fillId="0" borderId="0"/>
    <xf numFmtId="0" fontId="20" fillId="0" borderId="0"/>
  </cellStyleXfs>
  <cellXfs count="818">
    <xf numFmtId="0" fontId="0" fillId="0" borderId="0" xfId="0"/>
    <xf numFmtId="0" fontId="18" fillId="0" borderId="0" xfId="1" applyFont="1"/>
    <xf numFmtId="0" fontId="24" fillId="0" borderId="0" xfId="1" applyFont="1"/>
    <xf numFmtId="49" fontId="18" fillId="0" borderId="0" xfId="1" applyNumberFormat="1" applyFont="1" applyAlignment="1">
      <alignment horizontal="center"/>
    </xf>
    <xf numFmtId="164" fontId="18" fillId="0" borderId="0" xfId="1" applyNumberFormat="1" applyFont="1"/>
    <xf numFmtId="0" fontId="18" fillId="0" borderId="0" xfId="1" applyFont="1" applyAlignment="1">
      <alignment horizontal="left"/>
    </xf>
    <xf numFmtId="164" fontId="16" fillId="3" borderId="5" xfId="1" applyNumberFormat="1" applyFont="1" applyFill="1" applyBorder="1" applyAlignment="1">
      <alignment horizontal="right"/>
    </xf>
    <xf numFmtId="0" fontId="18" fillId="0" borderId="6" xfId="1" applyFont="1" applyBorder="1"/>
    <xf numFmtId="164"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4" fontId="18" fillId="3" borderId="6" xfId="1" applyNumberFormat="1" applyFont="1" applyFill="1" applyBorder="1" applyAlignment="1">
      <alignment horizontal="right"/>
    </xf>
    <xf numFmtId="164" fontId="18" fillId="3" borderId="3" xfId="1" applyNumberFormat="1" applyFont="1" applyFill="1" applyBorder="1" applyAlignment="1">
      <alignment horizontal="right"/>
    </xf>
    <xf numFmtId="164" fontId="16" fillId="3" borderId="3" xfId="1" applyNumberFormat="1" applyFont="1" applyFill="1" applyBorder="1" applyAlignment="1">
      <alignment horizontal="right"/>
    </xf>
    <xf numFmtId="3" fontId="18" fillId="0" borderId="0" xfId="1" applyNumberFormat="1" applyFont="1"/>
    <xf numFmtId="164" fontId="18" fillId="3" borderId="2" xfId="1" applyNumberFormat="1" applyFont="1" applyFill="1" applyBorder="1" applyAlignment="1">
      <alignment horizontal="right"/>
    </xf>
    <xf numFmtId="0" fontId="15" fillId="0" borderId="0" xfId="1" applyFont="1"/>
    <xf numFmtId="0" fontId="22" fillId="0" borderId="0" xfId="1" applyFont="1"/>
    <xf numFmtId="164" fontId="16" fillId="0" borderId="0" xfId="1" applyNumberFormat="1" applyFont="1" applyAlignment="1">
      <alignment horizontal="right"/>
    </xf>
    <xf numFmtId="3" fontId="18" fillId="0" borderId="0" xfId="1" applyNumberFormat="1" applyFont="1" applyAlignment="1">
      <alignment horizontal="center"/>
    </xf>
    <xf numFmtId="164" fontId="18" fillId="0" borderId="0" xfId="1" applyNumberFormat="1" applyFont="1" applyAlignment="1">
      <alignment horizontal="right"/>
    </xf>
    <xf numFmtId="49" fontId="18" fillId="0" borderId="0" xfId="1" applyNumberFormat="1" applyFont="1" applyAlignment="1">
      <alignment horizontal="right"/>
    </xf>
    <xf numFmtId="164" fontId="16" fillId="3" borderId="6" xfId="1" applyNumberFormat="1" applyFont="1" applyFill="1" applyBorder="1" applyAlignment="1">
      <alignment horizontal="right"/>
    </xf>
    <xf numFmtId="3" fontId="18" fillId="0" borderId="0" xfId="1" quotePrefix="1" applyNumberFormat="1" applyFont="1" applyAlignment="1">
      <alignment horizontal="center"/>
    </xf>
    <xf numFmtId="0" fontId="16" fillId="0" borderId="0" xfId="1" applyFont="1" applyAlignment="1">
      <alignment horizontal="center"/>
    </xf>
    <xf numFmtId="0" fontId="16" fillId="0" borderId="6" xfId="1" applyFont="1" applyBorder="1"/>
    <xf numFmtId="14" fontId="17" fillId="0" borderId="0" xfId="1" applyNumberFormat="1" applyFont="1" applyAlignment="1">
      <alignment horizontal="center"/>
    </xf>
    <xf numFmtId="0" fontId="16" fillId="0" borderId="0" xfId="1" applyFont="1"/>
    <xf numFmtId="3" fontId="18" fillId="0" borderId="3" xfId="1" applyNumberFormat="1" applyFont="1" applyBorder="1" applyAlignment="1">
      <alignment horizontal="right"/>
    </xf>
    <xf numFmtId="3" fontId="18" fillId="0" borderId="6" xfId="1" applyNumberFormat="1" applyFont="1" applyBorder="1" applyAlignment="1">
      <alignment horizontal="right"/>
    </xf>
    <xf numFmtId="3" fontId="19" fillId="0" borderId="0" xfId="1" applyNumberFormat="1" applyFont="1" applyAlignment="1">
      <alignment horizontal="right"/>
    </xf>
    <xf numFmtId="0" fontId="18" fillId="0" borderId="4" xfId="1" applyFont="1" applyBorder="1"/>
    <xf numFmtId="0" fontId="18" fillId="0" borderId="0" xfId="1" applyFont="1" applyAlignment="1">
      <alignment horizontal="right"/>
    </xf>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8" fillId="0" borderId="0" xfId="3" applyFont="1" applyFill="1" applyAlignment="1" applyProtection="1"/>
    <xf numFmtId="0" fontId="31" fillId="0" borderId="0" xfId="0" applyFont="1"/>
    <xf numFmtId="0" fontId="45" fillId="0" borderId="0" xfId="0" applyFont="1"/>
    <xf numFmtId="0" fontId="46" fillId="0" borderId="0" xfId="0" applyFont="1"/>
    <xf numFmtId="3" fontId="31" fillId="0" borderId="0" xfId="0" applyNumberFormat="1" applyFont="1"/>
    <xf numFmtId="0" fontId="41" fillId="0" borderId="0" xfId="0" applyFont="1"/>
    <xf numFmtId="0" fontId="37" fillId="0" borderId="0" xfId="0" applyFont="1"/>
    <xf numFmtId="14" fontId="14" fillId="0" borderId="13" xfId="0" applyNumberFormat="1" applyFont="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5" fillId="0" borderId="7" xfId="0" applyNumberFormat="1" applyFont="1" applyBorder="1"/>
    <xf numFmtId="0" fontId="45" fillId="0" borderId="0" xfId="0" applyFont="1" applyAlignment="1">
      <alignment horizontal="center"/>
    </xf>
    <xf numFmtId="0" fontId="45" fillId="0" borderId="3" xfId="0" applyFont="1" applyBorder="1" applyAlignment="1">
      <alignment horizontal="center"/>
    </xf>
    <xf numFmtId="3" fontId="45" fillId="0" borderId="3" xfId="0" applyNumberFormat="1" applyFont="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8"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Alignment="1">
      <alignment horizontal="center"/>
    </xf>
    <xf numFmtId="0" fontId="45"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0" fontId="31" fillId="0" borderId="4" xfId="0" applyFont="1" applyBorder="1"/>
    <xf numFmtId="3" fontId="45" fillId="0" borderId="4" xfId="0" applyNumberFormat="1" applyFont="1" applyBorder="1"/>
    <xf numFmtId="3" fontId="45" fillId="0" borderId="4" xfId="0" applyNumberFormat="1" applyFont="1" applyBorder="1" applyAlignment="1">
      <alignment horizontal="right"/>
    </xf>
    <xf numFmtId="0" fontId="16" fillId="0" borderId="0" xfId="0" applyFont="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1" fillId="0" borderId="0" xfId="0" applyFont="1" applyAlignment="1">
      <alignment horizontal="left"/>
    </xf>
    <xf numFmtId="0" fontId="45" fillId="0" borderId="0" xfId="0" applyFont="1" applyAlignment="1">
      <alignment horizontal="left"/>
    </xf>
    <xf numFmtId="0" fontId="31" fillId="0" borderId="14" xfId="0" applyFont="1" applyBorder="1"/>
    <xf numFmtId="0" fontId="31"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6" fillId="0" borderId="2" xfId="0" applyFont="1" applyBorder="1" applyAlignment="1">
      <alignment horizontal="center"/>
    </xf>
    <xf numFmtId="166" fontId="50"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1" fillId="0" borderId="4" xfId="0" applyNumberFormat="1" applyFont="1" applyBorder="1" applyAlignment="1">
      <alignment horizontal="right"/>
    </xf>
    <xf numFmtId="0" fontId="52" fillId="0" borderId="0" xfId="0" applyFont="1"/>
    <xf numFmtId="3" fontId="53" fillId="0" borderId="0" xfId="0" applyNumberFormat="1" applyFont="1"/>
    <xf numFmtId="0" fontId="53" fillId="0" borderId="0" xfId="0" applyFont="1"/>
    <xf numFmtId="0" fontId="45" fillId="0" borderId="4" xfId="0" applyFont="1" applyBorder="1"/>
    <xf numFmtId="3" fontId="45" fillId="0" borderId="0" xfId="0" applyNumberFormat="1" applyFont="1" applyAlignment="1">
      <alignment horizontal="right"/>
    </xf>
    <xf numFmtId="3" fontId="16" fillId="0" borderId="4" xfId="1" applyNumberFormat="1" applyFont="1" applyBorder="1"/>
    <xf numFmtId="3" fontId="15" fillId="0" borderId="0" xfId="1" applyNumberFormat="1" applyFont="1"/>
    <xf numFmtId="3" fontId="16" fillId="0" borderId="0" xfId="1" applyNumberFormat="1" applyFont="1"/>
    <xf numFmtId="3" fontId="16" fillId="0" borderId="1" xfId="1" applyNumberFormat="1" applyFont="1" applyBorder="1"/>
    <xf numFmtId="3" fontId="18" fillId="0" borderId="0" xfId="1" applyNumberFormat="1" applyFont="1" applyAlignment="1">
      <alignment horizontal="right"/>
    </xf>
    <xf numFmtId="3" fontId="14"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8" fillId="0" borderId="4" xfId="1" applyNumberFormat="1" applyFont="1" applyBorder="1"/>
    <xf numFmtId="3" fontId="18" fillId="0" borderId="0" xfId="1" applyNumberFormat="1" applyFont="1" applyAlignment="1">
      <alignment horizontal="left"/>
    </xf>
    <xf numFmtId="3" fontId="16" fillId="0" borderId="6" xfId="1" applyNumberFormat="1" applyFont="1" applyBorder="1" applyAlignment="1">
      <alignment horizontal="center"/>
    </xf>
    <xf numFmtId="3" fontId="16" fillId="0" borderId="3" xfId="1" applyNumberFormat="1" applyFont="1" applyBorder="1"/>
    <xf numFmtId="3" fontId="16" fillId="0" borderId="0" xfId="1" applyNumberFormat="1" applyFont="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4" fillId="0" borderId="12"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Alignment="1">
      <alignment horizontal="center"/>
    </xf>
    <xf numFmtId="3" fontId="17" fillId="0" borderId="0" xfId="1" applyNumberFormat="1" applyFont="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45" fillId="0" borderId="0" xfId="0" applyNumberFormat="1" applyFont="1"/>
    <xf numFmtId="3" fontId="45" fillId="0" borderId="6" xfId="0" applyNumberFormat="1" applyFont="1" applyBorder="1"/>
    <xf numFmtId="3" fontId="31" fillId="0" borderId="0" xfId="0" applyNumberFormat="1" applyFont="1" applyAlignment="1">
      <alignment horizontal="right"/>
    </xf>
    <xf numFmtId="3" fontId="51" fillId="0" borderId="0" xfId="0" applyNumberFormat="1" applyFont="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3" fontId="18" fillId="2" borderId="3" xfId="1" applyNumberFormat="1" applyFont="1" applyFill="1" applyBorder="1" applyAlignment="1">
      <alignment horizontal="right"/>
    </xf>
    <xf numFmtId="3" fontId="23" fillId="0" borderId="4" xfId="1" applyNumberFormat="1" applyFont="1" applyBorder="1" applyAlignment="1">
      <alignment horizontal="right"/>
    </xf>
    <xf numFmtId="3" fontId="23" fillId="0" borderId="3" xfId="1" applyNumberFormat="1" applyFont="1" applyBorder="1" applyAlignment="1">
      <alignment horizontal="right"/>
    </xf>
    <xf numFmtId="3" fontId="18" fillId="0" borderId="4" xfId="1" quotePrefix="1" applyNumberFormat="1" applyFont="1" applyBorder="1" applyAlignment="1">
      <alignment horizontal="right"/>
    </xf>
    <xf numFmtId="166" fontId="45" fillId="0" borderId="4" xfId="0" applyNumberFormat="1" applyFont="1" applyBorder="1" applyAlignment="1">
      <alignment horizontal="left"/>
    </xf>
    <xf numFmtId="0" fontId="51" fillId="0" borderId="4" xfId="0" applyFont="1" applyBorder="1"/>
    <xf numFmtId="0" fontId="45" fillId="0" borderId="11" xfId="0" applyFont="1" applyBorder="1"/>
    <xf numFmtId="3" fontId="31" fillId="0" borderId="3" xfId="0" applyNumberFormat="1" applyFont="1" applyBorder="1" applyAlignment="1">
      <alignment horizontal="right"/>
    </xf>
    <xf numFmtId="3" fontId="51" fillId="0" borderId="3" xfId="0" applyNumberFormat="1" applyFont="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Border="1" applyAlignment="1">
      <alignment horizontal="right"/>
    </xf>
    <xf numFmtId="3" fontId="18" fillId="0" borderId="2" xfId="1" quotePrefix="1" applyNumberFormat="1" applyFont="1" applyBorder="1" applyAlignment="1">
      <alignment horizontal="right"/>
    </xf>
    <xf numFmtId="3" fontId="18" fillId="0" borderId="6" xfId="1" quotePrefix="1" applyNumberFormat="1" applyFont="1" applyBorder="1" applyAlignment="1">
      <alignment horizontal="right"/>
    </xf>
    <xf numFmtId="3" fontId="18" fillId="0" borderId="5" xfId="1" quotePrefix="1" applyNumberFormat="1" applyFont="1" applyBorder="1" applyAlignment="1">
      <alignment horizontal="right"/>
    </xf>
    <xf numFmtId="3" fontId="18" fillId="3" borderId="0" xfId="1" applyNumberFormat="1" applyFont="1" applyFill="1" applyAlignment="1">
      <alignment horizontal="right"/>
    </xf>
    <xf numFmtId="164" fontId="55" fillId="7" borderId="3" xfId="844" applyNumberFormat="1" applyFont="1" applyBorder="1" applyAlignment="1">
      <alignment horizontal="right"/>
    </xf>
    <xf numFmtId="3" fontId="45"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0" fontId="18" fillId="0" borderId="5" xfId="1" applyFont="1" applyBorder="1"/>
    <xf numFmtId="0" fontId="18" fillId="0" borderId="9" xfId="1" applyFont="1" applyBorder="1"/>
    <xf numFmtId="167" fontId="18" fillId="0" borderId="0" xfId="1" applyNumberFormat="1" applyFont="1" applyAlignment="1">
      <alignment horizontal="center"/>
    </xf>
    <xf numFmtId="167" fontId="18" fillId="3" borderId="3" xfId="1" applyNumberFormat="1" applyFont="1" applyFill="1" applyBorder="1" applyAlignment="1">
      <alignment horizontal="right"/>
    </xf>
    <xf numFmtId="167" fontId="18" fillId="3" borderId="6" xfId="1" applyNumberFormat="1" applyFont="1" applyFill="1" applyBorder="1" applyAlignment="1">
      <alignment horizontal="right"/>
    </xf>
    <xf numFmtId="0" fontId="45" fillId="0" borderId="7" xfId="0" applyFont="1" applyBorder="1"/>
    <xf numFmtId="166" fontId="16" fillId="0" borderId="4" xfId="0" applyNumberFormat="1" applyFont="1" applyBorder="1" applyAlignment="1">
      <alignment horizontal="center"/>
    </xf>
    <xf numFmtId="166" fontId="16" fillId="0" borderId="11" xfId="0" applyNumberFormat="1" applyFont="1" applyBorder="1" applyAlignment="1">
      <alignment horizontal="center"/>
    </xf>
    <xf numFmtId="0" fontId="16"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1" fillId="0" borderId="4" xfId="0" applyNumberFormat="1" applyFont="1" applyBorder="1" applyAlignment="1">
      <alignment horizontal="right"/>
    </xf>
    <xf numFmtId="164" fontId="31" fillId="0" borderId="3" xfId="0" applyNumberFormat="1" applyFont="1" applyBorder="1" applyAlignment="1">
      <alignment horizontal="right"/>
    </xf>
    <xf numFmtId="0" fontId="31" fillId="0" borderId="11" xfId="0" applyFont="1" applyBorder="1"/>
    <xf numFmtId="3" fontId="31" fillId="0" borderId="11" xfId="0" applyNumberFormat="1" applyFont="1" applyBorder="1"/>
    <xf numFmtId="164" fontId="31" fillId="0" borderId="11" xfId="0" applyNumberFormat="1" applyFont="1" applyBorder="1" applyAlignment="1">
      <alignment horizontal="right"/>
    </xf>
    <xf numFmtId="164" fontId="31" fillId="0" borderId="6" xfId="0" applyNumberFormat="1" applyFont="1" applyBorder="1" applyAlignment="1">
      <alignment horizontal="right"/>
    </xf>
    <xf numFmtId="0" fontId="66" fillId="0" borderId="0" xfId="3" applyFont="1" applyAlignment="1" applyProtection="1"/>
    <xf numFmtId="0" fontId="41" fillId="0" borderId="0" xfId="0" applyFont="1" applyAlignment="1">
      <alignment horizontal="center"/>
    </xf>
    <xf numFmtId="3" fontId="16" fillId="0" borderId="6" xfId="1" applyNumberFormat="1" applyFont="1" applyBorder="1" applyAlignment="1">
      <alignment horizontal="right"/>
    </xf>
    <xf numFmtId="3" fontId="67" fillId="0" borderId="4" xfId="1" applyNumberFormat="1" applyFont="1" applyBorder="1" applyAlignment="1">
      <alignment horizontal="right"/>
    </xf>
    <xf numFmtId="3" fontId="67" fillId="0" borderId="3" xfId="1" applyNumberFormat="1" applyFont="1" applyBorder="1" applyAlignment="1">
      <alignment horizontal="right"/>
    </xf>
    <xf numFmtId="3" fontId="67" fillId="0" borderId="11" xfId="1" applyNumberFormat="1" applyFont="1" applyBorder="1" applyAlignment="1">
      <alignment horizontal="right"/>
    </xf>
    <xf numFmtId="3" fontId="67" fillId="0" borderId="6" xfId="1" applyNumberFormat="1" applyFont="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Border="1" applyAlignment="1">
      <alignment horizontal="right"/>
    </xf>
    <xf numFmtId="3" fontId="18" fillId="0" borderId="11" xfId="1" applyNumberFormat="1" applyFont="1" applyBorder="1" applyAlignment="1">
      <alignment horizontal="right"/>
    </xf>
    <xf numFmtId="3" fontId="18" fillId="2" borderId="0" xfId="1" applyNumberFormat="1" applyFont="1" applyFill="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Border="1" applyAlignment="1">
      <alignment horizontal="right"/>
    </xf>
    <xf numFmtId="3" fontId="23" fillId="0" borderId="0" xfId="1" applyNumberFormat="1" applyFont="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Alignment="1">
      <alignment horizontal="right"/>
    </xf>
    <xf numFmtId="3" fontId="18" fillId="0" borderId="3" xfId="2" applyNumberFormat="1" applyFont="1" applyBorder="1" applyAlignment="1">
      <alignment horizontal="left"/>
    </xf>
    <xf numFmtId="0" fontId="14" fillId="0" borderId="0" xfId="1" applyFont="1" applyAlignment="1">
      <alignment horizontal="center"/>
    </xf>
    <xf numFmtId="3" fontId="14" fillId="0" borderId="0" xfId="1" applyNumberFormat="1" applyFont="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Border="1" applyAlignment="1">
      <alignment horizontal="right"/>
    </xf>
    <xf numFmtId="3" fontId="16" fillId="0" borderId="4" xfId="1" applyNumberFormat="1" applyFont="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Border="1" applyAlignment="1">
      <alignment horizontal="right"/>
    </xf>
    <xf numFmtId="3" fontId="16" fillId="0" borderId="11" xfId="1" applyNumberFormat="1" applyFont="1" applyBorder="1" applyAlignment="1">
      <alignment horizontal="right"/>
    </xf>
    <xf numFmtId="3" fontId="16" fillId="0" borderId="7" xfId="1" applyNumberFormat="1" applyFont="1" applyBorder="1" applyAlignment="1">
      <alignment horizontal="right"/>
    </xf>
    <xf numFmtId="3" fontId="16" fillId="0" borderId="1" xfId="1" applyNumberFormat="1" applyFont="1" applyBorder="1" applyAlignment="1">
      <alignment horizontal="right"/>
    </xf>
    <xf numFmtId="3" fontId="16" fillId="0" borderId="15" xfId="1" applyNumberFormat="1" applyFont="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xf numFmtId="0" fontId="0" fillId="0" borderId="8" xfId="0" applyBorder="1"/>
    <xf numFmtId="3" fontId="16" fillId="0" borderId="2" xfId="1" quotePrefix="1" applyNumberFormat="1" applyFont="1" applyBorder="1" applyAlignment="1">
      <alignment horizontal="right"/>
    </xf>
    <xf numFmtId="0" fontId="56" fillId="0" borderId="0" xfId="1" applyFont="1"/>
    <xf numFmtId="0" fontId="15" fillId="0" borderId="0" xfId="1" applyFont="1" applyAlignment="1">
      <alignment horizontal="right" vertical="top"/>
    </xf>
    <xf numFmtId="0" fontId="15" fillId="0" borderId="0" xfId="1" applyFont="1" applyAlignment="1">
      <alignment vertical="top" wrapText="1"/>
    </xf>
    <xf numFmtId="0" fontId="15" fillId="0" borderId="0" xfId="1" applyFont="1" applyAlignment="1">
      <alignment horizontal="right"/>
    </xf>
    <xf numFmtId="0" fontId="15" fillId="0" borderId="0" xfId="1" applyFont="1" applyAlignment="1">
      <alignment wrapText="1"/>
    </xf>
    <xf numFmtId="0" fontId="14" fillId="0" borderId="0" xfId="1" applyFont="1" applyAlignment="1">
      <alignment horizontal="left"/>
    </xf>
    <xf numFmtId="3" fontId="31"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70" fillId="0" borderId="0" xfId="1" applyFont="1" applyAlignment="1">
      <alignment horizontal="left"/>
    </xf>
    <xf numFmtId="0" fontId="19" fillId="0" borderId="0" xfId="1" applyFont="1"/>
    <xf numFmtId="0" fontId="64" fillId="0" borderId="0" xfId="0" applyFont="1"/>
    <xf numFmtId="0" fontId="65" fillId="0" borderId="0" xfId="0" applyFont="1"/>
    <xf numFmtId="0" fontId="42"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Alignment="1">
      <alignment horizontal="left"/>
    </xf>
    <xf numFmtId="3" fontId="67" fillId="0" borderId="2" xfId="1" applyNumberFormat="1" applyFont="1" applyBorder="1" applyAlignment="1">
      <alignment horizontal="right"/>
    </xf>
    <xf numFmtId="3" fontId="59" fillId="0" borderId="2" xfId="1" applyNumberFormat="1" applyFont="1" applyBorder="1" applyAlignment="1">
      <alignment horizontal="right"/>
    </xf>
    <xf numFmtId="3" fontId="14" fillId="0" borderId="14" xfId="1" applyNumberFormat="1" applyFont="1" applyBorder="1" applyAlignment="1">
      <alignment horizontal="center"/>
    </xf>
    <xf numFmtId="170" fontId="16" fillId="0" borderId="7" xfId="846" applyFont="1" applyFill="1" applyBorder="1" applyAlignment="1">
      <alignment horizontal="right"/>
    </xf>
    <xf numFmtId="170" fontId="16" fillId="0" borderId="1" xfId="846" applyFont="1" applyFill="1" applyBorder="1" applyAlignment="1">
      <alignment horizontal="right"/>
    </xf>
    <xf numFmtId="170" fontId="18" fillId="0" borderId="3" xfId="846" applyFont="1" applyBorder="1" applyAlignment="1">
      <alignment horizontal="right"/>
    </xf>
    <xf numFmtId="170" fontId="18" fillId="0" borderId="3" xfId="846" applyFont="1" applyFill="1" applyBorder="1" applyAlignment="1">
      <alignment horizontal="right"/>
    </xf>
    <xf numFmtId="170" fontId="18" fillId="0" borderId="4" xfId="846" applyFont="1" applyFill="1" applyBorder="1" applyAlignment="1">
      <alignment horizontal="right"/>
    </xf>
    <xf numFmtId="170" fontId="16" fillId="0" borderId="3" xfId="846" applyFont="1" applyFill="1" applyBorder="1" applyAlignment="1">
      <alignment horizontal="right"/>
    </xf>
    <xf numFmtId="170" fontId="16" fillId="0" borderId="4" xfId="846" applyFont="1" applyFill="1" applyBorder="1" applyAlignment="1">
      <alignment horizontal="right"/>
    </xf>
    <xf numFmtId="170" fontId="16" fillId="0" borderId="6" xfId="846" applyFont="1" applyFill="1" applyBorder="1" applyAlignment="1">
      <alignment horizontal="right"/>
    </xf>
    <xf numFmtId="170" fontId="16" fillId="0" borderId="11" xfId="846" applyFont="1" applyFill="1" applyBorder="1" applyAlignment="1">
      <alignment horizontal="right"/>
    </xf>
    <xf numFmtId="170" fontId="18" fillId="3" borderId="7" xfId="846" applyFont="1" applyFill="1" applyBorder="1" applyAlignment="1">
      <alignment horizontal="right"/>
    </xf>
    <xf numFmtId="170" fontId="18" fillId="3" borderId="2" xfId="846" applyFont="1" applyFill="1" applyBorder="1" applyAlignment="1">
      <alignment horizontal="right"/>
    </xf>
    <xf numFmtId="170" fontId="16" fillId="0" borderId="2" xfId="846" applyFont="1" applyFill="1" applyBorder="1" applyAlignment="1">
      <alignment horizontal="right"/>
    </xf>
    <xf numFmtId="170" fontId="18" fillId="3" borderId="3" xfId="846" applyFont="1" applyFill="1" applyBorder="1" applyAlignment="1">
      <alignment horizontal="right"/>
    </xf>
    <xf numFmtId="170" fontId="18" fillId="2" borderId="3" xfId="846" applyFont="1" applyFill="1" applyBorder="1" applyAlignment="1">
      <alignment horizontal="right"/>
    </xf>
    <xf numFmtId="170" fontId="18" fillId="2" borderId="4" xfId="846" applyFont="1" applyFill="1" applyBorder="1" applyAlignment="1">
      <alignment horizontal="right"/>
    </xf>
    <xf numFmtId="170" fontId="18" fillId="0" borderId="2" xfId="846" applyFont="1" applyFill="1" applyBorder="1" applyAlignment="1">
      <alignment horizontal="right"/>
    </xf>
    <xf numFmtId="170" fontId="18" fillId="3" borderId="6" xfId="846" applyFont="1" applyFill="1" applyBorder="1" applyAlignment="1">
      <alignment horizontal="right"/>
    </xf>
    <xf numFmtId="170" fontId="16" fillId="0" borderId="5" xfId="846" applyFont="1" applyFill="1" applyBorder="1" applyAlignment="1">
      <alignment horizontal="right"/>
    </xf>
    <xf numFmtId="170" fontId="16" fillId="0" borderId="15" xfId="846" applyFont="1" applyFill="1" applyBorder="1" applyAlignment="1">
      <alignment horizontal="right"/>
    </xf>
    <xf numFmtId="170" fontId="16" fillId="2" borderId="2" xfId="846" applyFont="1" applyFill="1" applyBorder="1" applyAlignment="1">
      <alignment horizontal="right"/>
    </xf>
    <xf numFmtId="170" fontId="16" fillId="2" borderId="0" xfId="846" applyFont="1" applyFill="1" applyBorder="1" applyAlignment="1">
      <alignment horizontal="right"/>
    </xf>
    <xf numFmtId="170" fontId="16" fillId="2" borderId="4" xfId="846" applyFont="1" applyFill="1" applyBorder="1" applyAlignment="1">
      <alignment horizontal="right"/>
    </xf>
    <xf numFmtId="170" fontId="16" fillId="2" borderId="5" xfId="846" applyFont="1" applyFill="1" applyBorder="1" applyAlignment="1">
      <alignment horizontal="right"/>
    </xf>
    <xf numFmtId="170" fontId="16" fillId="2" borderId="11" xfId="846" applyFont="1" applyFill="1" applyBorder="1" applyAlignment="1">
      <alignment horizontal="right"/>
    </xf>
    <xf numFmtId="170" fontId="18" fillId="0" borderId="4" xfId="846" applyFont="1" applyBorder="1" applyAlignment="1">
      <alignment horizontal="right"/>
    </xf>
    <xf numFmtId="170" fontId="18" fillId="0" borderId="6" xfId="846" applyFont="1" applyFill="1" applyBorder="1" applyAlignment="1">
      <alignment horizontal="right"/>
    </xf>
    <xf numFmtId="170" fontId="18" fillId="0" borderId="11" xfId="846" applyFont="1" applyFill="1" applyBorder="1" applyAlignment="1">
      <alignment horizontal="right"/>
    </xf>
    <xf numFmtId="170" fontId="67" fillId="0" borderId="2" xfId="846" applyFont="1" applyFill="1" applyBorder="1" applyAlignment="1">
      <alignment horizontal="right"/>
    </xf>
    <xf numFmtId="170" fontId="18" fillId="0" borderId="0" xfId="846" applyFont="1" applyFill="1" applyBorder="1" applyAlignment="1">
      <alignment horizontal="right"/>
    </xf>
    <xf numFmtId="170" fontId="23" fillId="0" borderId="2" xfId="846" applyFont="1" applyFill="1" applyBorder="1" applyAlignment="1">
      <alignment horizontal="right"/>
    </xf>
    <xf numFmtId="170" fontId="23" fillId="0" borderId="0" xfId="846" applyFont="1" applyFill="1" applyBorder="1" applyAlignment="1">
      <alignment horizontal="right"/>
    </xf>
    <xf numFmtId="170" fontId="19" fillId="2" borderId="2" xfId="846" applyFont="1" applyFill="1" applyBorder="1" applyAlignment="1">
      <alignment horizontal="right"/>
    </xf>
    <xf numFmtId="170" fontId="19" fillId="2"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6" fillId="0" borderId="0" xfId="846" applyFont="1" applyFill="1" applyBorder="1" applyAlignment="1">
      <alignment horizontal="right"/>
    </xf>
    <xf numFmtId="170" fontId="18" fillId="3" borderId="5" xfId="846" applyFont="1" applyFill="1" applyBorder="1" applyAlignment="1">
      <alignment horizontal="right"/>
    </xf>
    <xf numFmtId="170" fontId="18" fillId="3" borderId="0" xfId="846" applyFont="1" applyFill="1" applyBorder="1" applyAlignment="1">
      <alignment horizontal="right"/>
    </xf>
    <xf numFmtId="170" fontId="18" fillId="3" borderId="1" xfId="846" applyFont="1" applyFill="1" applyBorder="1" applyAlignment="1">
      <alignment horizontal="right"/>
    </xf>
    <xf numFmtId="170" fontId="18" fillId="3" borderId="4" xfId="846" applyFont="1" applyFill="1" applyBorder="1" applyAlignment="1">
      <alignment horizontal="right"/>
    </xf>
    <xf numFmtId="170" fontId="18" fillId="3" borderId="11" xfId="846" applyFont="1" applyFill="1" applyBorder="1" applyAlignment="1">
      <alignment horizontal="right"/>
    </xf>
    <xf numFmtId="164" fontId="31" fillId="0" borderId="3" xfId="0" applyNumberFormat="1" applyFont="1" applyBorder="1"/>
    <xf numFmtId="164" fontId="45" fillId="0" borderId="3" xfId="0" applyNumberFormat="1" applyFont="1" applyBorder="1"/>
    <xf numFmtId="164" fontId="45" fillId="0" borderId="6" xfId="0" applyNumberFormat="1" applyFont="1" applyBorder="1"/>
    <xf numFmtId="171" fontId="18" fillId="3" borderId="2" xfId="846" applyNumberFormat="1" applyFont="1" applyFill="1" applyBorder="1" applyAlignment="1">
      <alignment horizontal="right"/>
    </xf>
    <xf numFmtId="171" fontId="18" fillId="3" borderId="3" xfId="846" applyNumberFormat="1" applyFont="1" applyFill="1" applyBorder="1" applyAlignment="1">
      <alignment horizontal="right"/>
    </xf>
    <xf numFmtId="171" fontId="18" fillId="3" borderId="6" xfId="846" applyNumberFormat="1" applyFont="1" applyFill="1" applyBorder="1" applyAlignment="1">
      <alignment horizontal="right"/>
    </xf>
    <xf numFmtId="164" fontId="16" fillId="0" borderId="6" xfId="1" applyNumberFormat="1" applyFont="1" applyBorder="1" applyAlignment="1">
      <alignment horizontal="center"/>
    </xf>
    <xf numFmtId="164" fontId="18" fillId="3" borderId="0" xfId="1" applyNumberFormat="1" applyFont="1" applyFill="1" applyAlignment="1">
      <alignment horizontal="right"/>
    </xf>
    <xf numFmtId="164" fontId="18" fillId="3" borderId="5" xfId="1" applyNumberFormat="1" applyFont="1" applyFill="1" applyBorder="1" applyAlignment="1">
      <alignment horizontal="right"/>
    </xf>
    <xf numFmtId="49" fontId="16" fillId="0" borderId="0" xfId="1" applyNumberFormat="1" applyFont="1" applyAlignment="1">
      <alignment horizontal="right"/>
    </xf>
    <xf numFmtId="49" fontId="16" fillId="0" borderId="0" xfId="1" applyNumberFormat="1" applyFont="1" applyAlignment="1">
      <alignment horizontal="center"/>
    </xf>
    <xf numFmtId="3" fontId="16" fillId="0" borderId="0" xfId="1" quotePrefix="1" applyNumberFormat="1" applyFont="1" applyAlignment="1">
      <alignment horizontal="center"/>
    </xf>
    <xf numFmtId="170" fontId="16" fillId="3" borderId="7" xfId="846" applyFont="1" applyFill="1" applyBorder="1" applyAlignment="1">
      <alignment horizontal="right"/>
    </xf>
    <xf numFmtId="171" fontId="16" fillId="3" borderId="2" xfId="846" applyNumberFormat="1" applyFont="1" applyFill="1" applyBorder="1" applyAlignment="1">
      <alignment horizontal="right"/>
    </xf>
    <xf numFmtId="167" fontId="16" fillId="3" borderId="7" xfId="1" applyNumberFormat="1" applyFont="1" applyFill="1" applyBorder="1" applyAlignment="1">
      <alignment horizontal="right"/>
    </xf>
    <xf numFmtId="167" fontId="16" fillId="3" borderId="3" xfId="1" applyNumberFormat="1" applyFont="1" applyFill="1" applyBorder="1" applyAlignment="1">
      <alignment horizontal="right"/>
    </xf>
    <xf numFmtId="167" fontId="16" fillId="3" borderId="6" xfId="1" applyNumberFormat="1" applyFont="1" applyFill="1" applyBorder="1" applyAlignment="1">
      <alignment horizontal="right"/>
    </xf>
    <xf numFmtId="3" fontId="16" fillId="3" borderId="0" xfId="1" applyNumberFormat="1" applyFont="1" applyFill="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4" fontId="16" fillId="3" borderId="0" xfId="1" applyNumberFormat="1" applyFont="1" applyFill="1" applyAlignment="1">
      <alignment horizontal="right"/>
    </xf>
    <xf numFmtId="3" fontId="60"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3" fontId="60" fillId="4" borderId="4" xfId="0" applyNumberFormat="1" applyFont="1" applyFill="1" applyBorder="1" applyProtection="1">
      <protection locked="0"/>
    </xf>
    <xf numFmtId="3" fontId="45"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1" fillId="0" borderId="0" xfId="0" applyFont="1" applyProtection="1">
      <protection locked="0"/>
    </xf>
    <xf numFmtId="0" fontId="41" fillId="0" borderId="0" xfId="0" applyFont="1" applyProtection="1">
      <protection locked="0"/>
    </xf>
    <xf numFmtId="0" fontId="57" fillId="0" borderId="0" xfId="0" applyFont="1" applyProtection="1">
      <protection locked="0"/>
    </xf>
    <xf numFmtId="3" fontId="58" fillId="4" borderId="12" xfId="0"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49" fillId="0" borderId="0" xfId="0" applyFont="1" applyProtection="1">
      <protection locked="0"/>
    </xf>
    <xf numFmtId="0" fontId="63" fillId="0" borderId="0" xfId="0" applyFont="1" applyProtection="1">
      <protection locked="0"/>
    </xf>
    <xf numFmtId="3" fontId="31" fillId="4" borderId="4" xfId="15" applyNumberFormat="1" applyFont="1" applyFill="1" applyBorder="1" applyAlignment="1" applyProtection="1">
      <alignment horizontal="right"/>
      <protection locked="0"/>
    </xf>
    <xf numFmtId="165" fontId="31" fillId="0" borderId="3" xfId="847" applyNumberFormat="1" applyFont="1" applyBorder="1" applyAlignment="1" applyProtection="1">
      <alignment horizontal="right"/>
      <protection locked="0"/>
    </xf>
    <xf numFmtId="169" fontId="31" fillId="0" borderId="3" xfId="847" applyNumberFormat="1" applyFont="1" applyBorder="1" applyAlignment="1" applyProtection="1">
      <alignment horizontal="right"/>
      <protection locked="0"/>
    </xf>
    <xf numFmtId="165" fontId="31" fillId="4" borderId="4" xfId="847" applyNumberFormat="1" applyFont="1" applyFill="1" applyBorder="1" applyAlignment="1" applyProtection="1">
      <alignment horizontal="right"/>
      <protection locked="0"/>
    </xf>
    <xf numFmtId="165" fontId="31" fillId="4" borderId="3" xfId="847" applyNumberFormat="1" applyFont="1" applyFill="1" applyBorder="1" applyAlignment="1" applyProtection="1">
      <alignment horizontal="right"/>
      <protection locked="0"/>
    </xf>
    <xf numFmtId="3" fontId="45" fillId="4" borderId="4" xfId="15"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protection locked="0"/>
    </xf>
    <xf numFmtId="3" fontId="18" fillId="0" borderId="3" xfId="847" applyNumberFormat="1" applyFont="1" applyBorder="1" applyAlignment="1">
      <alignment horizontal="left"/>
    </xf>
    <xf numFmtId="3" fontId="18" fillId="0" borderId="3" xfId="847" applyNumberFormat="1" applyFont="1" applyFill="1" applyBorder="1" applyAlignment="1">
      <alignment horizontal="left"/>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170" fontId="16" fillId="0" borderId="3" xfId="846" applyFont="1" applyBorder="1" applyAlignment="1">
      <alignment horizontal="right"/>
    </xf>
    <xf numFmtId="3" fontId="31" fillId="0" borderId="4" xfId="0" applyNumberFormat="1" applyFont="1" applyBorder="1" applyAlignment="1" applyProtection="1">
      <alignment horizontal="right"/>
      <protection locked="0"/>
    </xf>
    <xf numFmtId="0" fontId="41" fillId="0" borderId="0" xfId="7" applyFont="1" applyProtection="1">
      <protection locked="0"/>
    </xf>
    <xf numFmtId="0" fontId="20" fillId="0" borderId="0" xfId="7" applyProtection="1">
      <protection locked="0"/>
    </xf>
    <xf numFmtId="3" fontId="58"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69" fillId="0" borderId="8" xfId="7" applyFont="1" applyBorder="1" applyAlignment="1" applyProtection="1">
      <alignment horizontal="center"/>
      <protection locked="0"/>
    </xf>
    <xf numFmtId="0" fontId="18" fillId="4" borderId="0" xfId="7" applyFont="1" applyFill="1" applyProtection="1">
      <protection locked="0"/>
    </xf>
    <xf numFmtId="3" fontId="45" fillId="0" borderId="1" xfId="7" applyNumberFormat="1" applyFont="1" applyBorder="1" applyProtection="1">
      <protection locked="0"/>
    </xf>
    <xf numFmtId="3" fontId="45"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0"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8" fontId="16" fillId="0" borderId="6" xfId="7" applyNumberFormat="1" applyFont="1" applyBorder="1" applyAlignment="1" applyProtection="1">
      <alignment horizontal="center"/>
      <protection locked="0"/>
    </xf>
    <xf numFmtId="168"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4" fontId="31" fillId="4" borderId="7" xfId="7"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0" fontId="31" fillId="0" borderId="3" xfId="7" applyFont="1" applyBorder="1" applyProtection="1">
      <protection locked="0"/>
    </xf>
    <xf numFmtId="3" fontId="31" fillId="4" borderId="3" xfId="7" applyNumberFormat="1" applyFont="1" applyFill="1" applyBorder="1" applyAlignment="1">
      <alignment horizontal="right"/>
    </xf>
    <xf numFmtId="0" fontId="31" fillId="0" borderId="6" xfId="7" applyFont="1" applyBorder="1" applyProtection="1">
      <protection locked="0"/>
    </xf>
    <xf numFmtId="3" fontId="31" fillId="4" borderId="6"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0" fontId="56" fillId="0" borderId="0" xfId="0" applyFont="1"/>
    <xf numFmtId="0" fontId="14" fillId="0" borderId="4" xfId="7" applyFont="1" applyBorder="1" applyAlignment="1" applyProtection="1">
      <alignment horizontal="center"/>
      <protection locked="0"/>
    </xf>
    <xf numFmtId="3" fontId="45" fillId="0" borderId="4" xfId="7" applyNumberFormat="1" applyFont="1" applyBorder="1" applyAlignment="1">
      <alignment horizontal="right"/>
    </xf>
    <xf numFmtId="3" fontId="45" fillId="0" borderId="4" xfId="7" applyNumberFormat="1" applyFont="1" applyBorder="1" applyAlignment="1" applyProtection="1">
      <alignment horizontal="right"/>
      <protection locked="0"/>
    </xf>
    <xf numFmtId="3" fontId="31" fillId="0" borderId="4" xfId="7" applyNumberFormat="1" applyFont="1" applyBorder="1" applyAlignment="1">
      <alignment horizontal="right"/>
    </xf>
    <xf numFmtId="3" fontId="31" fillId="0" borderId="4" xfId="7" applyNumberFormat="1" applyFont="1" applyBorder="1" applyAlignment="1" applyProtection="1">
      <alignment horizontal="right"/>
      <protection locked="0"/>
    </xf>
    <xf numFmtId="3" fontId="31" fillId="0" borderId="11" xfId="7" applyNumberFormat="1" applyFont="1" applyBorder="1" applyAlignment="1" applyProtection="1">
      <alignment horizontal="right"/>
      <protection locked="0"/>
    </xf>
    <xf numFmtId="3" fontId="31" fillId="0" borderId="1" xfId="7" applyNumberFormat="1" applyFont="1" applyBorder="1" applyAlignment="1" applyProtection="1">
      <alignment horizontal="right"/>
      <protection locked="0"/>
    </xf>
    <xf numFmtId="0" fontId="16" fillId="0" borderId="4" xfId="7" applyFont="1" applyBorder="1" applyAlignment="1">
      <alignment horizontal="right"/>
    </xf>
    <xf numFmtId="0" fontId="16" fillId="0" borderId="4" xfId="7" applyFont="1" applyBorder="1" applyAlignment="1" applyProtection="1">
      <alignment horizontal="right"/>
      <protection locked="0"/>
    </xf>
    <xf numFmtId="3" fontId="31" fillId="0" borderId="4" xfId="848" applyNumberFormat="1" applyFont="1" applyBorder="1" applyAlignment="1">
      <alignment horizontal="right"/>
    </xf>
    <xf numFmtId="3" fontId="31" fillId="0" borderId="4" xfId="848" applyNumberFormat="1" applyFont="1" applyBorder="1" applyAlignment="1" applyProtection="1">
      <alignment horizontal="right"/>
      <protection locked="0"/>
    </xf>
    <xf numFmtId="3" fontId="45" fillId="0" borderId="4" xfId="848" applyNumberFormat="1" applyFont="1" applyBorder="1" applyAlignment="1">
      <alignment horizontal="right"/>
    </xf>
    <xf numFmtId="3" fontId="45" fillId="0" borderId="4" xfId="848" applyNumberFormat="1" applyFont="1" applyBorder="1" applyAlignment="1" applyProtection="1">
      <alignment horizontal="right"/>
      <protection locked="0"/>
    </xf>
    <xf numFmtId="3" fontId="31" fillId="0" borderId="11" xfId="848" applyNumberFormat="1" applyFont="1" applyBorder="1" applyAlignment="1">
      <alignment horizontal="right"/>
    </xf>
    <xf numFmtId="3" fontId="31" fillId="0" borderId="11" xfId="848" applyNumberFormat="1" applyFont="1" applyBorder="1" applyAlignment="1" applyProtection="1">
      <alignment horizontal="right"/>
      <protection locked="0"/>
    </xf>
    <xf numFmtId="3" fontId="16" fillId="0" borderId="4" xfId="7" applyNumberFormat="1" applyFont="1" applyBorder="1" applyAlignment="1">
      <alignment horizontal="right"/>
    </xf>
    <xf numFmtId="3" fontId="16" fillId="0" borderId="4" xfId="7" applyNumberFormat="1" applyFont="1" applyBorder="1" applyAlignment="1" applyProtection="1">
      <alignment horizontal="right"/>
      <protection locked="0"/>
    </xf>
    <xf numFmtId="3" fontId="31" fillId="0" borderId="6" xfId="848" applyNumberFormat="1" applyFont="1" applyBorder="1" applyAlignment="1" applyProtection="1">
      <alignment horizontal="right"/>
      <protection locked="0"/>
    </xf>
    <xf numFmtId="3" fontId="31" fillId="0" borderId="3" xfId="7" applyNumberFormat="1" applyFont="1" applyBorder="1" applyAlignment="1" applyProtection="1">
      <alignment horizontal="right"/>
      <protection locked="0"/>
    </xf>
    <xf numFmtId="3" fontId="45" fillId="0" borderId="3" xfId="7" applyNumberFormat="1" applyFont="1" applyBorder="1" applyAlignment="1" applyProtection="1">
      <alignment horizontal="right"/>
      <protection locked="0"/>
    </xf>
    <xf numFmtId="3" fontId="31" fillId="0" borderId="6" xfId="7" applyNumberFormat="1" applyFont="1" applyBorder="1" applyAlignment="1" applyProtection="1">
      <alignment horizontal="right"/>
      <protection locked="0"/>
    </xf>
    <xf numFmtId="3" fontId="31" fillId="0" borderId="3" xfId="848" applyNumberFormat="1" applyFont="1" applyBorder="1" applyAlignment="1" applyProtection="1">
      <alignment horizontal="right"/>
      <protection locked="0"/>
    </xf>
    <xf numFmtId="3" fontId="45" fillId="0" borderId="3" xfId="848" applyNumberFormat="1" applyFont="1" applyBorder="1" applyAlignment="1" applyProtection="1">
      <alignment horizontal="right"/>
      <protection locked="0"/>
    </xf>
    <xf numFmtId="4" fontId="31" fillId="0" borderId="4" xfId="7" applyNumberFormat="1" applyFont="1" applyBorder="1" applyAlignment="1" applyProtection="1">
      <alignment horizontal="right"/>
      <protection locked="0"/>
    </xf>
    <xf numFmtId="4" fontId="45" fillId="0" borderId="3" xfId="7" applyNumberFormat="1" applyFont="1" applyBorder="1" applyAlignment="1" applyProtection="1">
      <alignment horizontal="right"/>
      <protection locked="0"/>
    </xf>
    <xf numFmtId="4" fontId="31" fillId="0" borderId="3" xfId="7" applyNumberFormat="1" applyFont="1" applyBorder="1" applyAlignment="1" applyProtection="1">
      <alignment horizontal="right"/>
      <protection locked="0"/>
    </xf>
    <xf numFmtId="0" fontId="45" fillId="0" borderId="4" xfId="7" applyFont="1" applyBorder="1" applyProtection="1">
      <protection locked="0"/>
    </xf>
    <xf numFmtId="0" fontId="45" fillId="0" borderId="4" xfId="7" applyFont="1" applyBorder="1" applyAlignment="1" applyProtection="1">
      <alignment horizontal="center"/>
      <protection locked="0"/>
    </xf>
    <xf numFmtId="0" fontId="31" fillId="0" borderId="4" xfId="7" applyFont="1" applyBorder="1" applyAlignment="1" applyProtection="1">
      <alignment horizontal="center"/>
      <protection locked="0"/>
    </xf>
    <xf numFmtId="0" fontId="31" fillId="0" borderId="4" xfId="7" applyFont="1" applyBorder="1" applyAlignment="1" applyProtection="1">
      <alignment horizontal="left"/>
      <protection locked="0"/>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5" fillId="0" borderId="1" xfId="0" applyNumberFormat="1" applyFont="1" applyBorder="1" applyProtection="1">
      <protection locked="0"/>
    </xf>
    <xf numFmtId="3" fontId="45" fillId="0" borderId="4" xfId="0" applyNumberFormat="1" applyFont="1" applyBorder="1" applyProtection="1">
      <protection locked="0"/>
    </xf>
    <xf numFmtId="0" fontId="16" fillId="0" borderId="7" xfId="0" applyFont="1" applyBorder="1" applyAlignment="1" applyProtection="1">
      <alignment horizontal="center"/>
      <protection locked="0"/>
    </xf>
    <xf numFmtId="3" fontId="50" fillId="4" borderId="6" xfId="0" applyNumberFormat="1" applyFont="1" applyFill="1" applyBorder="1" applyProtection="1">
      <protection locked="0"/>
    </xf>
    <xf numFmtId="168" fontId="16" fillId="0" borderId="6" xfId="0" applyNumberFormat="1" applyFont="1" applyBorder="1" applyAlignment="1" applyProtection="1">
      <alignment horizontal="center"/>
      <protection locked="0"/>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9" borderId="3" xfId="0" applyNumberFormat="1" applyFont="1" applyFill="1" applyBorder="1" applyAlignment="1" applyProtection="1">
      <alignment horizontal="right"/>
      <protection locked="0"/>
    </xf>
    <xf numFmtId="0" fontId="45" fillId="0" borderId="11" xfId="0" applyFont="1" applyBorder="1" applyProtection="1">
      <protection locked="0"/>
    </xf>
    <xf numFmtId="0" fontId="45" fillId="0" borderId="4" xfId="0" applyFont="1" applyBorder="1" applyProtection="1">
      <protection locked="0"/>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Border="1" applyProtection="1">
      <protection locked="0"/>
    </xf>
    <xf numFmtId="3" fontId="45" fillId="4" borderId="1" xfId="15"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3" fontId="60" fillId="4" borderId="3" xfId="0" applyNumberFormat="1" applyFont="1" applyFill="1" applyBorder="1" applyAlignment="1">
      <alignment horizontal="right"/>
    </xf>
    <xf numFmtId="3" fontId="45" fillId="4" borderId="3" xfId="0" applyNumberFormat="1" applyFont="1" applyFill="1" applyBorder="1" applyAlignment="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3" fontId="45"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2" fillId="0" borderId="0" xfId="0" applyNumberFormat="1" applyFont="1" applyProtection="1">
      <protection locked="0"/>
    </xf>
    <xf numFmtId="0" fontId="20" fillId="0" borderId="0" xfId="852"/>
    <xf numFmtId="0" fontId="27" fillId="0" borderId="0" xfId="852" applyFont="1"/>
    <xf numFmtId="0" fontId="0" fillId="0" borderId="0" xfId="852" applyFont="1"/>
    <xf numFmtId="0" fontId="28" fillId="0" borderId="0" xfId="852" applyFont="1" applyAlignment="1">
      <alignment horizontal="right"/>
    </xf>
    <xf numFmtId="0" fontId="20" fillId="0" borderId="0" xfId="20"/>
    <xf numFmtId="0" fontId="29" fillId="0" borderId="0" xfId="852" applyFont="1" applyAlignment="1">
      <alignment horizontal="left"/>
    </xf>
    <xf numFmtId="0" fontId="30" fillId="0" borderId="0" xfId="852" applyFont="1" applyAlignment="1">
      <alignment horizontal="left"/>
    </xf>
    <xf numFmtId="0" fontId="31" fillId="0" borderId="0" xfId="20" applyFont="1" applyAlignment="1">
      <alignment horizontal="left"/>
    </xf>
    <xf numFmtId="0" fontId="32" fillId="0" borderId="0" xfId="852" applyFont="1" applyAlignment="1">
      <alignment horizontal="right"/>
    </xf>
    <xf numFmtId="0" fontId="20" fillId="0" borderId="0" xfId="852" applyAlignment="1">
      <alignment horizontal="right"/>
    </xf>
    <xf numFmtId="0" fontId="33" fillId="0" borderId="0" xfId="852" applyFont="1" applyAlignment="1">
      <alignment horizontal="left"/>
    </xf>
    <xf numFmtId="14" fontId="34" fillId="0" borderId="0" xfId="852" applyNumberFormat="1" applyFont="1" applyAlignment="1">
      <alignment horizontal="left"/>
    </xf>
    <xf numFmtId="0" fontId="34" fillId="0" borderId="0" xfId="852" applyFont="1" applyAlignment="1">
      <alignment horizontal="left"/>
    </xf>
    <xf numFmtId="0" fontId="35" fillId="0" borderId="0" xfId="20" applyFont="1" applyAlignment="1">
      <alignment vertical="center"/>
    </xf>
    <xf numFmtId="0" fontId="36" fillId="0" borderId="0" xfId="20" applyFont="1" applyAlignment="1">
      <alignment vertical="center"/>
    </xf>
    <xf numFmtId="0" fontId="77" fillId="0" borderId="0" xfId="0" applyFont="1" applyProtection="1">
      <protection locked="0"/>
    </xf>
    <xf numFmtId="0" fontId="71" fillId="0" borderId="0" xfId="848" applyFont="1" applyProtection="1">
      <protection locked="0"/>
    </xf>
    <xf numFmtId="0" fontId="22" fillId="0" borderId="0" xfId="848" applyFont="1" applyProtection="1">
      <protection locked="0"/>
    </xf>
    <xf numFmtId="0" fontId="76" fillId="0" borderId="0" xfId="0" applyFont="1" applyProtection="1">
      <protection locked="0"/>
    </xf>
    <xf numFmtId="3" fontId="45" fillId="4" borderId="0" xfId="0" applyNumberFormat="1" applyFont="1" applyFill="1" applyProtection="1">
      <protection locked="0"/>
    </xf>
    <xf numFmtId="3" fontId="16" fillId="4" borderId="0" xfId="0" applyNumberFormat="1" applyFont="1" applyFill="1" applyProtection="1">
      <protection locked="0"/>
    </xf>
    <xf numFmtId="14" fontId="14" fillId="0" borderId="7" xfId="0" applyNumberFormat="1" applyFont="1" applyBorder="1" applyAlignment="1" applyProtection="1">
      <alignment horizontal="left"/>
      <protection locked="0"/>
    </xf>
    <xf numFmtId="3" fontId="14" fillId="0" borderId="10" xfId="0" quotePrefix="1" applyNumberFormat="1" applyFont="1" applyBorder="1" applyAlignment="1" applyProtection="1">
      <alignment horizontal="center"/>
      <protection locked="0"/>
    </xf>
    <xf numFmtId="3" fontId="14" fillId="0" borderId="8" xfId="0" quotePrefix="1" applyNumberFormat="1" applyFont="1" applyBorder="1" applyAlignment="1" applyProtection="1">
      <alignment horizontal="center"/>
      <protection locked="0"/>
    </xf>
    <xf numFmtId="3" fontId="14" fillId="0" borderId="9" xfId="0" quotePrefix="1" applyNumberFormat="1" applyFont="1" applyBorder="1" applyAlignment="1" applyProtection="1">
      <alignment horizontal="center"/>
      <protection locked="0"/>
    </xf>
    <xf numFmtId="0" fontId="18" fillId="4" borderId="10"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20" fillId="0" borderId="9" xfId="0" applyFont="1" applyBorder="1" applyProtection="1">
      <protection locked="0"/>
    </xf>
    <xf numFmtId="0" fontId="45" fillId="0" borderId="0" xfId="7" applyFont="1" applyProtection="1">
      <protection locked="0"/>
    </xf>
    <xf numFmtId="0" fontId="45" fillId="0" borderId="12" xfId="7" applyFont="1" applyBorder="1" applyProtection="1">
      <protection locked="0"/>
    </xf>
    <xf numFmtId="14" fontId="14" fillId="0" borderId="3" xfId="7" applyNumberFormat="1" applyFont="1" applyBorder="1" applyAlignment="1" applyProtection="1">
      <alignment horizontal="left"/>
      <protection locked="0"/>
    </xf>
    <xf numFmtId="3" fontId="50" fillId="0" borderId="11" xfId="7" applyNumberFormat="1" applyFont="1" applyBorder="1" applyProtection="1">
      <protection locked="0"/>
    </xf>
    <xf numFmtId="3" fontId="50" fillId="0" borderId="7" xfId="7" applyNumberFormat="1" applyFont="1" applyBorder="1" applyProtection="1">
      <protection locked="0"/>
    </xf>
    <xf numFmtId="168" fontId="16" fillId="0" borderId="3" xfId="7" applyNumberFormat="1" applyFont="1" applyBorder="1" applyAlignment="1" applyProtection="1">
      <alignment horizontal="center"/>
      <protection locked="0"/>
    </xf>
    <xf numFmtId="168" fontId="16" fillId="0" borderId="4" xfId="7" applyNumberFormat="1" applyFont="1" applyBorder="1" applyAlignment="1" applyProtection="1">
      <alignment horizontal="center"/>
      <protection locked="0"/>
    </xf>
    <xf numFmtId="0" fontId="45" fillId="0" borderId="3" xfId="7" applyFont="1" applyBorder="1" applyProtection="1">
      <protection locked="0"/>
    </xf>
    <xf numFmtId="168" fontId="45" fillId="0" borderId="3" xfId="7" applyNumberFormat="1" applyFont="1" applyBorder="1" applyAlignment="1" applyProtection="1">
      <alignment horizontal="right"/>
      <protection locked="0"/>
    </xf>
    <xf numFmtId="0" fontId="45" fillId="0" borderId="4" xfId="7" applyFont="1" applyBorder="1" applyAlignment="1" applyProtection="1">
      <alignment horizontal="right"/>
      <protection locked="0"/>
    </xf>
    <xf numFmtId="168" fontId="45" fillId="0" borderId="4" xfId="7" applyNumberFormat="1" applyFont="1" applyBorder="1" applyAlignment="1" applyProtection="1">
      <alignment horizontal="right"/>
      <protection locked="0"/>
    </xf>
    <xf numFmtId="1" fontId="45" fillId="0" borderId="3" xfId="7" applyNumberFormat="1" applyFont="1" applyBorder="1" applyAlignment="1" applyProtection="1">
      <alignment horizontal="right"/>
      <protection locked="0"/>
    </xf>
    <xf numFmtId="1" fontId="31" fillId="0" borderId="3" xfId="7" applyNumberFormat="1" applyFont="1" applyBorder="1" applyAlignment="1" applyProtection="1">
      <alignment horizontal="right"/>
      <protection locked="0"/>
    </xf>
    <xf numFmtId="0" fontId="31" fillId="0" borderId="4" xfId="7" applyFont="1" applyBorder="1" applyAlignment="1" applyProtection="1">
      <alignment horizontal="right"/>
      <protection locked="0"/>
    </xf>
    <xf numFmtId="168" fontId="31" fillId="0" borderId="3" xfId="7" applyNumberFormat="1" applyFont="1" applyBorder="1" applyAlignment="1" applyProtection="1">
      <alignment horizontal="right"/>
      <protection locked="0"/>
    </xf>
    <xf numFmtId="168" fontId="31" fillId="0" borderId="4" xfId="7" applyNumberFormat="1" applyFont="1" applyBorder="1" applyAlignment="1" applyProtection="1">
      <alignment horizontal="right"/>
      <protection locked="0"/>
    </xf>
    <xf numFmtId="1" fontId="31" fillId="0" borderId="4" xfId="7" applyNumberFormat="1" applyFont="1" applyBorder="1" applyAlignment="1" applyProtection="1">
      <alignment horizontal="right"/>
      <protection locked="0"/>
    </xf>
    <xf numFmtId="1" fontId="45" fillId="0" borderId="4" xfId="7" applyNumberFormat="1" applyFont="1" applyBorder="1" applyAlignment="1" applyProtection="1">
      <alignment horizontal="right"/>
      <protection locked="0"/>
    </xf>
    <xf numFmtId="1" fontId="31" fillId="0" borderId="6" xfId="7" applyNumberFormat="1" applyFont="1" applyBorder="1" applyAlignment="1" applyProtection="1">
      <alignment horizontal="right"/>
      <protection locked="0"/>
    </xf>
    <xf numFmtId="0" fontId="31" fillId="0" borderId="7" xfId="7" applyFont="1" applyBorder="1" applyProtection="1">
      <protection locked="0"/>
    </xf>
    <xf numFmtId="1" fontId="31" fillId="0" borderId="7" xfId="7" applyNumberFormat="1" applyFont="1" applyBorder="1" applyAlignment="1" applyProtection="1">
      <alignment horizontal="right"/>
      <protection locked="0"/>
    </xf>
    <xf numFmtId="3" fontId="31" fillId="0" borderId="7" xfId="7" applyNumberFormat="1" applyFont="1" applyBorder="1" applyAlignment="1" applyProtection="1">
      <alignment horizontal="right"/>
      <protection locked="0"/>
    </xf>
    <xf numFmtId="0" fontId="31" fillId="0" borderId="3" xfId="7" applyFont="1" applyBorder="1" applyAlignment="1" applyProtection="1">
      <alignment horizontal="right"/>
      <protection locked="0"/>
    </xf>
    <xf numFmtId="0" fontId="46" fillId="0" borderId="0" xfId="7" applyFont="1" applyProtection="1">
      <protection locked="0"/>
    </xf>
    <xf numFmtId="0" fontId="31" fillId="0" borderId="0" xfId="848" applyFont="1" applyProtection="1">
      <protection locked="0"/>
    </xf>
    <xf numFmtId="0" fontId="15" fillId="0" borderId="0" xfId="848" applyProtection="1">
      <protection locked="0"/>
    </xf>
    <xf numFmtId="0" fontId="41" fillId="0" borderId="0" xfId="848" applyFont="1" applyProtection="1">
      <protection locked="0"/>
    </xf>
    <xf numFmtId="0" fontId="45" fillId="0" borderId="0" xfId="848" applyFont="1" applyProtection="1">
      <protection locked="0"/>
    </xf>
    <xf numFmtId="0" fontId="45" fillId="0" borderId="12" xfId="848" applyFont="1" applyBorder="1" applyProtection="1">
      <protection locked="0"/>
    </xf>
    <xf numFmtId="14" fontId="14" fillId="0" borderId="3" xfId="848" applyNumberFormat="1" applyFont="1" applyBorder="1" applyAlignment="1" applyProtection="1">
      <alignment horizontal="left"/>
      <protection locked="0"/>
    </xf>
    <xf numFmtId="0" fontId="18" fillId="0" borderId="10" xfId="848" applyFont="1" applyBorder="1" applyProtection="1">
      <protection locked="0"/>
    </xf>
    <xf numFmtId="0" fontId="18" fillId="0" borderId="8" xfId="848" applyFont="1" applyBorder="1" applyProtection="1">
      <protection locked="0"/>
    </xf>
    <xf numFmtId="0" fontId="18" fillId="0" borderId="9" xfId="848" applyFont="1" applyBorder="1" applyProtection="1">
      <protection locked="0"/>
    </xf>
    <xf numFmtId="3" fontId="45" fillId="0" borderId="1" xfId="848" applyNumberFormat="1" applyFont="1" applyBorder="1" applyProtection="1">
      <protection locked="0"/>
    </xf>
    <xf numFmtId="3" fontId="45" fillId="0" borderId="4" xfId="848" applyNumberFormat="1" applyFont="1" applyBorder="1" applyProtection="1">
      <protection locked="0"/>
    </xf>
    <xf numFmtId="3" fontId="50" fillId="0" borderId="11" xfId="848" applyNumberFormat="1" applyFont="1" applyBorder="1" applyProtection="1">
      <protection locked="0"/>
    </xf>
    <xf numFmtId="3" fontId="73" fillId="0" borderId="7" xfId="848" applyNumberFormat="1" applyFont="1" applyBorder="1" applyProtection="1">
      <protection locked="0"/>
    </xf>
    <xf numFmtId="168" fontId="16" fillId="0" borderId="3" xfId="848" applyNumberFormat="1" applyFont="1" applyBorder="1" applyAlignment="1" applyProtection="1">
      <alignment horizontal="right"/>
      <protection locked="0"/>
    </xf>
    <xf numFmtId="168" fontId="16" fillId="0" borderId="7" xfId="848" applyNumberFormat="1" applyFont="1" applyBorder="1" applyAlignment="1" applyProtection="1">
      <alignment horizontal="right"/>
      <protection locked="0"/>
    </xf>
    <xf numFmtId="168" fontId="16" fillId="0" borderId="4" xfId="848" applyNumberFormat="1" applyFont="1" applyBorder="1" applyAlignment="1" applyProtection="1">
      <alignment horizontal="right"/>
      <protection locked="0"/>
    </xf>
    <xf numFmtId="0" fontId="14" fillId="0" borderId="0" xfId="848" applyFont="1" applyProtection="1">
      <protection locked="0"/>
    </xf>
    <xf numFmtId="0" fontId="74" fillId="0" borderId="3" xfId="7" applyFont="1" applyBorder="1" applyProtection="1">
      <protection locked="0"/>
    </xf>
    <xf numFmtId="0" fontId="51" fillId="0" borderId="3" xfId="7" applyFont="1" applyBorder="1" applyProtection="1">
      <protection locked="0"/>
    </xf>
    <xf numFmtId="0" fontId="46" fillId="0" borderId="0" xfId="848" applyFont="1" applyProtection="1">
      <protection locked="0"/>
    </xf>
    <xf numFmtId="0" fontId="69" fillId="0" borderId="0" xfId="848" applyFont="1" applyProtection="1">
      <protection locked="0"/>
    </xf>
    <xf numFmtId="3" fontId="31" fillId="0" borderId="0" xfId="848" applyNumberFormat="1" applyFont="1" applyProtection="1">
      <protection locked="0"/>
    </xf>
    <xf numFmtId="0" fontId="75" fillId="0" borderId="0" xfId="848" applyFont="1" applyProtection="1">
      <protection locked="0"/>
    </xf>
    <xf numFmtId="0" fontId="61" fillId="0" borderId="0" xfId="848" applyFont="1" applyProtection="1">
      <protection locked="0"/>
    </xf>
    <xf numFmtId="0" fontId="61" fillId="0" borderId="0" xfId="7" applyFont="1" applyProtection="1">
      <protection locked="0"/>
    </xf>
    <xf numFmtId="49" fontId="60" fillId="0" borderId="12" xfId="7" applyNumberFormat="1" applyFont="1" applyBorder="1" applyProtection="1">
      <protection locked="0"/>
    </xf>
    <xf numFmtId="14" fontId="14" fillId="0" borderId="13" xfId="848" applyNumberFormat="1" applyFont="1" applyBorder="1" applyAlignment="1" applyProtection="1">
      <alignment horizontal="left"/>
      <protection locked="0"/>
    </xf>
    <xf numFmtId="168" fontId="16" fillId="0" borderId="4" xfId="848" applyNumberFormat="1" applyFont="1" applyBorder="1" applyAlignment="1">
      <alignment horizontal="right"/>
    </xf>
    <xf numFmtId="49" fontId="45" fillId="0" borderId="3" xfId="7" applyNumberFormat="1" applyFont="1" applyBorder="1" applyProtection="1">
      <protection locked="0"/>
    </xf>
    <xf numFmtId="3" fontId="16" fillId="0" borderId="3" xfId="848" applyNumberFormat="1" applyFont="1" applyBorder="1" applyAlignment="1" applyProtection="1">
      <alignment horizontal="right"/>
      <protection locked="0"/>
    </xf>
    <xf numFmtId="3" fontId="16" fillId="0" borderId="4" xfId="848" applyNumberFormat="1" applyFont="1" applyBorder="1" applyAlignment="1" applyProtection="1">
      <alignment horizontal="right"/>
      <protection locked="0"/>
    </xf>
    <xf numFmtId="1" fontId="31" fillId="0" borderId="0" xfId="848" applyNumberFormat="1" applyFont="1" applyProtection="1">
      <protection locked="0"/>
    </xf>
    <xf numFmtId="1" fontId="45" fillId="0" borderId="0" xfId="848" applyNumberFormat="1" applyFont="1" applyProtection="1">
      <protection locked="0"/>
    </xf>
    <xf numFmtId="0" fontId="20" fillId="0" borderId="0" xfId="848" applyFont="1" applyProtection="1">
      <protection locked="0"/>
    </xf>
    <xf numFmtId="3" fontId="59" fillId="4" borderId="0" xfId="0" applyNumberFormat="1" applyFont="1" applyFill="1" applyProtection="1">
      <protection locked="0"/>
    </xf>
    <xf numFmtId="3" fontId="14" fillId="0" borderId="8" xfId="0" quotePrefix="1" applyNumberFormat="1" applyFont="1" applyBorder="1" applyProtection="1">
      <protection locked="0"/>
    </xf>
    <xf numFmtId="3" fontId="14" fillId="0" borderId="9" xfId="0" quotePrefix="1" applyNumberFormat="1" applyFont="1" applyBorder="1" applyProtection="1">
      <protection locked="0"/>
    </xf>
    <xf numFmtId="3" fontId="14" fillId="0" borderId="10" xfId="0" quotePrefix="1" applyNumberFormat="1" applyFont="1" applyBorder="1" applyProtection="1">
      <protection locked="0"/>
    </xf>
    <xf numFmtId="0" fontId="18" fillId="4" borderId="0" xfId="0" applyFont="1" applyFill="1" applyProtection="1">
      <protection locked="0"/>
    </xf>
    <xf numFmtId="0" fontId="16" fillId="0" borderId="1" xfId="0" applyFont="1" applyBorder="1" applyAlignment="1" applyProtection="1">
      <alignment horizontal="center"/>
      <protection locked="0"/>
    </xf>
    <xf numFmtId="0" fontId="14" fillId="4" borderId="0" xfId="0" applyFont="1" applyFill="1" applyAlignment="1" applyProtection="1">
      <alignment horizontal="center"/>
      <protection locked="0"/>
    </xf>
    <xf numFmtId="168" fontId="14" fillId="4" borderId="0" xfId="0" applyNumberFormat="1" applyFont="1" applyFill="1" applyAlignment="1" applyProtection="1">
      <alignment horizontal="center"/>
      <protection locked="0"/>
    </xf>
    <xf numFmtId="3" fontId="45" fillId="4" borderId="11" xfId="0" applyNumberFormat="1" applyFont="1" applyFill="1" applyBorder="1" applyAlignment="1" applyProtection="1">
      <alignment horizontal="right"/>
      <protection locked="0"/>
    </xf>
    <xf numFmtId="164" fontId="20" fillId="0" borderId="0" xfId="7" applyNumberFormat="1" applyProtection="1">
      <protection locked="0"/>
    </xf>
    <xf numFmtId="3" fontId="20" fillId="0" borderId="0" xfId="7" applyNumberFormat="1" applyProtection="1">
      <protection locked="0"/>
    </xf>
    <xf numFmtId="0" fontId="60" fillId="0" borderId="12" xfId="7" applyFont="1" applyBorder="1" applyProtection="1">
      <protection locked="0"/>
    </xf>
    <xf numFmtId="14" fontId="14" fillId="0" borderId="4" xfId="7" applyNumberFormat="1" applyFont="1" applyBorder="1" applyAlignment="1" applyProtection="1">
      <alignment horizontal="left"/>
      <protection locked="0"/>
    </xf>
    <xf numFmtId="164" fontId="18" fillId="0" borderId="0" xfId="7" applyNumberFormat="1" applyFont="1" applyProtection="1">
      <protection locked="0"/>
    </xf>
    <xf numFmtId="0" fontId="18" fillId="0" borderId="0" xfId="7" applyFont="1" applyProtection="1">
      <protection locked="0"/>
    </xf>
    <xf numFmtId="168" fontId="14" fillId="0" borderId="0" xfId="7" applyNumberFormat="1" applyFont="1" applyAlignment="1" applyProtection="1">
      <alignment horizontal="center"/>
      <protection locked="0"/>
    </xf>
    <xf numFmtId="0" fontId="14" fillId="0" borderId="0" xfId="7" applyFont="1" applyAlignment="1" applyProtection="1">
      <alignment horizontal="center"/>
      <protection locked="0"/>
    </xf>
    <xf numFmtId="3" fontId="31" fillId="0" borderId="3" xfId="7" applyNumberFormat="1" applyFont="1" applyBorder="1" applyAlignment="1">
      <alignment horizontal="right"/>
    </xf>
    <xf numFmtId="3" fontId="31" fillId="0" borderId="7" xfId="7" applyNumberFormat="1" applyFont="1" applyBorder="1" applyAlignment="1">
      <alignment horizontal="right"/>
    </xf>
    <xf numFmtId="3" fontId="31" fillId="0" borderId="2" xfId="7" applyNumberFormat="1" applyFont="1" applyBorder="1" applyAlignment="1" applyProtection="1">
      <alignment horizontal="right"/>
      <protection locked="0"/>
    </xf>
    <xf numFmtId="49" fontId="45" fillId="0" borderId="4" xfId="7" applyNumberFormat="1" applyFont="1" applyBorder="1" applyProtection="1">
      <protection locked="0"/>
    </xf>
    <xf numFmtId="3" fontId="45" fillId="0" borderId="3" xfId="7" applyNumberFormat="1" applyFont="1" applyBorder="1" applyAlignment="1">
      <alignment horizontal="right"/>
    </xf>
    <xf numFmtId="3" fontId="45" fillId="0" borderId="2" xfId="7" applyNumberFormat="1" applyFont="1" applyBorder="1" applyAlignment="1" applyProtection="1">
      <alignment horizontal="right"/>
      <protection locked="0"/>
    </xf>
    <xf numFmtId="0" fontId="49" fillId="0" borderId="0" xfId="7" applyFont="1" applyProtection="1">
      <protection locked="0"/>
    </xf>
    <xf numFmtId="0" fontId="31" fillId="0" borderId="4" xfId="7" applyFont="1" applyBorder="1" applyProtection="1">
      <protection locked="0"/>
    </xf>
    <xf numFmtId="3" fontId="31" fillId="0" borderId="0" xfId="7" applyNumberFormat="1" applyFont="1" applyAlignment="1" applyProtection="1">
      <alignment horizontal="right"/>
      <protection locked="0"/>
    </xf>
    <xf numFmtId="0" fontId="31" fillId="0" borderId="11" xfId="7" applyFont="1" applyBorder="1" applyProtection="1">
      <protection locked="0"/>
    </xf>
    <xf numFmtId="3" fontId="31" fillId="0" borderId="6" xfId="7" applyNumberFormat="1" applyFont="1" applyBorder="1" applyAlignment="1">
      <alignment horizontal="right"/>
    </xf>
    <xf numFmtId="3" fontId="31" fillId="0" borderId="5" xfId="7" applyNumberFormat="1" applyFont="1" applyBorder="1" applyAlignment="1" applyProtection="1">
      <alignment horizontal="right"/>
      <protection locked="0"/>
    </xf>
    <xf numFmtId="0" fontId="45" fillId="0" borderId="4" xfId="848" applyFont="1" applyBorder="1" applyProtection="1">
      <protection locked="0"/>
    </xf>
    <xf numFmtId="3" fontId="31" fillId="0" borderId="3" xfId="848" applyNumberFormat="1" applyFont="1" applyBorder="1" applyAlignment="1">
      <alignment horizontal="right"/>
    </xf>
    <xf numFmtId="0" fontId="31" fillId="0" borderId="3" xfId="848" applyFont="1" applyBorder="1" applyAlignment="1" applyProtection="1">
      <alignment horizontal="right"/>
      <protection locked="0"/>
    </xf>
    <xf numFmtId="3" fontId="45" fillId="0" borderId="3" xfId="848" applyNumberFormat="1" applyFont="1" applyBorder="1" applyAlignment="1">
      <alignment horizontal="right"/>
    </xf>
    <xf numFmtId="0" fontId="45" fillId="0" borderId="3" xfId="848" applyFont="1" applyBorder="1" applyAlignment="1" applyProtection="1">
      <alignment horizontal="right"/>
      <protection locked="0"/>
    </xf>
    <xf numFmtId="1" fontId="45" fillId="0" borderId="3" xfId="848" applyNumberFormat="1" applyFont="1" applyBorder="1" applyAlignment="1" applyProtection="1">
      <alignment horizontal="right"/>
      <protection locked="0"/>
    </xf>
    <xf numFmtId="3" fontId="45" fillId="2" borderId="3" xfId="848" applyNumberFormat="1" applyFont="1" applyFill="1" applyBorder="1" applyAlignment="1" applyProtection="1">
      <alignment horizontal="right"/>
      <protection locked="0"/>
    </xf>
    <xf numFmtId="1" fontId="31" fillId="0" borderId="3" xfId="848" applyNumberFormat="1" applyFont="1" applyBorder="1" applyAlignment="1" applyProtection="1">
      <alignment horizontal="right"/>
      <protection locked="0"/>
    </xf>
    <xf numFmtId="3" fontId="31" fillId="2" borderId="3" xfId="848" applyNumberFormat="1" applyFont="1" applyFill="1" applyBorder="1" applyAlignment="1" applyProtection="1">
      <alignment horizontal="right"/>
      <protection locked="0"/>
    </xf>
    <xf numFmtId="3" fontId="31" fillId="2" borderId="3" xfId="848" applyNumberFormat="1" applyFont="1" applyFill="1" applyBorder="1" applyAlignment="1">
      <alignment horizontal="right"/>
    </xf>
    <xf numFmtId="3" fontId="31" fillId="0" borderId="6" xfId="848" applyNumberFormat="1" applyFont="1" applyBorder="1" applyAlignment="1">
      <alignment horizontal="right"/>
    </xf>
    <xf numFmtId="0" fontId="61" fillId="0" borderId="0" xfId="848" applyFont="1"/>
    <xf numFmtId="0" fontId="37" fillId="0" borderId="0" xfId="7" applyFont="1" applyProtection="1">
      <protection locked="0"/>
    </xf>
    <xf numFmtId="164" fontId="18" fillId="4" borderId="0" xfId="7" applyNumberFormat="1" applyFont="1" applyFill="1" applyProtection="1">
      <protection locked="0"/>
    </xf>
    <xf numFmtId="4" fontId="31" fillId="4" borderId="2" xfId="7" applyNumberFormat="1" applyFont="1" applyFill="1" applyBorder="1" applyAlignment="1">
      <alignment horizontal="right"/>
    </xf>
    <xf numFmtId="4" fontId="31" fillId="4" borderId="4" xfId="7" applyNumberFormat="1" applyFont="1" applyFill="1" applyBorder="1" applyAlignment="1">
      <alignment horizontal="right"/>
    </xf>
    <xf numFmtId="4" fontId="31" fillId="4" borderId="7" xfId="7" applyNumberFormat="1" applyFont="1" applyFill="1" applyBorder="1" applyAlignment="1">
      <alignment horizontal="right"/>
    </xf>
    <xf numFmtId="4" fontId="31" fillId="0" borderId="3" xfId="7" applyNumberFormat="1" applyFont="1" applyBorder="1" applyAlignment="1">
      <alignment horizontal="right"/>
    </xf>
    <xf numFmtId="0" fontId="53" fillId="0" borderId="0" xfId="7" applyFont="1" applyProtection="1">
      <protection locked="0"/>
    </xf>
    <xf numFmtId="3" fontId="31" fillId="4" borderId="2" xfId="7" applyNumberFormat="1" applyFont="1" applyFill="1" applyBorder="1" applyAlignment="1">
      <alignment horizontal="right"/>
    </xf>
    <xf numFmtId="3" fontId="31" fillId="4" borderId="5" xfId="7" applyNumberFormat="1" applyFont="1" applyFill="1" applyBorder="1" applyAlignment="1">
      <alignment horizontal="right"/>
    </xf>
    <xf numFmtId="4" fontId="31" fillId="0" borderId="2" xfId="7" applyNumberFormat="1" applyFont="1" applyBorder="1" applyAlignment="1" applyProtection="1">
      <alignment horizontal="right"/>
      <protection locked="0"/>
    </xf>
    <xf numFmtId="4" fontId="45" fillId="0" borderId="2" xfId="7" applyNumberFormat="1" applyFont="1" applyBorder="1" applyAlignment="1" applyProtection="1">
      <alignment horizontal="right"/>
      <protection locked="0"/>
    </xf>
    <xf numFmtId="4" fontId="31" fillId="0" borderId="0" xfId="7" applyNumberFormat="1" applyFont="1" applyAlignment="1" applyProtection="1">
      <alignment horizontal="right"/>
      <protection locked="0"/>
    </xf>
    <xf numFmtId="0" fontId="80" fillId="0" borderId="0" xfId="0" applyFont="1"/>
    <xf numFmtId="14" fontId="14" fillId="0" borderId="6" xfId="0" applyNumberFormat="1" applyFont="1" applyBorder="1" applyAlignment="1">
      <alignment horizontal="left"/>
    </xf>
    <xf numFmtId="14" fontId="14" fillId="0" borderId="3" xfId="0" applyNumberFormat="1" applyFont="1" applyBorder="1" applyAlignment="1">
      <alignment horizontal="center"/>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4" borderId="0" xfId="0" applyFont="1" applyFill="1" applyAlignment="1" applyProtection="1">
      <alignment horizontal="center"/>
      <protection locked="0"/>
    </xf>
    <xf numFmtId="0" fontId="45" fillId="0" borderId="0" xfId="7" applyFont="1" applyAlignment="1" applyProtection="1">
      <alignment horizontal="center"/>
      <protection locked="0"/>
    </xf>
    <xf numFmtId="0" fontId="45" fillId="4" borderId="0" xfId="7" applyFont="1" applyFill="1" applyAlignment="1" applyProtection="1">
      <alignment horizontal="center"/>
      <protection locked="0"/>
    </xf>
    <xf numFmtId="0" fontId="69" fillId="0" borderId="0" xfId="0" applyFont="1"/>
    <xf numFmtId="0" fontId="19" fillId="0" borderId="0" xfId="0" applyFont="1"/>
    <xf numFmtId="1" fontId="31" fillId="0" borderId="11" xfId="7" applyNumberFormat="1" applyFont="1" applyBorder="1" applyAlignment="1" applyProtection="1">
      <alignment horizontal="right"/>
      <protection locked="0"/>
    </xf>
    <xf numFmtId="3" fontId="45" fillId="0" borderId="0" xfId="0" applyNumberFormat="1" applyFont="1" applyProtection="1">
      <protection locked="0"/>
    </xf>
    <xf numFmtId="0" fontId="18" fillId="0" borderId="0" xfId="7" applyFont="1" applyAlignment="1">
      <alignment horizontal="right"/>
    </xf>
    <xf numFmtId="0" fontId="15" fillId="0" borderId="0" xfId="7" applyFont="1" applyAlignment="1">
      <alignment wrapText="1"/>
    </xf>
    <xf numFmtId="0" fontId="31" fillId="0" borderId="6" xfId="7" applyFont="1" applyBorder="1" applyAlignment="1" applyProtection="1">
      <alignment horizontal="center"/>
      <protection locked="0"/>
    </xf>
    <xf numFmtId="4" fontId="45" fillId="0" borderId="3" xfId="1" applyNumberFormat="1" applyFont="1" applyBorder="1" applyAlignment="1" applyProtection="1">
      <alignment horizontal="right"/>
      <protection locked="0"/>
    </xf>
    <xf numFmtId="4" fontId="45" fillId="0" borderId="2" xfId="1" applyNumberFormat="1" applyFont="1" applyBorder="1" applyAlignment="1" applyProtection="1">
      <alignment horizontal="right"/>
      <protection locked="0"/>
    </xf>
    <xf numFmtId="3" fontId="45" fillId="0" borderId="3" xfId="1" applyNumberFormat="1" applyFont="1" applyBorder="1" applyAlignment="1" applyProtection="1">
      <alignment horizontal="right"/>
      <protection locked="0"/>
    </xf>
    <xf numFmtId="4" fontId="45" fillId="0" borderId="4" xfId="7" applyNumberFormat="1" applyFont="1" applyBorder="1" applyAlignment="1" applyProtection="1">
      <alignment horizontal="right"/>
      <protection locked="0"/>
    </xf>
    <xf numFmtId="4" fontId="31" fillId="0" borderId="3" xfId="1" applyNumberFormat="1" applyFont="1" applyBorder="1" applyAlignment="1" applyProtection="1">
      <alignment horizontal="right"/>
      <protection locked="0"/>
    </xf>
    <xf numFmtId="4" fontId="31" fillId="0" borderId="0" xfId="1" applyNumberFormat="1" applyFont="1" applyAlignment="1" applyProtection="1">
      <alignment horizontal="right"/>
      <protection locked="0"/>
    </xf>
    <xf numFmtId="4" fontId="31" fillId="0" borderId="4" xfId="1" applyNumberFormat="1" applyFont="1" applyBorder="1" applyAlignment="1" applyProtection="1">
      <alignment horizontal="right"/>
      <protection locked="0"/>
    </xf>
    <xf numFmtId="3" fontId="31" fillId="0" borderId="3" xfId="1" applyNumberFormat="1" applyFont="1" applyBorder="1" applyAlignment="1" applyProtection="1">
      <alignment horizontal="right"/>
      <protection locked="0"/>
    </xf>
    <xf numFmtId="4" fontId="31" fillId="0" borderId="3" xfId="1" applyNumberFormat="1" applyFont="1" applyBorder="1" applyAlignment="1">
      <alignment horizontal="right"/>
    </xf>
    <xf numFmtId="4" fontId="31" fillId="0" borderId="0" xfId="1" applyNumberFormat="1" applyFont="1" applyAlignment="1">
      <alignment horizontal="right"/>
    </xf>
    <xf numFmtId="4" fontId="31" fillId="0" borderId="4" xfId="1" applyNumberFormat="1" applyFont="1" applyBorder="1" applyAlignment="1">
      <alignment horizontal="right"/>
    </xf>
    <xf numFmtId="4" fontId="31" fillId="0" borderId="2" xfId="1" applyNumberFormat="1" applyFont="1" applyBorder="1" applyAlignment="1" applyProtection="1">
      <alignment horizontal="right"/>
      <protection locked="0"/>
    </xf>
    <xf numFmtId="4" fontId="31" fillId="0" borderId="2" xfId="1" applyNumberFormat="1" applyFont="1" applyBorder="1" applyAlignment="1">
      <alignment horizontal="right"/>
    </xf>
    <xf numFmtId="4" fontId="31" fillId="0" borderId="6" xfId="7" applyNumberFormat="1" applyFont="1" applyBorder="1" applyAlignment="1" applyProtection="1">
      <alignment horizontal="right"/>
      <protection locked="0"/>
    </xf>
    <xf numFmtId="4" fontId="31" fillId="0" borderId="6" xfId="1" applyNumberFormat="1" applyFont="1" applyBorder="1" applyAlignment="1">
      <alignment horizontal="right"/>
    </xf>
    <xf numFmtId="4" fontId="31" fillId="0" borderId="5" xfId="1" applyNumberFormat="1" applyFont="1" applyBorder="1" applyAlignment="1">
      <alignment horizontal="right"/>
    </xf>
    <xf numFmtId="4" fontId="31" fillId="0" borderId="11" xfId="7" applyNumberFormat="1" applyFont="1" applyBorder="1" applyAlignment="1" applyProtection="1">
      <alignment horizontal="right"/>
      <protection locked="0"/>
    </xf>
    <xf numFmtId="4" fontId="31" fillId="0" borderId="6" xfId="1" applyNumberFormat="1" applyFont="1" applyBorder="1" applyAlignment="1" applyProtection="1">
      <alignment horizontal="right"/>
      <protection locked="0"/>
    </xf>
    <xf numFmtId="3" fontId="31" fillId="0" borderId="6" xfId="1" applyNumberFormat="1" applyFont="1" applyBorder="1" applyAlignment="1" applyProtection="1">
      <alignment horizontal="right"/>
      <protection locked="0"/>
    </xf>
    <xf numFmtId="0" fontId="76" fillId="0" borderId="0" xfId="7" applyFont="1" applyProtection="1">
      <protection locked="0"/>
    </xf>
    <xf numFmtId="3" fontId="31" fillId="4" borderId="7" xfId="0" applyNumberFormat="1" applyFont="1" applyFill="1" applyBorder="1" applyAlignment="1">
      <alignment horizontal="right"/>
    </xf>
    <xf numFmtId="165" fontId="31" fillId="4" borderId="3" xfId="847" applyNumberFormat="1" applyFont="1" applyFill="1" applyBorder="1" applyAlignment="1" applyProtection="1">
      <alignment horizontal="right"/>
    </xf>
    <xf numFmtId="0" fontId="31" fillId="0" borderId="3" xfId="0" applyFont="1" applyBorder="1" applyAlignment="1">
      <alignment horizontal="right"/>
    </xf>
    <xf numFmtId="3" fontId="45"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xf>
    <xf numFmtId="3" fontId="45" fillId="0" borderId="1" xfId="15" applyNumberFormat="1" applyFont="1" applyFill="1" applyBorder="1" applyAlignment="1" applyProtection="1">
      <alignment horizontal="right"/>
    </xf>
    <xf numFmtId="3" fontId="45" fillId="0" borderId="1" xfId="15" applyNumberFormat="1" applyFont="1" applyFill="1" applyBorder="1" applyAlignment="1" applyProtection="1">
      <alignment horizontal="right"/>
      <protection locked="0"/>
    </xf>
    <xf numFmtId="0" fontId="31" fillId="0" borderId="6" xfId="0" applyFont="1" applyBorder="1"/>
    <xf numFmtId="0" fontId="31" fillId="0" borderId="6" xfId="0" applyFont="1" applyBorder="1" applyProtection="1">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3" fontId="31" fillId="4" borderId="1" xfId="0" applyNumberFormat="1" applyFont="1" applyFill="1" applyBorder="1" applyAlignment="1">
      <alignment horizontal="right"/>
    </xf>
    <xf numFmtId="169" fontId="31" fillId="0" borderId="3" xfId="847" applyNumberFormat="1" applyFont="1" applyBorder="1" applyAlignment="1" applyProtection="1">
      <alignment horizontal="right"/>
    </xf>
    <xf numFmtId="3" fontId="45" fillId="4" borderId="1" xfId="15" applyNumberFormat="1" applyFont="1" applyFill="1" applyBorder="1" applyAlignment="1" applyProtection="1">
      <alignment horizontal="right"/>
    </xf>
    <xf numFmtId="1" fontId="31" fillId="0" borderId="3" xfId="0" applyNumberFormat="1" applyFont="1" applyBorder="1"/>
    <xf numFmtId="1" fontId="31" fillId="0" borderId="6" xfId="0" applyNumberFormat="1" applyFont="1" applyBorder="1"/>
    <xf numFmtId="165" fontId="31" fillId="0" borderId="3" xfId="2" applyNumberFormat="1" applyFont="1" applyBorder="1" applyProtection="1">
      <protection locked="0"/>
    </xf>
    <xf numFmtId="165" fontId="31" fillId="0" borderId="6" xfId="2" applyNumberFormat="1" applyFont="1" applyBorder="1" applyProtection="1">
      <protection locked="0"/>
    </xf>
    <xf numFmtId="0" fontId="14" fillId="0" borderId="4" xfId="7" applyFont="1" applyBorder="1" applyAlignment="1">
      <alignment horizontal="center"/>
    </xf>
    <xf numFmtId="3" fontId="31" fillId="0" borderId="11" xfId="7" applyNumberFormat="1" applyFont="1" applyBorder="1" applyAlignment="1">
      <alignment horizontal="right"/>
    </xf>
    <xf numFmtId="3" fontId="31" fillId="0" borderId="1" xfId="7" applyNumberFormat="1" applyFont="1" applyBorder="1" applyAlignment="1">
      <alignment horizontal="right"/>
    </xf>
    <xf numFmtId="3" fontId="56" fillId="0" borderId="0" xfId="1" applyNumberFormat="1" applyFont="1" applyAlignment="1">
      <alignment horizontal="left"/>
    </xf>
    <xf numFmtId="3" fontId="31" fillId="0" borderId="2" xfId="7" applyNumberFormat="1" applyFont="1" applyBorder="1" applyAlignment="1">
      <alignment horizontal="right"/>
    </xf>
    <xf numFmtId="165" fontId="31" fillId="0" borderId="3" xfId="847" applyNumberFormat="1" applyFont="1" applyBorder="1" applyAlignment="1" applyProtection="1">
      <alignment horizontal="right"/>
    </xf>
    <xf numFmtId="165" fontId="31" fillId="4" borderId="4" xfId="847" applyNumberFormat="1" applyFont="1" applyFill="1" applyBorder="1" applyAlignment="1" applyProtection="1">
      <alignment horizontal="right"/>
    </xf>
    <xf numFmtId="3" fontId="45" fillId="0" borderId="7" xfId="0" applyNumberFormat="1" applyFont="1" applyBorder="1" applyAlignment="1" applyProtection="1">
      <alignment horizontal="right"/>
      <protection locked="0"/>
    </xf>
    <xf numFmtId="164" fontId="31" fillId="0" borderId="4" xfId="848" applyNumberFormat="1" applyFont="1" applyBorder="1" applyAlignment="1">
      <alignment horizontal="right"/>
    </xf>
    <xf numFmtId="164" fontId="45" fillId="0" borderId="4" xfId="848" applyNumberFormat="1" applyFont="1" applyBorder="1" applyAlignment="1">
      <alignment horizontal="right"/>
    </xf>
    <xf numFmtId="0" fontId="45" fillId="0" borderId="12" xfId="848" applyFont="1" applyBorder="1" applyAlignment="1" applyProtection="1">
      <alignment horizontal="center"/>
      <protection locked="0"/>
    </xf>
    <xf numFmtId="0" fontId="45" fillId="0" borderId="5" xfId="848" applyFont="1" applyBorder="1" applyAlignment="1" applyProtection="1">
      <alignment horizontal="center"/>
      <protection locked="0"/>
    </xf>
    <xf numFmtId="0" fontId="45" fillId="0" borderId="14" xfId="848" applyFont="1" applyBorder="1" applyAlignment="1" applyProtection="1">
      <alignment horizontal="center"/>
      <protection locked="0"/>
    </xf>
    <xf numFmtId="0" fontId="45" fillId="0" borderId="15" xfId="848" applyFont="1" applyBorder="1" applyAlignment="1" applyProtection="1">
      <alignment horizontal="center"/>
      <protection locked="0"/>
    </xf>
    <xf numFmtId="0" fontId="84" fillId="0" borderId="6" xfId="0" applyFont="1" applyBorder="1" applyProtection="1">
      <protection locked="0"/>
    </xf>
    <xf numFmtId="1" fontId="31" fillId="0" borderId="3" xfId="0" applyNumberFormat="1" applyFont="1" applyBorder="1" applyProtection="1">
      <protection locked="0"/>
    </xf>
    <xf numFmtId="3" fontId="31" fillId="0" borderId="6" xfId="0" applyNumberFormat="1" applyFont="1" applyBorder="1"/>
    <xf numFmtId="1" fontId="31" fillId="0" borderId="6" xfId="0" applyNumberFormat="1" applyFont="1" applyBorder="1" applyProtection="1">
      <protection locked="0"/>
    </xf>
    <xf numFmtId="3" fontId="31" fillId="10" borderId="4" xfId="7" applyNumberFormat="1" applyFont="1" applyFill="1" applyBorder="1" applyAlignment="1">
      <alignment horizontal="right"/>
    </xf>
    <xf numFmtId="3" fontId="45" fillId="10" borderId="4" xfId="7" applyNumberFormat="1" applyFont="1" applyFill="1" applyBorder="1" applyAlignment="1">
      <alignment horizontal="right"/>
    </xf>
    <xf numFmtId="3" fontId="31" fillId="10" borderId="4" xfId="7" applyNumberFormat="1" applyFont="1" applyFill="1" applyBorder="1" applyAlignment="1" applyProtection="1">
      <alignment horizontal="right"/>
      <protection locked="0"/>
    </xf>
    <xf numFmtId="3" fontId="31" fillId="10" borderId="4" xfId="848" applyNumberFormat="1" applyFont="1" applyFill="1" applyBorder="1" applyAlignment="1">
      <alignment horizontal="right"/>
    </xf>
    <xf numFmtId="3" fontId="45" fillId="10" borderId="4" xfId="848" applyNumberFormat="1" applyFont="1" applyFill="1" applyBorder="1" applyAlignment="1">
      <alignment horizontal="right"/>
    </xf>
    <xf numFmtId="3" fontId="31" fillId="10" borderId="11" xfId="848" applyNumberFormat="1" applyFont="1" applyFill="1" applyBorder="1" applyAlignment="1">
      <alignment horizontal="right"/>
    </xf>
    <xf numFmtId="1" fontId="31" fillId="0" borderId="3" xfId="0" applyNumberFormat="1" applyFont="1" applyBorder="1" applyAlignment="1">
      <alignment horizontal="right"/>
    </xf>
    <xf numFmtId="3" fontId="31" fillId="10" borderId="1" xfId="0" applyNumberFormat="1" applyFont="1" applyFill="1" applyBorder="1" applyAlignment="1" applyProtection="1">
      <alignment horizontal="right"/>
      <protection locked="0"/>
    </xf>
    <xf numFmtId="3" fontId="31" fillId="10" borderId="4" xfId="0" applyNumberFormat="1" applyFont="1" applyFill="1" applyBorder="1" applyAlignment="1" applyProtection="1">
      <alignment horizontal="right"/>
      <protection locked="0"/>
    </xf>
    <xf numFmtId="3" fontId="31" fillId="10" borderId="3" xfId="0" applyNumberFormat="1" applyFont="1" applyFill="1" applyBorder="1" applyAlignment="1" applyProtection="1">
      <alignment horizontal="right"/>
      <protection locked="0"/>
    </xf>
    <xf numFmtId="3" fontId="45" fillId="10" borderId="6" xfId="0" applyNumberFormat="1" applyFont="1" applyFill="1" applyBorder="1" applyAlignment="1" applyProtection="1">
      <alignment horizontal="right"/>
      <protection locked="0"/>
    </xf>
    <xf numFmtId="3" fontId="45" fillId="10" borderId="4" xfId="15" applyNumberFormat="1" applyFont="1" applyFill="1" applyBorder="1" applyAlignment="1" applyProtection="1">
      <alignment horizontal="right"/>
      <protection locked="0"/>
    </xf>
    <xf numFmtId="3" fontId="31" fillId="10" borderId="4" xfId="15" applyNumberFormat="1" applyFont="1" applyFill="1" applyBorder="1" applyAlignment="1" applyProtection="1">
      <alignment horizontal="right"/>
      <protection locked="0"/>
    </xf>
    <xf numFmtId="3" fontId="45" fillId="10" borderId="11" xfId="15" applyNumberFormat="1" applyFont="1" applyFill="1" applyBorder="1" applyAlignment="1" applyProtection="1">
      <alignment horizontal="right"/>
      <protection locked="0"/>
    </xf>
    <xf numFmtId="3" fontId="45" fillId="10" borderId="1" xfId="15" applyNumberFormat="1" applyFont="1" applyFill="1" applyBorder="1" applyAlignment="1" applyProtection="1">
      <alignment horizontal="right"/>
      <protection locked="0"/>
    </xf>
    <xf numFmtId="0" fontId="31" fillId="10" borderId="3" xfId="0" applyFont="1" applyFill="1" applyBorder="1" applyProtection="1">
      <protection locked="0"/>
    </xf>
    <xf numFmtId="0" fontId="14" fillId="10" borderId="4" xfId="7" applyFont="1" applyFill="1" applyBorder="1" applyAlignment="1" applyProtection="1">
      <alignment horizontal="center"/>
      <protection locked="0"/>
    </xf>
    <xf numFmtId="3" fontId="45" fillId="10" borderId="4" xfId="7" applyNumberFormat="1" applyFont="1" applyFill="1" applyBorder="1" applyAlignment="1" applyProtection="1">
      <alignment horizontal="right"/>
      <protection locked="0"/>
    </xf>
    <xf numFmtId="3" fontId="31" fillId="10" borderId="11" xfId="7" applyNumberFormat="1" applyFont="1" applyFill="1" applyBorder="1" applyAlignment="1" applyProtection="1">
      <alignment horizontal="right"/>
      <protection locked="0"/>
    </xf>
    <xf numFmtId="3" fontId="31" fillId="10" borderId="1" xfId="7" applyNumberFormat="1" applyFont="1" applyFill="1" applyBorder="1" applyAlignment="1" applyProtection="1">
      <alignment horizontal="right"/>
      <protection locked="0"/>
    </xf>
    <xf numFmtId="0" fontId="16" fillId="10" borderId="4" xfId="7" applyFont="1" applyFill="1" applyBorder="1" applyAlignment="1">
      <alignment horizontal="right"/>
    </xf>
    <xf numFmtId="0" fontId="16" fillId="10" borderId="4" xfId="7" applyFont="1" applyFill="1" applyBorder="1" applyAlignment="1" applyProtection="1">
      <alignment horizontal="right"/>
      <protection locked="0"/>
    </xf>
    <xf numFmtId="3" fontId="31" fillId="10" borderId="4" xfId="848" applyNumberFormat="1" applyFont="1" applyFill="1" applyBorder="1" applyAlignment="1" applyProtection="1">
      <alignment horizontal="right"/>
      <protection locked="0"/>
    </xf>
    <xf numFmtId="3" fontId="45" fillId="10" borderId="4" xfId="848" applyNumberFormat="1" applyFont="1" applyFill="1" applyBorder="1" applyAlignment="1" applyProtection="1">
      <alignment horizontal="right"/>
      <protection locked="0"/>
    </xf>
    <xf numFmtId="3" fontId="31" fillId="10" borderId="11" xfId="848" applyNumberFormat="1" applyFont="1" applyFill="1" applyBorder="1" applyAlignment="1" applyProtection="1">
      <alignment horizontal="right"/>
      <protection locked="0"/>
    </xf>
    <xf numFmtId="3" fontId="16" fillId="10" borderId="4" xfId="7" applyNumberFormat="1" applyFont="1" applyFill="1" applyBorder="1" applyAlignment="1" applyProtection="1">
      <alignment horizontal="right"/>
      <protection locked="0"/>
    </xf>
    <xf numFmtId="3" fontId="45" fillId="10" borderId="3" xfId="0" applyNumberFormat="1" applyFont="1" applyFill="1" applyBorder="1" applyAlignment="1">
      <alignment horizontal="right"/>
    </xf>
    <xf numFmtId="3" fontId="45" fillId="10" borderId="3" xfId="0" applyNumberFormat="1" applyFont="1" applyFill="1" applyBorder="1" applyAlignment="1" applyProtection="1">
      <alignment horizontal="right"/>
      <protection locked="0"/>
    </xf>
    <xf numFmtId="3" fontId="31" fillId="10" borderId="3" xfId="0" applyNumberFormat="1" applyFont="1" applyFill="1" applyBorder="1" applyAlignment="1">
      <alignment horizontal="right"/>
    </xf>
    <xf numFmtId="3" fontId="31" fillId="10" borderId="4" xfId="0" applyNumberFormat="1" applyFont="1" applyFill="1" applyBorder="1" applyAlignment="1">
      <alignment horizontal="right"/>
    </xf>
    <xf numFmtId="164" fontId="31" fillId="10" borderId="3" xfId="0" applyNumberFormat="1" applyFont="1" applyFill="1" applyBorder="1" applyAlignment="1" applyProtection="1">
      <alignment horizontal="right"/>
      <protection locked="0"/>
    </xf>
    <xf numFmtId="3" fontId="45" fillId="10" borderId="6" xfId="0" applyNumberFormat="1" applyFont="1" applyFill="1" applyBorder="1" applyAlignment="1">
      <alignment horizontal="right"/>
    </xf>
    <xf numFmtId="4" fontId="31" fillId="10" borderId="3" xfId="7" applyNumberFormat="1" applyFont="1" applyFill="1" applyBorder="1" applyAlignment="1" applyProtection="1">
      <alignment horizontal="right"/>
      <protection locked="0"/>
    </xf>
    <xf numFmtId="3" fontId="31" fillId="10" borderId="3" xfId="7" applyNumberFormat="1" applyFont="1" applyFill="1" applyBorder="1" applyAlignment="1" applyProtection="1">
      <alignment horizontal="right"/>
      <protection locked="0"/>
    </xf>
    <xf numFmtId="3" fontId="31" fillId="10" borderId="6" xfId="7" applyNumberFormat="1" applyFont="1" applyFill="1" applyBorder="1" applyAlignment="1" applyProtection="1">
      <alignment horizontal="right"/>
      <protection locked="0"/>
    </xf>
    <xf numFmtId="4" fontId="45" fillId="10" borderId="3" xfId="7" applyNumberFormat="1" applyFont="1" applyFill="1" applyBorder="1" applyAlignment="1" applyProtection="1">
      <alignment horizontal="right"/>
      <protection locked="0"/>
    </xf>
    <xf numFmtId="4" fontId="45" fillId="10" borderId="4" xfId="7" applyNumberFormat="1" applyFont="1" applyFill="1" applyBorder="1" applyAlignment="1" applyProtection="1">
      <alignment horizontal="right"/>
      <protection locked="0"/>
    </xf>
    <xf numFmtId="4" fontId="31" fillId="10" borderId="4" xfId="7" applyNumberFormat="1" applyFont="1" applyFill="1" applyBorder="1" applyAlignment="1" applyProtection="1">
      <alignment horizontal="right"/>
      <protection locked="0"/>
    </xf>
    <xf numFmtId="4" fontId="85" fillId="0" borderId="3" xfId="7" applyNumberFormat="1" applyFont="1" applyBorder="1" applyAlignment="1" applyProtection="1">
      <alignment horizontal="right"/>
      <protection locked="0"/>
    </xf>
    <xf numFmtId="3" fontId="16" fillId="0" borderId="0" xfId="0" applyNumberFormat="1" applyFont="1" applyProtection="1">
      <protection locked="0"/>
    </xf>
    <xf numFmtId="4" fontId="31" fillId="0" borderId="7" xfId="7" applyNumberFormat="1" applyFont="1" applyBorder="1" applyAlignment="1" applyProtection="1">
      <alignment horizontal="right"/>
      <protection locked="0"/>
    </xf>
    <xf numFmtId="0" fontId="81" fillId="0" borderId="4" xfId="7" applyFont="1" applyBorder="1" applyProtection="1">
      <protection locked="0"/>
    </xf>
    <xf numFmtId="0" fontId="81" fillId="0" borderId="4" xfId="7" applyFont="1" applyBorder="1" applyAlignment="1" applyProtection="1">
      <alignment horizontal="center"/>
      <protection locked="0"/>
    </xf>
    <xf numFmtId="0" fontId="79" fillId="0" borderId="4" xfId="7" applyFont="1" applyBorder="1" applyAlignment="1" applyProtection="1">
      <alignment horizontal="center"/>
      <protection locked="0"/>
    </xf>
    <xf numFmtId="0" fontId="79" fillId="0" borderId="4" xfId="7" applyFont="1" applyBorder="1" applyAlignment="1" applyProtection="1">
      <alignment horizontal="left"/>
      <protection locked="0"/>
    </xf>
    <xf numFmtId="0" fontId="79" fillId="0" borderId="4" xfId="7" applyFont="1" applyBorder="1" applyProtection="1">
      <protection locked="0"/>
    </xf>
    <xf numFmtId="3" fontId="71" fillId="0" borderId="0" xfId="1" applyNumberFormat="1" applyFont="1" applyAlignment="1">
      <alignment horizontal="center"/>
    </xf>
    <xf numFmtId="49" fontId="81" fillId="0" borderId="3" xfId="7" applyNumberFormat="1" applyFont="1" applyBorder="1" applyProtection="1">
      <protection locked="0"/>
    </xf>
    <xf numFmtId="3" fontId="74" fillId="0" borderId="3" xfId="7" applyNumberFormat="1" applyFont="1" applyBorder="1" applyAlignment="1">
      <alignment horizontal="right"/>
    </xf>
    <xf numFmtId="49" fontId="81" fillId="0" borderId="4" xfId="7" applyNumberFormat="1" applyFont="1" applyBorder="1" applyProtection="1">
      <protection locked="0"/>
    </xf>
    <xf numFmtId="49" fontId="31" fillId="0" borderId="4" xfId="7" applyNumberFormat="1" applyFont="1" applyBorder="1" applyProtection="1">
      <protection locked="0"/>
    </xf>
    <xf numFmtId="49" fontId="45" fillId="0" borderId="4" xfId="7" applyNumberFormat="1" applyFont="1" applyBorder="1" applyAlignment="1" applyProtection="1">
      <alignment wrapText="1"/>
      <protection locked="0"/>
    </xf>
    <xf numFmtId="0" fontId="20" fillId="0" borderId="3" xfId="0" applyFont="1" applyBorder="1" applyProtection="1">
      <protection locked="0"/>
    </xf>
    <xf numFmtId="0" fontId="79" fillId="0" borderId="4" xfId="0" applyFont="1" applyBorder="1" applyProtection="1">
      <protection locked="0"/>
    </xf>
    <xf numFmtId="0" fontId="31" fillId="0" borderId="3" xfId="7" applyFont="1" applyBorder="1" applyAlignment="1" applyProtection="1">
      <alignment wrapText="1"/>
      <protection locked="0"/>
    </xf>
    <xf numFmtId="0" fontId="31" fillId="0" borderId="4" xfId="0" applyFont="1" applyBorder="1" applyAlignment="1" applyProtection="1">
      <alignment wrapText="1"/>
      <protection locked="0"/>
    </xf>
    <xf numFmtId="0" fontId="45" fillId="0" borderId="3" xfId="0" applyFont="1" applyBorder="1" applyProtection="1">
      <protection locked="0"/>
    </xf>
    <xf numFmtId="0" fontId="45" fillId="0" borderId="6" xfId="0" applyFont="1" applyBorder="1" applyProtection="1">
      <protection locked="0"/>
    </xf>
    <xf numFmtId="3" fontId="49" fillId="0" borderId="0" xfId="0" applyNumberFormat="1" applyFont="1" applyProtection="1">
      <protection locked="0"/>
    </xf>
    <xf numFmtId="3" fontId="20" fillId="0" borderId="0" xfId="0" applyNumberFormat="1" applyFont="1" applyProtection="1">
      <protection locked="0"/>
    </xf>
    <xf numFmtId="3" fontId="18" fillId="0" borderId="8" xfId="1" applyNumberFormat="1" applyFont="1" applyBorder="1"/>
    <xf numFmtId="3" fontId="16" fillId="0" borderId="6" xfId="1" applyNumberFormat="1" applyFont="1" applyBorder="1"/>
    <xf numFmtId="3" fontId="16" fillId="0" borderId="11" xfId="1" applyNumberFormat="1" applyFont="1" applyBorder="1"/>
    <xf numFmtId="3" fontId="45" fillId="0" borderId="3" xfId="0" quotePrefix="1" applyNumberFormat="1" applyFont="1" applyBorder="1" applyAlignment="1">
      <alignment horizontal="right"/>
    </xf>
    <xf numFmtId="0" fontId="16" fillId="8" borderId="0" xfId="0" applyFont="1" applyFill="1" applyAlignment="1">
      <alignment horizontal="center"/>
    </xf>
    <xf numFmtId="0" fontId="16"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6"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4" fillId="0" borderId="11" xfId="0" applyNumberFormat="1" applyFont="1" applyBorder="1" applyAlignment="1">
      <alignment horizontal="center"/>
    </xf>
    <xf numFmtId="14" fontId="14" fillId="0" borderId="12" xfId="0" applyNumberFormat="1" applyFont="1" applyBorder="1" applyAlignment="1">
      <alignment horizontal="center"/>
    </xf>
    <xf numFmtId="14" fontId="14" fillId="0" borderId="5" xfId="0" applyNumberFormat="1" applyFont="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Alignment="1">
      <alignment horizontal="center"/>
    </xf>
    <xf numFmtId="3" fontId="14" fillId="0" borderId="14" xfId="1" applyNumberFormat="1" applyFont="1" applyBorder="1" applyAlignment="1">
      <alignment horizontal="center"/>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1" xfId="848" applyFont="1" applyBorder="1" applyAlignment="1" applyProtection="1">
      <alignment horizontal="center"/>
      <protection locked="0"/>
    </xf>
    <xf numFmtId="0" fontId="45" fillId="0" borderId="12" xfId="848" applyFont="1" applyBorder="1" applyAlignment="1" applyProtection="1">
      <alignment horizontal="center"/>
      <protection locked="0"/>
    </xf>
    <xf numFmtId="0" fontId="45" fillId="0" borderId="5" xfId="848" applyFont="1" applyBorder="1" applyAlignment="1" applyProtection="1">
      <alignment horizontal="center"/>
      <protection locked="0"/>
    </xf>
    <xf numFmtId="0" fontId="45" fillId="4" borderId="0" xfId="0" applyFont="1" applyFill="1" applyAlignment="1" applyProtection="1">
      <alignment horizontal="center"/>
      <protection locked="0"/>
    </xf>
    <xf numFmtId="0" fontId="45" fillId="0" borderId="0" xfId="7" applyFont="1" applyAlignment="1" applyProtection="1">
      <alignment horizontal="center"/>
      <protection locked="0"/>
    </xf>
    <xf numFmtId="0" fontId="45" fillId="0" borderId="1" xfId="848" applyFont="1" applyBorder="1" applyAlignment="1" applyProtection="1">
      <alignment horizontal="center"/>
      <protection locked="0"/>
    </xf>
    <xf numFmtId="0" fontId="45" fillId="0" borderId="14" xfId="848" applyFont="1" applyBorder="1" applyAlignment="1" applyProtection="1">
      <alignment horizontal="center"/>
      <protection locked="0"/>
    </xf>
    <xf numFmtId="0" fontId="45" fillId="0" borderId="15" xfId="848" applyFont="1" applyBorder="1" applyAlignment="1" applyProtection="1">
      <alignment horizontal="center"/>
      <protection locked="0"/>
    </xf>
    <xf numFmtId="0" fontId="45" fillId="4" borderId="0" xfId="7" applyFont="1" applyFill="1" applyAlignment="1" applyProtection="1">
      <alignment horizontal="center"/>
      <protection locked="0"/>
    </xf>
    <xf numFmtId="0" fontId="68" fillId="0" borderId="0" xfId="0" applyFont="1" applyAlignment="1">
      <alignment horizontal="left" vertical="top" wrapText="1" readingOrder="1"/>
    </xf>
  </cellXfs>
  <cellStyles count="853">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2"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133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2023</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Figurer!$M$8:$M$30</c:f>
              <c:numCache>
                <c:formatCode>#,##0</c:formatCode>
                <c:ptCount val="23"/>
                <c:pt idx="0">
                  <c:v>3324348</c:v>
                </c:pt>
                <c:pt idx="1">
                  <c:v>458948</c:v>
                </c:pt>
                <c:pt idx="2">
                  <c:v>45333</c:v>
                </c:pt>
                <c:pt idx="3">
                  <c:v>3522711.4512299998</c:v>
                </c:pt>
                <c:pt idx="4">
                  <c:v>555601</c:v>
                </c:pt>
                <c:pt idx="5">
                  <c:v>9340.8760000000002</c:v>
                </c:pt>
                <c:pt idx="6">
                  <c:v>2207185.0870000003</c:v>
                </c:pt>
                <c:pt idx="7">
                  <c:v>933569</c:v>
                </c:pt>
                <c:pt idx="8">
                  <c:v>655938.89034121204</c:v>
                </c:pt>
                <c:pt idx="9">
                  <c:v>69993489.364010006</c:v>
                </c:pt>
                <c:pt idx="10">
                  <c:v>343058.73300000001</c:v>
                </c:pt>
                <c:pt idx="11">
                  <c:v>106120</c:v>
                </c:pt>
                <c:pt idx="12">
                  <c:v>27118</c:v>
                </c:pt>
                <c:pt idx="13">
                  <c:v>1776249.505460812</c:v>
                </c:pt>
                <c:pt idx="14">
                  <c:v>0</c:v>
                </c:pt>
                <c:pt idx="15">
                  <c:v>10450981</c:v>
                </c:pt>
                <c:pt idx="16">
                  <c:v>379744</c:v>
                </c:pt>
                <c:pt idx="17">
                  <c:v>873185.76884000003</c:v>
                </c:pt>
                <c:pt idx="18">
                  <c:v>8256559.4979499998</c:v>
                </c:pt>
                <c:pt idx="19">
                  <c:v>8896</c:v>
                </c:pt>
                <c:pt idx="20">
                  <c:v>809012.68200000003</c:v>
                </c:pt>
                <c:pt idx="21">
                  <c:v>1704.4290000000001</c:v>
                </c:pt>
                <c:pt idx="22">
                  <c:v>24294</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2024</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Figurer!$N$8:$N$30</c:f>
              <c:numCache>
                <c:formatCode>#,##0</c:formatCode>
                <c:ptCount val="23"/>
                <c:pt idx="0">
                  <c:v>3461953</c:v>
                </c:pt>
                <c:pt idx="1">
                  <c:v>0</c:v>
                </c:pt>
                <c:pt idx="2">
                  <c:v>57607</c:v>
                </c:pt>
                <c:pt idx="3">
                  <c:v>4225621.7292200001</c:v>
                </c:pt>
                <c:pt idx="4">
                  <c:v>630989</c:v>
                </c:pt>
                <c:pt idx="5">
                  <c:v>2550.2539999999999</c:v>
                </c:pt>
                <c:pt idx="6">
                  <c:v>2307390.4688399998</c:v>
                </c:pt>
                <c:pt idx="7">
                  <c:v>1077042</c:v>
                </c:pt>
                <c:pt idx="8">
                  <c:v>733957.59109304007</c:v>
                </c:pt>
                <c:pt idx="9">
                  <c:v>60669623.227650002</c:v>
                </c:pt>
                <c:pt idx="10">
                  <c:v>390022.27399999998</c:v>
                </c:pt>
                <c:pt idx="11">
                  <c:v>112297</c:v>
                </c:pt>
                <c:pt idx="12">
                  <c:v>32229.312999999998</c:v>
                </c:pt>
                <c:pt idx="13">
                  <c:v>1799637.4678502949</c:v>
                </c:pt>
                <c:pt idx="14">
                  <c:v>33970</c:v>
                </c:pt>
                <c:pt idx="15">
                  <c:v>8288469.449</c:v>
                </c:pt>
                <c:pt idx="16">
                  <c:v>398078</c:v>
                </c:pt>
                <c:pt idx="17">
                  <c:v>917537.71678000002</c:v>
                </c:pt>
                <c:pt idx="18">
                  <c:v>8057784.6228</c:v>
                </c:pt>
                <c:pt idx="19">
                  <c:v>9397</c:v>
                </c:pt>
                <c:pt idx="20">
                  <c:v>876213.18599999999</c:v>
                </c:pt>
                <c:pt idx="21">
                  <c:v>1705</c:v>
                </c:pt>
                <c:pt idx="22">
                  <c:v>63809</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Figurer!$M$34</c:f>
              <c:strCache>
                <c:ptCount val="1"/>
                <c:pt idx="0">
                  <c:v>2023</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Figurer!$M$35:$M$40</c:f>
              <c:numCache>
                <c:formatCode>#,##0</c:formatCode>
                <c:ptCount val="6"/>
                <c:pt idx="0">
                  <c:v>15081666</c:v>
                </c:pt>
                <c:pt idx="1">
                  <c:v>5504730</c:v>
                </c:pt>
                <c:pt idx="2">
                  <c:v>240816.17</c:v>
                </c:pt>
                <c:pt idx="3">
                  <c:v>16814989.588855878</c:v>
                </c:pt>
                <c:pt idx="4">
                  <c:v>6904691.0594800003</c:v>
                </c:pt>
                <c:pt idx="5">
                  <c:v>17350621.189339999</c:v>
                </c:pt>
              </c:numCache>
            </c:numRef>
          </c:val>
          <c:extLst>
            <c:ext xmlns:c16="http://schemas.microsoft.com/office/drawing/2014/chart" uri="{C3380CC4-5D6E-409C-BE32-E72D297353CC}">
              <c16:uniqueId val="{00000000-3971-4F9A-B5A3-CF52C774B823}"/>
            </c:ext>
          </c:extLst>
        </c:ser>
        <c:ser>
          <c:idx val="1"/>
          <c:order val="1"/>
          <c:tx>
            <c:strRef>
              <c:f>Figurer!$N$34</c:f>
              <c:strCache>
                <c:ptCount val="1"/>
                <c:pt idx="0">
                  <c:v>2024</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Figurer!$N$35:$N$40</c:f>
              <c:numCache>
                <c:formatCode>#,##0</c:formatCode>
                <c:ptCount val="6"/>
                <c:pt idx="0">
                  <c:v>16859368.662</c:v>
                </c:pt>
                <c:pt idx="1">
                  <c:v>6679158</c:v>
                </c:pt>
                <c:pt idx="2">
                  <c:v>212249.59526999999</c:v>
                </c:pt>
                <c:pt idx="3">
                  <c:v>20423874.86053</c:v>
                </c:pt>
                <c:pt idx="4">
                  <c:v>7740231.3276799992</c:v>
                </c:pt>
                <c:pt idx="5">
                  <c:v>18250962.46195</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Figurer!$M$52</c:f>
              <c:strCache>
                <c:ptCount val="1"/>
                <c:pt idx="0">
                  <c:v>2023</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Figurer!$M$53:$M$73</c:f>
              <c:numCache>
                <c:formatCode>#,##0</c:formatCode>
                <c:ptCount val="21"/>
                <c:pt idx="0">
                  <c:v>182150338</c:v>
                </c:pt>
                <c:pt idx="1">
                  <c:v>689960</c:v>
                </c:pt>
                <c:pt idx="2">
                  <c:v>0</c:v>
                </c:pt>
                <c:pt idx="3">
                  <c:v>5358000.0491800001</c:v>
                </c:pt>
                <c:pt idx="4">
                  <c:v>1571862</c:v>
                </c:pt>
                <c:pt idx="5">
                  <c:v>0</c:v>
                </c:pt>
                <c:pt idx="6">
                  <c:v>9863248</c:v>
                </c:pt>
                <c:pt idx="7">
                  <c:v>576634.80327407003</c:v>
                </c:pt>
                <c:pt idx="8">
                  <c:v>684665855.72836995</c:v>
                </c:pt>
                <c:pt idx="9">
                  <c:v>135144.10499999998</c:v>
                </c:pt>
                <c:pt idx="10">
                  <c:v>0</c:v>
                </c:pt>
                <c:pt idx="11">
                  <c:v>0</c:v>
                </c:pt>
                <c:pt idx="12">
                  <c:v>54065629.99999816</c:v>
                </c:pt>
                <c:pt idx="13">
                  <c:v>0</c:v>
                </c:pt>
                <c:pt idx="14">
                  <c:v>121634234</c:v>
                </c:pt>
                <c:pt idx="15">
                  <c:v>19205680.644109998</c:v>
                </c:pt>
                <c:pt idx="16">
                  <c:v>201901381.48558003</c:v>
                </c:pt>
                <c:pt idx="17">
                  <c:v>0</c:v>
                </c:pt>
                <c:pt idx="18">
                  <c:v>0</c:v>
                </c:pt>
                <c:pt idx="19">
                  <c:v>0</c:v>
                </c:pt>
                <c:pt idx="20">
                  <c:v>27371</c:v>
                </c:pt>
              </c:numCache>
            </c:numRef>
          </c:val>
          <c:extLst>
            <c:ext xmlns:c16="http://schemas.microsoft.com/office/drawing/2014/chart" uri="{C3380CC4-5D6E-409C-BE32-E72D297353CC}">
              <c16:uniqueId val="{00000000-F5D7-4882-A9B6-45C2F0317A05}"/>
            </c:ext>
          </c:extLst>
        </c:ser>
        <c:ser>
          <c:idx val="1"/>
          <c:order val="1"/>
          <c:tx>
            <c:strRef>
              <c:f>Figurer!$N$52</c:f>
              <c:strCache>
                <c:ptCount val="1"/>
                <c:pt idx="0">
                  <c:v>2024</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Figurer!$N$53:$N$73</c:f>
              <c:numCache>
                <c:formatCode>#,##0</c:formatCode>
                <c:ptCount val="21"/>
                <c:pt idx="0">
                  <c:v>180833727.40624002</c:v>
                </c:pt>
                <c:pt idx="1">
                  <c:v>0</c:v>
                </c:pt>
                <c:pt idx="2">
                  <c:v>0</c:v>
                </c:pt>
                <c:pt idx="3">
                  <c:v>6584967.8127199998</c:v>
                </c:pt>
                <c:pt idx="4">
                  <c:v>1788691</c:v>
                </c:pt>
                <c:pt idx="5">
                  <c:v>0</c:v>
                </c:pt>
                <c:pt idx="6">
                  <c:v>10849100</c:v>
                </c:pt>
                <c:pt idx="7">
                  <c:v>629850.56915</c:v>
                </c:pt>
                <c:pt idx="8">
                  <c:v>799889817.73760998</c:v>
                </c:pt>
                <c:pt idx="9">
                  <c:v>170090.69199999998</c:v>
                </c:pt>
                <c:pt idx="10">
                  <c:v>0</c:v>
                </c:pt>
                <c:pt idx="11">
                  <c:v>0</c:v>
                </c:pt>
                <c:pt idx="12">
                  <c:v>54748349.999999203</c:v>
                </c:pt>
                <c:pt idx="13">
                  <c:v>0</c:v>
                </c:pt>
                <c:pt idx="14">
                  <c:v>130120437</c:v>
                </c:pt>
                <c:pt idx="15">
                  <c:v>22598085.538499996</c:v>
                </c:pt>
                <c:pt idx="16">
                  <c:v>211434057.99526995</c:v>
                </c:pt>
                <c:pt idx="17">
                  <c:v>0</c:v>
                </c:pt>
                <c:pt idx="18">
                  <c:v>0</c:v>
                </c:pt>
                <c:pt idx="19">
                  <c:v>0</c:v>
                </c:pt>
                <c:pt idx="20">
                  <c:v>53820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2023</c:v>
                </c:pt>
              </c:strCache>
            </c:strRef>
          </c:tx>
          <c:invertIfNegative val="0"/>
          <c:cat>
            <c:strRef>
              <c:f>Figurer!$L$85:$L$90</c:f>
              <c:strCache>
                <c:ptCount val="6"/>
                <c:pt idx="0">
                  <c:v>DNB Liv</c:v>
                </c:pt>
                <c:pt idx="1">
                  <c:v>Gjensidige Pensj</c:v>
                </c:pt>
                <c:pt idx="2">
                  <c:v>KLP</c:v>
                </c:pt>
                <c:pt idx="3">
                  <c:v>Nordea Liv</c:v>
                </c:pt>
                <c:pt idx="4">
                  <c:v>SpareBank 1 Forsikring</c:v>
                </c:pt>
                <c:pt idx="5">
                  <c:v>Storebrand Liv</c:v>
                </c:pt>
              </c:strCache>
            </c:strRef>
          </c:cat>
          <c:val>
            <c:numRef>
              <c:f>Figurer!$M$85:$M$90</c:f>
              <c:numCache>
                <c:formatCode>#,##0</c:formatCode>
                <c:ptCount val="6"/>
                <c:pt idx="0">
                  <c:v>166722259.954</c:v>
                </c:pt>
                <c:pt idx="1">
                  <c:v>59855898</c:v>
                </c:pt>
                <c:pt idx="2">
                  <c:v>2769122.9589300002</c:v>
                </c:pt>
                <c:pt idx="3">
                  <c:v>147002430.00000003</c:v>
                </c:pt>
                <c:pt idx="4">
                  <c:v>69619506.7468099</c:v>
                </c:pt>
                <c:pt idx="5">
                  <c:v>209344698.42835</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2024</c:v>
                </c:pt>
              </c:strCache>
            </c:strRef>
          </c:tx>
          <c:invertIfNegative val="0"/>
          <c:cat>
            <c:strRef>
              <c:f>Figurer!$L$85:$L$90</c:f>
              <c:strCache>
                <c:ptCount val="6"/>
                <c:pt idx="0">
                  <c:v>DNB Liv</c:v>
                </c:pt>
                <c:pt idx="1">
                  <c:v>Gjensidige Pensj</c:v>
                </c:pt>
                <c:pt idx="2">
                  <c:v>KLP</c:v>
                </c:pt>
                <c:pt idx="3">
                  <c:v>Nordea Liv</c:v>
                </c:pt>
                <c:pt idx="4">
                  <c:v>SpareBank 1 Forsikring</c:v>
                </c:pt>
                <c:pt idx="5">
                  <c:v>Storebrand Liv</c:v>
                </c:pt>
              </c:strCache>
            </c:strRef>
          </c:cat>
          <c:val>
            <c:numRef>
              <c:f>Figurer!$N$85:$N$90</c:f>
              <c:numCache>
                <c:formatCode>#,##0</c:formatCode>
                <c:ptCount val="6"/>
                <c:pt idx="0">
                  <c:v>202254881.60222104</c:v>
                </c:pt>
                <c:pt idx="1">
                  <c:v>76891950</c:v>
                </c:pt>
                <c:pt idx="2">
                  <c:v>2886767.1387900002</c:v>
                </c:pt>
                <c:pt idx="3">
                  <c:v>184044040</c:v>
                </c:pt>
                <c:pt idx="4">
                  <c:v>85361398.641639888</c:v>
                </c:pt>
                <c:pt idx="5">
                  <c:v>248216030.50176004</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Figurer!$M$99</c:f>
              <c:strCache>
                <c:ptCount val="1"/>
                <c:pt idx="0">
                  <c:v>2023</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Figurer!$M$100:$M$105</c:f>
              <c:numCache>
                <c:formatCode>#,##0</c:formatCode>
                <c:ptCount val="6"/>
                <c:pt idx="0">
                  <c:v>254527</c:v>
                </c:pt>
                <c:pt idx="1">
                  <c:v>92671</c:v>
                </c:pt>
                <c:pt idx="2">
                  <c:v>-2047522.9409999999</c:v>
                </c:pt>
                <c:pt idx="3">
                  <c:v>-76995.75611000041</c:v>
                </c:pt>
                <c:pt idx="4">
                  <c:v>-28286.631610000004</c:v>
                </c:pt>
                <c:pt idx="5">
                  <c:v>866718.98226999992</c:v>
                </c:pt>
              </c:numCache>
            </c:numRef>
          </c:val>
          <c:extLst>
            <c:ext xmlns:c16="http://schemas.microsoft.com/office/drawing/2014/chart" uri="{C3380CC4-5D6E-409C-BE32-E72D297353CC}">
              <c16:uniqueId val="{00000000-2BF8-4278-857F-91A0E7196849}"/>
            </c:ext>
          </c:extLst>
        </c:ser>
        <c:ser>
          <c:idx val="1"/>
          <c:order val="1"/>
          <c:tx>
            <c:strRef>
              <c:f>Figurer!$N$99</c:f>
              <c:strCache>
                <c:ptCount val="1"/>
                <c:pt idx="0">
                  <c:v>2024</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Figurer!$N$100:$N$105</c:f>
              <c:numCache>
                <c:formatCode>#,##0</c:formatCode>
                <c:ptCount val="6"/>
                <c:pt idx="0">
                  <c:v>761574</c:v>
                </c:pt>
                <c:pt idx="1">
                  <c:v>71465</c:v>
                </c:pt>
                <c:pt idx="2">
                  <c:v>-2420417.111</c:v>
                </c:pt>
                <c:pt idx="3">
                  <c:v>18021.551449999803</c:v>
                </c:pt>
                <c:pt idx="4">
                  <c:v>-5650.6208700000061</c:v>
                </c:pt>
                <c:pt idx="5">
                  <c:v>2283149.0040899999</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Figurer!$M$121</c:f>
              <c:strCache>
                <c:ptCount val="1"/>
                <c:pt idx="0">
                  <c:v>2023</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Figurer!$M$122:$M$127</c:f>
              <c:numCache>
                <c:formatCode>#,##0</c:formatCode>
                <c:ptCount val="6"/>
                <c:pt idx="0">
                  <c:v>-1498044</c:v>
                </c:pt>
                <c:pt idx="1">
                  <c:v>2502352</c:v>
                </c:pt>
                <c:pt idx="2">
                  <c:v>81.662000000000006</c:v>
                </c:pt>
                <c:pt idx="3">
                  <c:v>2370630.3248100001</c:v>
                </c:pt>
                <c:pt idx="4">
                  <c:v>-201912.61703000031</c:v>
                </c:pt>
                <c:pt idx="5">
                  <c:v>-5526279.8343499992</c:v>
                </c:pt>
              </c:numCache>
            </c:numRef>
          </c:val>
          <c:extLst>
            <c:ext xmlns:c16="http://schemas.microsoft.com/office/drawing/2014/chart" uri="{C3380CC4-5D6E-409C-BE32-E72D297353CC}">
              <c16:uniqueId val="{00000000-B400-4C26-965B-0553A4A37873}"/>
            </c:ext>
          </c:extLst>
        </c:ser>
        <c:ser>
          <c:idx val="1"/>
          <c:order val="1"/>
          <c:tx>
            <c:strRef>
              <c:f>Figurer!$N$121</c:f>
              <c:strCache>
                <c:ptCount val="1"/>
                <c:pt idx="0">
                  <c:v>2024</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Figurer!$N$122:$N$127</c:f>
              <c:numCache>
                <c:formatCode>#,##0</c:formatCode>
                <c:ptCount val="6"/>
                <c:pt idx="0">
                  <c:v>-3285716</c:v>
                </c:pt>
                <c:pt idx="1">
                  <c:v>1422067</c:v>
                </c:pt>
                <c:pt idx="2">
                  <c:v>-1022.97</c:v>
                </c:pt>
                <c:pt idx="3">
                  <c:v>1235747.5686399993</c:v>
                </c:pt>
                <c:pt idx="4">
                  <c:v>-120529.58741999976</c:v>
                </c:pt>
                <c:pt idx="5">
                  <c:v>-5044639.8881800007</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2024 </a:t>
          </a:r>
          <a:r>
            <a:rPr lang="nb-NO" sz="1200">
              <a:effectLst/>
              <a:latin typeface="Arial"/>
              <a:ea typeface="ＭＳ 明朝"/>
              <a:cs typeface="Times New Roman"/>
            </a:rPr>
            <a:t>(26</a:t>
          </a:r>
          <a:r>
            <a:rPr lang="nb-NO" sz="1200">
              <a:solidFill>
                <a:schemeClr val="dk1"/>
              </a:solidFill>
              <a:effectLst/>
              <a:latin typeface="Arial"/>
              <a:ea typeface="ＭＳ 明朝"/>
              <a:cs typeface="Times New Roman"/>
            </a:rPr>
            <a:t>.03.2024</a:t>
          </a:r>
          <a:r>
            <a:rPr lang="nb-NO" sz="12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419099</xdr:colOff>
      <xdr:row>1</xdr:row>
      <xdr:rowOff>79523</xdr:rowOff>
    </xdr:from>
    <xdr:to>
      <xdr:col>5</xdr:col>
      <xdr:colOff>691092</xdr:colOff>
      <xdr:row>8</xdr:row>
      <xdr:rowOff>95250</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 y="238273"/>
          <a:ext cx="4081993" cy="1264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Nordea Liv Forsikring</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600"/>
            </a:lnSpc>
            <a:defRPr sz="1000"/>
          </a:pPr>
          <a:r>
            <a:rPr lang="nb-NO" sz="1200" b="0" i="0" strike="noStrike">
              <a:solidFill>
                <a:srgbClr val="000000"/>
              </a:solidFill>
              <a:latin typeface="Times New Roman"/>
              <a:cs typeface="Times New Roman"/>
            </a:rPr>
            <a:t>Oslo Forsikring</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Nordea Liv Forsikring</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Eika Forsikring:</a:t>
          </a:r>
          <a:endParaRPr lang="nb-NO">
            <a:effectLst/>
          </a:endParaRPr>
        </a:p>
        <a:p>
          <a:pPr rtl="0" eaLnBrk="1" fontAlgn="auto" latinLnBrk="0" hangingPunct="1"/>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statistikken inngår s</a:t>
          </a:r>
          <a:r>
            <a:rPr lang="nb-NO" sz="1100">
              <a:solidFill>
                <a:schemeClr val="dk1"/>
              </a:solidFill>
              <a:effectLst/>
              <a:latin typeface="+mn-lt"/>
              <a:ea typeface="+mn-ea"/>
              <a:cs typeface="+mn-cs"/>
            </a:rPr>
            <a:t>elskapet i Fremtind Livsforsikring for 4.kvartal 2024</a:t>
          </a:r>
          <a:r>
            <a:rPr lang="nb-NO" sz="1100" baseline="0">
              <a:solidFill>
                <a:schemeClr val="dk1"/>
              </a:solidFill>
              <a:effectLst/>
              <a:latin typeface="+mn-lt"/>
              <a:ea typeface="+mn-ea"/>
              <a:cs typeface="+mn-cs"/>
            </a:rPr>
            <a:t>.</a:t>
          </a:r>
        </a:p>
        <a:p>
          <a:pPr rtl="0" eaLnBrk="1" fontAlgn="auto" latinLnBrk="0" hangingPunct="1"/>
          <a:endParaRPr lang="nb-NO" sz="1100" baseline="0">
            <a:solidFill>
              <a:schemeClr val="dk1"/>
            </a:solidFill>
            <a:effectLst/>
            <a:latin typeface="+mn-lt"/>
            <a:ea typeface="+mn-ea"/>
            <a:cs typeface="+mn-cs"/>
          </a:endParaRPr>
        </a:p>
        <a:p>
          <a:pPr rtl="0" eaLnBrk="1" fontAlgn="auto" latinLnBrk="0" hangingPunct="1"/>
          <a:r>
            <a:rPr lang="nb-NO" sz="1100" u="sng">
              <a:solidFill>
                <a:schemeClr val="dk1"/>
              </a:solidFill>
              <a:effectLst/>
              <a:latin typeface="+mn-lt"/>
              <a:ea typeface="+mn-ea"/>
              <a:cs typeface="+mn-cs"/>
            </a:rPr>
            <a:t>Oslo Forsikring:</a:t>
          </a:r>
          <a:endParaRPr lang="nb-NO">
            <a:effectLst/>
          </a:endParaRPr>
        </a:p>
        <a:p>
          <a:r>
            <a:rPr lang="nb-NO" sz="1100">
              <a:solidFill>
                <a:schemeClr val="dk1"/>
              </a:solidFill>
              <a:effectLst/>
              <a:latin typeface="+mn-lt"/>
              <a:ea typeface="+mn-ea"/>
              <a:cs typeface="+mn-cs"/>
            </a:rPr>
            <a:t>Selskapet inngår i statistikken fra 1. kvartal 2024</a:t>
          </a:r>
          <a:br>
            <a:rPr lang="nb-NO" sz="1100" baseline="0">
              <a:solidFill>
                <a:schemeClr val="dk1"/>
              </a:solidFill>
              <a:effectLst/>
              <a:latin typeface="+mn-lt"/>
              <a:ea typeface="+mn-ea"/>
              <a:cs typeface="+mn-cs"/>
            </a:rPr>
          </a:br>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sheetPr codeName="Ark1"/>
  <dimension ref="A1:M38"/>
  <sheetViews>
    <sheetView showGridLines="0" zoomScale="90" zoomScaleNormal="90" workbookViewId="0">
      <selection activeCell="B19" sqref="B19"/>
    </sheetView>
  </sheetViews>
  <sheetFormatPr baseColWidth="10" defaultColWidth="11.42578125" defaultRowHeight="12.75" x14ac:dyDescent="0.2"/>
  <sheetData>
    <row r="1" spans="1:13" x14ac:dyDescent="0.2">
      <c r="A1" s="492"/>
      <c r="B1" s="492"/>
      <c r="C1" s="492"/>
      <c r="D1" s="492"/>
      <c r="E1" s="492"/>
      <c r="F1" s="492"/>
      <c r="G1" s="492"/>
      <c r="H1" s="492"/>
      <c r="I1" s="492"/>
      <c r="J1" s="492"/>
      <c r="K1" s="492"/>
      <c r="L1" s="492"/>
      <c r="M1" s="492"/>
    </row>
    <row r="2" spans="1:13" x14ac:dyDescent="0.2">
      <c r="A2" s="492"/>
      <c r="B2" s="492"/>
      <c r="C2" s="492"/>
      <c r="D2" s="492"/>
      <c r="E2" s="492"/>
      <c r="F2" s="492"/>
      <c r="G2" s="492"/>
      <c r="H2" s="492"/>
      <c r="I2" s="492"/>
      <c r="J2" s="492"/>
      <c r="K2" s="492"/>
      <c r="L2" s="492"/>
      <c r="M2" s="492"/>
    </row>
    <row r="3" spans="1:13" x14ac:dyDescent="0.2">
      <c r="A3" s="492"/>
      <c r="B3" s="492"/>
      <c r="C3" s="492"/>
      <c r="D3" s="492"/>
      <c r="E3" s="492"/>
      <c r="F3" s="492"/>
      <c r="G3" s="492"/>
      <c r="H3" s="492"/>
      <c r="I3" s="492"/>
      <c r="J3" s="492"/>
      <c r="K3" s="492"/>
      <c r="L3" s="492"/>
      <c r="M3" s="492"/>
    </row>
    <row r="4" spans="1:13" x14ac:dyDescent="0.2">
      <c r="A4" s="492"/>
      <c r="B4" s="492"/>
      <c r="C4" s="492"/>
      <c r="D4" s="492"/>
      <c r="E4" s="492"/>
      <c r="F4" s="492"/>
      <c r="G4" s="492"/>
      <c r="H4" s="492"/>
      <c r="I4" s="492"/>
      <c r="J4" s="492"/>
      <c r="K4" s="492"/>
      <c r="L4" s="492"/>
      <c r="M4" s="492"/>
    </row>
    <row r="5" spans="1:13" x14ac:dyDescent="0.2">
      <c r="A5" s="492"/>
      <c r="B5" s="493"/>
      <c r="C5" s="493"/>
      <c r="D5" s="493"/>
      <c r="E5" s="493"/>
      <c r="F5" s="493"/>
      <c r="G5" s="493"/>
      <c r="H5" s="493"/>
      <c r="I5" s="492"/>
      <c r="J5" s="492"/>
      <c r="K5" s="492"/>
      <c r="L5" s="492"/>
      <c r="M5" s="492"/>
    </row>
    <row r="6" spans="1:13" ht="23.25" x14ac:dyDescent="0.35">
      <c r="A6" s="492"/>
      <c r="B6" s="494"/>
      <c r="C6" s="493"/>
      <c r="D6" s="493"/>
      <c r="E6" s="493"/>
      <c r="F6" s="493"/>
      <c r="G6" s="493"/>
      <c r="H6" s="493"/>
      <c r="I6" s="495"/>
      <c r="J6" s="492"/>
      <c r="K6" s="492"/>
      <c r="L6" s="492"/>
      <c r="M6" s="492"/>
    </row>
    <row r="7" spans="1:13" x14ac:dyDescent="0.2">
      <c r="A7" s="492"/>
      <c r="B7" s="493"/>
      <c r="C7" s="493"/>
      <c r="D7" s="493"/>
      <c r="E7" s="493"/>
      <c r="F7" s="493"/>
      <c r="G7" s="493"/>
      <c r="H7" s="493"/>
      <c r="I7" s="493"/>
      <c r="J7" s="492"/>
      <c r="K7" s="492"/>
      <c r="L7" s="492"/>
      <c r="M7" s="492"/>
    </row>
    <row r="8" spans="1:13" x14ac:dyDescent="0.2">
      <c r="A8" s="492"/>
      <c r="B8" s="493"/>
      <c r="C8" s="493"/>
      <c r="D8" s="493"/>
      <c r="E8" s="492"/>
      <c r="F8" s="493"/>
      <c r="G8" s="493"/>
      <c r="H8" s="493"/>
      <c r="I8" s="492"/>
      <c r="J8" s="492"/>
      <c r="K8" s="492"/>
      <c r="L8" s="492"/>
      <c r="M8" s="492"/>
    </row>
    <row r="9" spans="1:13" x14ac:dyDescent="0.2">
      <c r="A9" s="492"/>
      <c r="B9" s="493"/>
      <c r="C9" s="493"/>
      <c r="D9" s="493"/>
      <c r="E9" s="493"/>
      <c r="F9" s="493"/>
      <c r="G9" s="493"/>
      <c r="H9" s="493"/>
      <c r="I9" s="492"/>
      <c r="J9" s="492"/>
      <c r="K9" s="492"/>
      <c r="L9" s="492"/>
      <c r="M9" s="492"/>
    </row>
    <row r="10" spans="1:13" ht="23.25" x14ac:dyDescent="0.35">
      <c r="A10" s="492"/>
      <c r="B10" s="493"/>
      <c r="C10" s="493"/>
      <c r="D10" s="493"/>
      <c r="E10" s="492"/>
      <c r="F10" s="492"/>
      <c r="G10" s="492"/>
      <c r="H10" s="492"/>
      <c r="I10" s="495"/>
      <c r="J10" s="492"/>
      <c r="K10" s="492"/>
      <c r="L10" s="492"/>
      <c r="M10" s="492"/>
    </row>
    <row r="11" spans="1:13" x14ac:dyDescent="0.2">
      <c r="A11" s="492"/>
      <c r="B11" s="493"/>
      <c r="C11" s="493"/>
      <c r="D11" s="493"/>
      <c r="E11" s="492"/>
      <c r="F11" s="492"/>
      <c r="G11" s="492"/>
      <c r="H11" s="492"/>
      <c r="I11" s="492"/>
      <c r="J11" s="492"/>
      <c r="K11" s="492"/>
      <c r="L11" s="492"/>
      <c r="M11" s="492"/>
    </row>
    <row r="12" spans="1:13" ht="23.25" x14ac:dyDescent="0.35">
      <c r="A12" s="492"/>
      <c r="B12" s="493"/>
      <c r="C12" s="493"/>
      <c r="D12" s="493"/>
      <c r="E12" s="493"/>
      <c r="F12" s="493"/>
      <c r="G12" s="493"/>
      <c r="H12" s="493"/>
      <c r="I12" s="495"/>
      <c r="J12" s="492"/>
      <c r="K12" s="492"/>
      <c r="L12" s="492"/>
      <c r="M12" s="492"/>
    </row>
    <row r="13" spans="1:13" ht="23.25" x14ac:dyDescent="0.35">
      <c r="A13" s="492"/>
      <c r="B13" s="493"/>
      <c r="C13" s="496"/>
      <c r="D13" s="496"/>
      <c r="E13" s="496"/>
      <c r="F13" s="496"/>
      <c r="G13" s="496"/>
      <c r="H13" s="496"/>
      <c r="I13" s="495"/>
      <c r="J13" s="492"/>
      <c r="K13" s="492"/>
      <c r="L13" s="492"/>
      <c r="M13" s="492"/>
    </row>
    <row r="14" spans="1:13" x14ac:dyDescent="0.2">
      <c r="A14" s="492"/>
      <c r="B14" s="493"/>
      <c r="C14" s="493"/>
      <c r="D14" s="493"/>
      <c r="E14" s="492"/>
      <c r="F14" s="493"/>
      <c r="G14" s="493"/>
      <c r="H14" s="493"/>
      <c r="I14" s="492"/>
      <c r="J14" s="492"/>
      <c r="K14" s="492"/>
      <c r="L14" s="492"/>
      <c r="M14" s="492"/>
    </row>
    <row r="15" spans="1:13" x14ac:dyDescent="0.2">
      <c r="A15" s="492"/>
      <c r="B15" s="493"/>
      <c r="C15" s="493"/>
      <c r="D15" s="493"/>
      <c r="E15" s="492"/>
      <c r="F15" s="493"/>
      <c r="G15" s="493"/>
      <c r="H15" s="493"/>
      <c r="I15" s="493"/>
      <c r="J15" s="492"/>
      <c r="K15" s="492"/>
      <c r="L15" s="492"/>
      <c r="M15" s="492"/>
    </row>
    <row r="16" spans="1:13" ht="34.5" x14ac:dyDescent="0.45">
      <c r="A16" s="492"/>
      <c r="B16" s="493"/>
      <c r="C16" s="493"/>
      <c r="D16" s="493"/>
      <c r="E16" s="497"/>
      <c r="F16" s="493"/>
      <c r="G16" s="493"/>
      <c r="H16" s="493"/>
      <c r="I16" s="493"/>
      <c r="J16" s="492"/>
      <c r="K16" s="492"/>
      <c r="L16" s="492"/>
      <c r="M16" s="492"/>
    </row>
    <row r="17" spans="1:13" ht="33" x14ac:dyDescent="0.45">
      <c r="A17" s="492"/>
      <c r="B17" s="493"/>
      <c r="C17" s="493"/>
      <c r="D17" s="493"/>
      <c r="E17" s="498"/>
      <c r="F17" s="493"/>
      <c r="G17" s="493"/>
      <c r="H17" s="493"/>
      <c r="I17" s="493"/>
      <c r="J17" s="492"/>
      <c r="K17" s="492"/>
      <c r="L17" s="492"/>
      <c r="M17" s="492"/>
    </row>
    <row r="18" spans="1:13" ht="33" x14ac:dyDescent="0.45">
      <c r="A18" s="492"/>
      <c r="B18" s="492"/>
      <c r="C18" s="492"/>
      <c r="D18" s="498"/>
      <c r="E18" s="492"/>
      <c r="F18" s="492"/>
      <c r="G18" s="492"/>
      <c r="H18" s="492"/>
      <c r="I18" s="492"/>
      <c r="J18" s="492"/>
      <c r="K18" s="492"/>
      <c r="L18" s="492"/>
      <c r="M18" s="492"/>
    </row>
    <row r="19" spans="1:13" ht="18.75" x14ac:dyDescent="0.3">
      <c r="A19" s="492"/>
      <c r="B19" s="492"/>
      <c r="C19" s="492"/>
      <c r="D19" s="492"/>
      <c r="E19" s="499"/>
      <c r="F19" s="492"/>
      <c r="G19" s="492"/>
      <c r="H19" s="492"/>
      <c r="I19" s="500"/>
      <c r="J19" s="492"/>
      <c r="K19" s="492"/>
      <c r="L19" s="492"/>
      <c r="M19" s="492"/>
    </row>
    <row r="20" spans="1:13" x14ac:dyDescent="0.2">
      <c r="A20" s="492"/>
      <c r="B20" s="492"/>
      <c r="C20" s="492"/>
      <c r="D20" s="492"/>
      <c r="E20" s="492"/>
      <c r="F20" s="492"/>
      <c r="G20" s="492"/>
      <c r="H20" s="492"/>
      <c r="I20" s="492"/>
      <c r="J20" s="492"/>
      <c r="K20" s="492"/>
      <c r="L20" s="492"/>
      <c r="M20" s="492"/>
    </row>
    <row r="21" spans="1:13" x14ac:dyDescent="0.2">
      <c r="A21" s="492"/>
      <c r="B21" s="492"/>
      <c r="C21" s="492"/>
      <c r="D21" s="492"/>
      <c r="E21" s="501"/>
      <c r="F21" s="492"/>
      <c r="G21" s="492"/>
      <c r="H21" s="492"/>
      <c r="I21" s="492"/>
      <c r="J21" s="492"/>
      <c r="K21" s="492"/>
      <c r="L21" s="492"/>
      <c r="M21" s="492"/>
    </row>
    <row r="22" spans="1:13" ht="26.25" x14ac:dyDescent="0.4">
      <c r="A22" s="492"/>
      <c r="B22" s="492"/>
      <c r="C22" s="492"/>
      <c r="D22" s="492"/>
      <c r="E22" s="502"/>
      <c r="F22" s="492"/>
      <c r="G22" s="492"/>
      <c r="H22" s="492"/>
      <c r="I22" s="492"/>
      <c r="J22" s="492"/>
      <c r="K22" s="492"/>
      <c r="L22" s="492"/>
      <c r="M22" s="492"/>
    </row>
    <row r="23" spans="1:13" x14ac:dyDescent="0.2">
      <c r="A23" s="492"/>
      <c r="B23" s="492"/>
      <c r="C23" s="492"/>
      <c r="D23" s="492"/>
      <c r="E23" s="492"/>
      <c r="F23" s="492"/>
      <c r="G23" s="492"/>
      <c r="H23" s="492"/>
      <c r="I23" s="492"/>
      <c r="J23" s="492"/>
      <c r="K23" s="492"/>
      <c r="L23" s="492"/>
      <c r="M23" s="492"/>
    </row>
    <row r="24" spans="1:13" x14ac:dyDescent="0.2">
      <c r="A24" s="492"/>
      <c r="B24" s="492"/>
      <c r="C24" s="492"/>
      <c r="D24" s="492"/>
      <c r="E24" s="492"/>
      <c r="F24" s="492"/>
      <c r="G24" s="492"/>
      <c r="H24" s="492"/>
      <c r="I24" s="492"/>
      <c r="J24" s="492"/>
      <c r="K24" s="492"/>
      <c r="L24" s="492"/>
      <c r="M24" s="492"/>
    </row>
    <row r="25" spans="1:13" ht="18.75" x14ac:dyDescent="0.3">
      <c r="A25" s="492"/>
      <c r="B25" s="492"/>
      <c r="C25" s="492"/>
      <c r="D25" s="492"/>
      <c r="E25" s="503"/>
      <c r="F25" s="492"/>
      <c r="G25" s="492"/>
      <c r="H25" s="492"/>
      <c r="I25" s="492"/>
      <c r="J25" s="492"/>
      <c r="K25" s="492"/>
      <c r="L25" s="492"/>
      <c r="M25" s="492"/>
    </row>
    <row r="26" spans="1:13" ht="18.75" x14ac:dyDescent="0.3">
      <c r="A26" s="492"/>
      <c r="B26" s="492"/>
      <c r="C26" s="492"/>
      <c r="D26" s="492"/>
      <c r="E26" s="504"/>
      <c r="F26" s="492"/>
      <c r="G26" s="492"/>
      <c r="H26" s="492"/>
      <c r="I26" s="492"/>
      <c r="J26" s="492"/>
      <c r="K26" s="492"/>
      <c r="L26" s="492"/>
      <c r="M26" s="492"/>
    </row>
    <row r="27" spans="1:13" x14ac:dyDescent="0.2">
      <c r="A27" s="492"/>
      <c r="B27" s="492"/>
      <c r="C27" s="492"/>
      <c r="D27" s="492"/>
      <c r="E27" s="492"/>
      <c r="F27" s="492"/>
      <c r="G27" s="492"/>
      <c r="H27" s="492"/>
      <c r="I27" s="492"/>
      <c r="J27" s="492"/>
      <c r="K27" s="492"/>
      <c r="L27" s="492"/>
      <c r="M27" s="492"/>
    </row>
    <row r="28" spans="1:13" x14ac:dyDescent="0.2">
      <c r="A28" s="492"/>
      <c r="B28" s="492"/>
      <c r="C28" s="492"/>
      <c r="D28" s="496"/>
      <c r="E28" s="496"/>
      <c r="F28" s="496"/>
      <c r="G28" s="496"/>
      <c r="H28" s="496"/>
      <c r="I28" s="492"/>
      <c r="J28" s="492"/>
      <c r="K28" s="492"/>
      <c r="L28" s="492"/>
      <c r="M28" s="492"/>
    </row>
    <row r="29" spans="1:13" x14ac:dyDescent="0.2">
      <c r="A29" s="492"/>
      <c r="B29" s="492"/>
      <c r="C29" s="492"/>
      <c r="D29" s="492"/>
      <c r="E29" s="492"/>
      <c r="F29" s="492"/>
      <c r="G29" s="492"/>
      <c r="H29" s="492"/>
      <c r="I29" s="492"/>
      <c r="J29" s="492"/>
      <c r="K29" s="492"/>
      <c r="L29" s="492"/>
      <c r="M29" s="492"/>
    </row>
    <row r="30" spans="1:13" x14ac:dyDescent="0.2">
      <c r="A30" s="492"/>
      <c r="B30" s="492"/>
      <c r="C30" s="492"/>
      <c r="D30" s="492"/>
      <c r="E30" s="492"/>
      <c r="F30" s="492"/>
      <c r="G30" s="492"/>
      <c r="H30" s="492"/>
      <c r="I30" s="492"/>
      <c r="J30" s="492"/>
      <c r="K30" s="492"/>
      <c r="L30" s="492"/>
      <c r="M30" s="492"/>
    </row>
    <row r="31" spans="1:13" x14ac:dyDescent="0.2">
      <c r="A31" s="492"/>
      <c r="B31" s="492"/>
      <c r="C31" s="492"/>
      <c r="D31" s="492"/>
      <c r="E31" s="492"/>
      <c r="F31" s="492"/>
      <c r="G31" s="492"/>
      <c r="H31" s="492"/>
      <c r="I31" s="492"/>
      <c r="J31" s="492"/>
      <c r="K31" s="492"/>
      <c r="L31" s="492"/>
      <c r="M31" s="492"/>
    </row>
    <row r="32" spans="1:13" x14ac:dyDescent="0.2">
      <c r="A32" s="492"/>
      <c r="B32" s="492"/>
      <c r="C32" s="492"/>
      <c r="D32" s="492"/>
      <c r="E32" s="492"/>
      <c r="F32" s="492"/>
      <c r="G32" s="492"/>
      <c r="H32" s="492"/>
      <c r="I32" s="492"/>
      <c r="J32" s="492"/>
      <c r="K32" s="492"/>
      <c r="L32" s="492"/>
      <c r="M32" s="492"/>
    </row>
    <row r="33" spans="1:13" ht="35.25" x14ac:dyDescent="0.2">
      <c r="A33" s="505"/>
      <c r="B33" s="492"/>
      <c r="C33" s="492"/>
      <c r="D33" s="492"/>
      <c r="E33" s="492"/>
      <c r="F33" s="492"/>
      <c r="G33" s="492"/>
      <c r="H33" s="492"/>
      <c r="I33" s="492"/>
      <c r="J33" s="492"/>
      <c r="K33" s="492"/>
      <c r="L33" s="492"/>
      <c r="M33" s="492"/>
    </row>
    <row r="34" spans="1:13" x14ac:dyDescent="0.2">
      <c r="A34" s="492"/>
      <c r="B34" s="492"/>
      <c r="C34" s="492"/>
      <c r="D34" s="492"/>
      <c r="E34" s="492"/>
      <c r="F34" s="492"/>
      <c r="G34" s="492"/>
      <c r="H34" s="492"/>
      <c r="I34" s="492"/>
      <c r="J34" s="492"/>
      <c r="K34" s="492"/>
      <c r="L34" s="492"/>
      <c r="M34" s="492"/>
    </row>
    <row r="35" spans="1:13" x14ac:dyDescent="0.2">
      <c r="A35" s="492"/>
      <c r="B35" s="492"/>
      <c r="C35" s="492"/>
      <c r="D35" s="492"/>
      <c r="E35" s="492"/>
      <c r="F35" s="492"/>
      <c r="G35" s="492"/>
      <c r="H35" s="492"/>
      <c r="I35" s="492"/>
      <c r="J35" s="492"/>
      <c r="K35" s="492"/>
      <c r="L35" s="492"/>
      <c r="M35" s="492"/>
    </row>
    <row r="36" spans="1:13" ht="33" x14ac:dyDescent="0.2">
      <c r="A36" s="492"/>
      <c r="B36" s="506"/>
      <c r="C36" s="492"/>
      <c r="D36" s="492"/>
      <c r="E36" s="492"/>
      <c r="F36" s="492"/>
      <c r="G36" s="492"/>
      <c r="H36" s="492"/>
      <c r="I36" s="492"/>
      <c r="J36" s="492"/>
      <c r="K36" s="492"/>
      <c r="L36" s="492"/>
      <c r="M36" s="492"/>
    </row>
    <row r="37" spans="1:13" x14ac:dyDescent="0.2">
      <c r="A37" s="492"/>
      <c r="B37" s="492"/>
      <c r="C37" s="492"/>
      <c r="D37" s="492"/>
      <c r="E37" s="492"/>
      <c r="F37" s="492"/>
      <c r="G37" s="492"/>
      <c r="H37" s="492"/>
      <c r="I37" s="492"/>
      <c r="J37" s="492"/>
      <c r="K37" s="492"/>
      <c r="L37" s="492"/>
      <c r="M37" s="492"/>
    </row>
    <row r="38" spans="1:13" x14ac:dyDescent="0.2">
      <c r="A38" s="492"/>
      <c r="B38" s="492"/>
      <c r="C38" s="492"/>
      <c r="D38" s="492"/>
      <c r="E38" s="492"/>
      <c r="F38" s="492"/>
      <c r="G38" s="492"/>
      <c r="H38" s="492"/>
      <c r="I38" s="492"/>
      <c r="J38" s="492"/>
      <c r="K38" s="492"/>
      <c r="L38" s="492"/>
      <c r="M38" s="49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41"/>
    <col min="2" max="2" width="25" style="41" customWidth="1"/>
    <col min="3" max="3" width="141.7109375" style="41" customWidth="1"/>
    <col min="4" max="16384" width="11.42578125" style="41"/>
  </cols>
  <sheetData>
    <row r="1" spans="1:14" ht="20.100000000000001" customHeight="1" x14ac:dyDescent="0.35">
      <c r="C1" s="42"/>
      <c r="D1" s="43"/>
      <c r="E1" s="43"/>
      <c r="F1" s="43"/>
      <c r="G1" s="43"/>
      <c r="H1" s="43"/>
      <c r="I1" s="43"/>
      <c r="J1" s="43"/>
      <c r="K1" s="43"/>
      <c r="L1" s="43"/>
      <c r="M1" s="43"/>
      <c r="N1" s="43"/>
    </row>
    <row r="2" spans="1:14" ht="20.100000000000001" customHeight="1" x14ac:dyDescent="0.35">
      <c r="C2" s="213" t="s">
        <v>31</v>
      </c>
      <c r="D2" s="43"/>
      <c r="E2" s="43"/>
      <c r="F2" s="43"/>
      <c r="G2" s="43"/>
      <c r="H2" s="43"/>
      <c r="I2" s="43"/>
      <c r="J2" s="43"/>
      <c r="K2" s="43"/>
      <c r="L2" s="43"/>
      <c r="M2" s="43"/>
      <c r="N2" s="43"/>
    </row>
    <row r="3" spans="1:14" ht="20.100000000000001" customHeight="1" x14ac:dyDescent="0.35">
      <c r="C3" s="44"/>
      <c r="D3" s="43"/>
      <c r="E3" s="43"/>
      <c r="F3" s="43"/>
      <c r="G3" s="43"/>
      <c r="H3" s="43"/>
      <c r="I3" s="43"/>
      <c r="J3" s="43"/>
      <c r="K3" s="43"/>
      <c r="L3" s="43"/>
      <c r="M3" s="43"/>
      <c r="N3" s="43"/>
    </row>
    <row r="4" spans="1:14" ht="20.100000000000001" customHeight="1" x14ac:dyDescent="0.35">
      <c r="C4" s="44"/>
      <c r="D4" s="43"/>
      <c r="E4" s="43"/>
      <c r="F4" s="43"/>
      <c r="G4" s="43"/>
      <c r="H4" s="43"/>
      <c r="I4" s="43"/>
      <c r="J4" s="43"/>
      <c r="K4" s="43"/>
      <c r="L4" s="43"/>
      <c r="M4" s="43"/>
      <c r="N4" s="43"/>
    </row>
    <row r="5" spans="1:14" ht="20.100000000000001" customHeight="1" x14ac:dyDescent="0.35">
      <c r="A5" s="44"/>
      <c r="B5" s="44"/>
      <c r="C5" s="44"/>
      <c r="D5" s="43"/>
      <c r="E5" s="43"/>
      <c r="F5" s="43"/>
      <c r="G5" s="43"/>
      <c r="H5" s="43"/>
      <c r="I5" s="43"/>
      <c r="J5" s="43"/>
      <c r="K5" s="43"/>
      <c r="L5" s="43"/>
      <c r="M5" s="43"/>
      <c r="N5" s="43"/>
    </row>
    <row r="6" spans="1:14" ht="20.100000000000001" customHeight="1" x14ac:dyDescent="0.35">
      <c r="A6" s="45" t="s">
        <v>32</v>
      </c>
      <c r="B6" s="45"/>
      <c r="C6" s="44"/>
      <c r="D6" s="43"/>
      <c r="E6" s="43"/>
      <c r="F6" s="43"/>
      <c r="G6" s="43"/>
      <c r="H6" s="43"/>
      <c r="I6" s="43"/>
      <c r="J6" s="43"/>
      <c r="K6" s="43"/>
      <c r="L6" s="43"/>
      <c r="M6" s="43"/>
      <c r="N6" s="43"/>
    </row>
    <row r="7" spans="1:14" ht="20.100000000000001" customHeight="1" x14ac:dyDescent="0.35">
      <c r="A7" s="44"/>
      <c r="B7" s="44" t="s">
        <v>33</v>
      </c>
      <c r="C7" s="44" t="s">
        <v>34</v>
      </c>
      <c r="D7" s="43"/>
      <c r="E7" s="43"/>
      <c r="F7" s="43"/>
      <c r="G7" s="43"/>
      <c r="H7" s="43"/>
      <c r="I7" s="43"/>
      <c r="J7" s="43"/>
      <c r="K7" s="43"/>
      <c r="L7" s="43"/>
      <c r="M7" s="43"/>
      <c r="N7" s="43"/>
    </row>
    <row r="8" spans="1:14" ht="20.100000000000001" customHeight="1" x14ac:dyDescent="0.35">
      <c r="A8" s="44"/>
      <c r="B8" s="44" t="s">
        <v>35</v>
      </c>
      <c r="C8" s="44" t="s">
        <v>36</v>
      </c>
      <c r="D8" s="43"/>
      <c r="E8" s="43"/>
      <c r="F8" s="43"/>
      <c r="G8" s="43"/>
      <c r="H8" s="43"/>
      <c r="I8" s="43"/>
      <c r="J8" s="43"/>
      <c r="K8" s="43"/>
      <c r="L8" s="43"/>
      <c r="M8" s="43"/>
      <c r="N8" s="43"/>
    </row>
    <row r="9" spans="1:14" ht="20.100000000000001" customHeight="1" x14ac:dyDescent="0.35">
      <c r="A9" s="44"/>
      <c r="B9" s="44" t="s">
        <v>37</v>
      </c>
      <c r="C9" s="44" t="s">
        <v>40</v>
      </c>
      <c r="D9" s="43"/>
      <c r="E9" s="43"/>
      <c r="F9" s="43"/>
      <c r="G9" s="43"/>
      <c r="H9" s="43"/>
      <c r="I9" s="43"/>
      <c r="J9" s="43"/>
      <c r="K9" s="43"/>
      <c r="L9" s="43"/>
      <c r="M9" s="43"/>
      <c r="N9" s="43"/>
    </row>
    <row r="10" spans="1:14" ht="20.100000000000001" customHeight="1" x14ac:dyDescent="0.35">
      <c r="A10" s="44"/>
      <c r="B10" s="44" t="s">
        <v>38</v>
      </c>
      <c r="C10" s="44" t="s">
        <v>42</v>
      </c>
      <c r="D10" s="43"/>
      <c r="E10" s="43"/>
      <c r="F10" s="43"/>
      <c r="G10" s="43"/>
      <c r="H10" s="43"/>
      <c r="I10" s="43"/>
      <c r="J10" s="43"/>
      <c r="K10" s="43"/>
      <c r="L10" s="43"/>
      <c r="M10" s="43"/>
      <c r="N10" s="43"/>
    </row>
    <row r="11" spans="1:14" ht="20.100000000000001" customHeight="1" x14ac:dyDescent="0.35">
      <c r="A11" s="44"/>
      <c r="B11" s="44" t="s">
        <v>39</v>
      </c>
      <c r="C11" s="44" t="s">
        <v>43</v>
      </c>
      <c r="D11" s="43"/>
      <c r="E11" s="43"/>
      <c r="F11" s="43"/>
      <c r="G11" s="43"/>
      <c r="H11" s="43"/>
      <c r="I11" s="43"/>
      <c r="J11" s="43"/>
      <c r="K11" s="43"/>
      <c r="L11" s="43"/>
      <c r="M11" s="43"/>
      <c r="N11" s="43"/>
    </row>
    <row r="12" spans="1:14" ht="20.100000000000001" customHeight="1" x14ac:dyDescent="0.35">
      <c r="A12" s="44"/>
      <c r="B12" s="44" t="s">
        <v>41</v>
      </c>
      <c r="C12" s="44" t="s">
        <v>44</v>
      </c>
      <c r="D12" s="43"/>
      <c r="E12" s="43"/>
      <c r="F12" s="43"/>
      <c r="G12" s="43"/>
      <c r="H12" s="43"/>
      <c r="I12" s="43"/>
      <c r="J12" s="43"/>
      <c r="K12" s="43"/>
      <c r="L12" s="43"/>
      <c r="M12" s="43"/>
      <c r="N12" s="43"/>
    </row>
    <row r="13" spans="1:14" ht="18.75" customHeight="1" x14ac:dyDescent="0.35">
      <c r="A13" s="44"/>
      <c r="B13" s="44"/>
      <c r="C13" s="44"/>
      <c r="D13" s="43"/>
      <c r="E13" s="43"/>
      <c r="F13" s="43"/>
      <c r="G13" s="43"/>
      <c r="H13" s="43"/>
      <c r="I13" s="43"/>
      <c r="J13" s="43"/>
      <c r="K13" s="43"/>
      <c r="L13" s="43"/>
      <c r="M13" s="43"/>
      <c r="N13" s="43"/>
    </row>
    <row r="14" spans="1:14" ht="20.100000000000001" customHeight="1" x14ac:dyDescent="0.35">
      <c r="A14" s="212" t="s">
        <v>45</v>
      </c>
      <c r="B14" s="45"/>
      <c r="C14" s="44"/>
      <c r="D14" s="43"/>
      <c r="E14" s="43"/>
      <c r="F14" s="43"/>
      <c r="G14" s="43"/>
      <c r="H14" s="43"/>
      <c r="I14" s="43"/>
      <c r="J14" s="43"/>
      <c r="K14" s="43"/>
      <c r="L14" s="43"/>
      <c r="M14" s="43"/>
      <c r="N14" s="43"/>
    </row>
    <row r="15" spans="1:14" ht="20.100000000000001" customHeight="1" x14ac:dyDescent="0.35">
      <c r="A15" s="44"/>
      <c r="B15" s="44" t="s">
        <v>46</v>
      </c>
      <c r="C15" s="44"/>
      <c r="D15" s="43"/>
      <c r="E15" s="43"/>
      <c r="F15" s="43"/>
      <c r="G15" s="43"/>
      <c r="H15" s="43"/>
      <c r="I15" s="43"/>
      <c r="J15" s="43"/>
      <c r="K15" s="43"/>
      <c r="L15" s="43"/>
      <c r="M15" s="43"/>
      <c r="N15" s="43"/>
    </row>
    <row r="16" spans="1:14" ht="20.100000000000001" customHeight="1" x14ac:dyDescent="0.35">
      <c r="A16" s="44"/>
      <c r="B16" s="45" t="s">
        <v>47</v>
      </c>
      <c r="C16" s="44" t="s">
        <v>48</v>
      </c>
      <c r="D16" s="43"/>
      <c r="E16" s="43"/>
      <c r="F16" s="43"/>
      <c r="G16" s="43"/>
      <c r="H16" s="43"/>
      <c r="I16" s="43"/>
      <c r="J16" s="43"/>
      <c r="K16" s="43"/>
      <c r="L16" s="43"/>
      <c r="M16" s="43"/>
      <c r="N16" s="43"/>
    </row>
    <row r="17" spans="1:14" ht="20.100000000000001" customHeight="1" x14ac:dyDescent="0.35">
      <c r="A17" s="44"/>
      <c r="B17" s="45" t="s">
        <v>49</v>
      </c>
      <c r="C17" s="44" t="s">
        <v>50</v>
      </c>
      <c r="D17" s="43"/>
      <c r="E17" s="43"/>
      <c r="F17" s="43"/>
      <c r="G17" s="43"/>
      <c r="H17" s="43"/>
      <c r="I17" s="43"/>
      <c r="J17" s="43"/>
      <c r="K17" s="43"/>
      <c r="L17" s="43"/>
      <c r="M17" s="43"/>
      <c r="N17" s="43"/>
    </row>
    <row r="18" spans="1:14" ht="20.100000000000001" customHeight="1" x14ac:dyDescent="0.35">
      <c r="A18" s="44"/>
      <c r="B18" s="45" t="s">
        <v>300</v>
      </c>
      <c r="C18" s="44" t="s">
        <v>301</v>
      </c>
      <c r="D18" s="43"/>
      <c r="E18" s="43"/>
      <c r="F18" s="43"/>
      <c r="G18" s="43"/>
      <c r="H18" s="43"/>
      <c r="I18" s="43"/>
      <c r="J18" s="43"/>
      <c r="K18" s="43"/>
      <c r="L18" s="43"/>
      <c r="M18" s="43"/>
      <c r="N18" s="43"/>
    </row>
    <row r="19" spans="1:14" ht="20.100000000000001" customHeight="1" x14ac:dyDescent="0.35">
      <c r="A19" s="44"/>
      <c r="B19" s="44" t="s">
        <v>302</v>
      </c>
      <c r="C19" s="44" t="s">
        <v>240</v>
      </c>
      <c r="D19" s="43"/>
      <c r="E19" s="43"/>
      <c r="F19" s="43"/>
      <c r="G19" s="43"/>
      <c r="H19" s="43"/>
      <c r="I19" s="43"/>
      <c r="J19" s="43"/>
      <c r="K19" s="43"/>
      <c r="L19" s="43"/>
      <c r="M19" s="43"/>
      <c r="N19" s="43"/>
    </row>
    <row r="20" spans="1:14" ht="20.100000000000001" customHeight="1" x14ac:dyDescent="0.35">
      <c r="A20" s="44"/>
      <c r="B20" s="44" t="s">
        <v>304</v>
      </c>
      <c r="C20" s="44" t="s">
        <v>303</v>
      </c>
      <c r="D20" s="43"/>
      <c r="E20" s="43"/>
      <c r="F20" s="43"/>
      <c r="G20" s="43"/>
      <c r="H20" s="43"/>
      <c r="I20" s="43"/>
      <c r="J20" s="43"/>
      <c r="K20" s="43"/>
      <c r="L20" s="43"/>
      <c r="M20" s="43"/>
      <c r="N20" s="43"/>
    </row>
    <row r="21" spans="1:14" ht="20.100000000000001" customHeight="1" x14ac:dyDescent="0.35">
      <c r="A21" s="44"/>
      <c r="B21" s="44"/>
      <c r="C21" s="44"/>
    </row>
    <row r="22" spans="1:14" ht="18.75" customHeight="1" x14ac:dyDescent="0.35">
      <c r="A22" s="44"/>
      <c r="B22" s="44" t="s">
        <v>226</v>
      </c>
      <c r="C22" s="44"/>
    </row>
    <row r="23" spans="1:14" ht="20.100000000000001" customHeight="1" x14ac:dyDescent="0.35">
      <c r="A23" s="44"/>
      <c r="B23" s="277" t="s">
        <v>227</v>
      </c>
      <c r="C23" s="44" t="s">
        <v>228</v>
      </c>
    </row>
    <row r="24" spans="1:14" ht="20.100000000000001" customHeight="1" x14ac:dyDescent="0.35">
      <c r="A24" s="44"/>
      <c r="B24" s="277" t="s">
        <v>229</v>
      </c>
      <c r="C24" s="44" t="s">
        <v>230</v>
      </c>
    </row>
    <row r="25" spans="1:14" ht="20.100000000000001" customHeight="1" x14ac:dyDescent="0.35">
      <c r="A25" s="44"/>
      <c r="B25" s="277" t="s">
        <v>231</v>
      </c>
      <c r="C25" s="44" t="s">
        <v>232</v>
      </c>
    </row>
    <row r="26" spans="1:14" ht="20.100000000000001" customHeight="1" x14ac:dyDescent="0.35">
      <c r="A26" s="44"/>
      <c r="B26" s="277" t="s">
        <v>233</v>
      </c>
      <c r="C26" s="44" t="s">
        <v>234</v>
      </c>
    </row>
    <row r="27" spans="1:14" ht="20.100000000000001" customHeight="1" x14ac:dyDescent="0.35">
      <c r="A27" s="44"/>
      <c r="B27" s="277" t="s">
        <v>154</v>
      </c>
      <c r="C27" s="44" t="s">
        <v>235</v>
      </c>
    </row>
    <row r="28" spans="1:14" ht="20.100000000000001" customHeight="1" x14ac:dyDescent="0.35">
      <c r="A28" s="44"/>
      <c r="B28" s="277" t="s">
        <v>236</v>
      </c>
      <c r="C28" s="44" t="s">
        <v>490</v>
      </c>
    </row>
    <row r="29" spans="1:14" ht="20.100000000000001" customHeight="1" x14ac:dyDescent="0.35">
      <c r="A29" s="44"/>
      <c r="B29" s="277" t="s">
        <v>237</v>
      </c>
      <c r="C29" s="44" t="s">
        <v>491</v>
      </c>
    </row>
    <row r="30" spans="1:14" ht="18.75" customHeight="1" x14ac:dyDescent="0.35">
      <c r="A30" s="44"/>
      <c r="B30" s="277" t="s">
        <v>238</v>
      </c>
      <c r="C30" s="44" t="s">
        <v>239</v>
      </c>
    </row>
    <row r="31" spans="1:14" ht="18.75" customHeight="1" x14ac:dyDescent="0.35">
      <c r="A31" s="44"/>
      <c r="B31" s="277"/>
      <c r="C31" s="44"/>
    </row>
    <row r="32" spans="1:14" ht="20.100000000000001" customHeight="1" x14ac:dyDescent="0.35">
      <c r="A32" s="44"/>
      <c r="B32" s="44"/>
      <c r="C32" s="44"/>
    </row>
    <row r="33" spans="1:4" x14ac:dyDescent="0.35">
      <c r="A33" s="45" t="s">
        <v>51</v>
      </c>
      <c r="B33" s="44"/>
      <c r="C33" s="44"/>
    </row>
    <row r="34" spans="1:4" ht="26.25" hidden="1" customHeight="1" x14ac:dyDescent="0.4">
      <c r="C34" s="46"/>
    </row>
    <row r="35" spans="1:4" ht="26.25" hidden="1" customHeight="1" x14ac:dyDescent="0.4">
      <c r="C35" s="46"/>
    </row>
    <row r="36" spans="1:4" ht="18.75" customHeight="1" x14ac:dyDescent="0.4">
      <c r="C36" s="275"/>
      <c r="D36" s="276"/>
    </row>
    <row r="37" spans="1:4" ht="26.25" x14ac:dyDescent="0.4">
      <c r="C37" s="46"/>
    </row>
    <row r="38" spans="1:4" ht="26.25" x14ac:dyDescent="0.4">
      <c r="C38" s="46"/>
    </row>
    <row r="39" spans="1:4" ht="26.25" x14ac:dyDescent="0.4">
      <c r="C39" s="275"/>
    </row>
    <row r="40" spans="1:4" ht="26.25" x14ac:dyDescent="0.4">
      <c r="C40" s="46"/>
    </row>
    <row r="41" spans="1:4" ht="26.25" x14ac:dyDescent="0.4">
      <c r="C41" s="46"/>
    </row>
    <row r="42" spans="1:4" ht="26.25" x14ac:dyDescent="0.4">
      <c r="C42" s="46"/>
    </row>
    <row r="43" spans="1:4" ht="26.25" x14ac:dyDescent="0.4">
      <c r="C43" s="46"/>
    </row>
    <row r="44" spans="1:4" ht="26.25" x14ac:dyDescent="0.4">
      <c r="C44" s="46"/>
    </row>
    <row r="45" spans="1:4" ht="26.25" x14ac:dyDescent="0.4">
      <c r="C45" s="46"/>
    </row>
    <row r="46" spans="1:4" ht="26.25" x14ac:dyDescent="0.4">
      <c r="C46" s="46"/>
    </row>
    <row r="47" spans="1:4" ht="26.25" x14ac:dyDescent="0.4">
      <c r="C47" s="46"/>
    </row>
    <row r="48" spans="1:4" ht="26.25" x14ac:dyDescent="0.4">
      <c r="C48" s="46"/>
    </row>
    <row r="49" spans="3:3" ht="26.25" x14ac:dyDescent="0.4">
      <c r="C49" s="46"/>
    </row>
    <row r="50" spans="3:3" ht="26.25" x14ac:dyDescent="0.4">
      <c r="C50" s="46"/>
    </row>
    <row r="51" spans="3:3" ht="26.25" x14ac:dyDescent="0.4">
      <c r="C51" s="46"/>
    </row>
    <row r="52" spans="3:3" ht="26.25" x14ac:dyDescent="0.4">
      <c r="C52" s="46"/>
    </row>
    <row r="53" spans="3:3" ht="26.25" x14ac:dyDescent="0.4">
      <c r="C53" s="46"/>
    </row>
    <row r="54" spans="3:3" ht="26.25" x14ac:dyDescent="0.4">
      <c r="C54" s="46"/>
    </row>
    <row r="55" spans="3:3" ht="26.25" x14ac:dyDescent="0.4">
      <c r="C55" s="46"/>
    </row>
    <row r="56" spans="3:3" ht="26.25" x14ac:dyDescent="0.4">
      <c r="C56" s="46"/>
    </row>
    <row r="57" spans="3:3" ht="26.25" x14ac:dyDescent="0.4">
      <c r="C57" s="46"/>
    </row>
    <row r="58" spans="3:3" ht="26.25" x14ac:dyDescent="0.4">
      <c r="C58" s="4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A2" sqref="A2"/>
    </sheetView>
  </sheetViews>
  <sheetFormatPr baseColWidth="10" defaultColWidth="11.42578125" defaultRowHeight="18.75" x14ac:dyDescent="0.3"/>
  <cols>
    <col min="10" max="11" width="16.7109375" customWidth="1"/>
    <col min="12" max="12" width="24.42578125" style="48" customWidth="1"/>
    <col min="13" max="14" width="15.7109375" style="48" bestFit="1" customWidth="1"/>
    <col min="15" max="15" width="22.7109375" customWidth="1"/>
    <col min="16" max="16" width="13.42578125" customWidth="1"/>
    <col min="17" max="17" width="13.7109375" customWidth="1"/>
  </cols>
  <sheetData>
    <row r="1" spans="1:15" x14ac:dyDescent="0.3">
      <c r="A1" s="47" t="s">
        <v>52</v>
      </c>
    </row>
    <row r="2" spans="1:15" x14ac:dyDescent="0.3">
      <c r="A2" s="49"/>
      <c r="B2" s="48"/>
      <c r="C2" s="48"/>
      <c r="D2" s="48"/>
      <c r="E2" s="48"/>
      <c r="F2" s="48"/>
      <c r="G2" s="48"/>
      <c r="H2" s="48"/>
      <c r="I2" s="48"/>
      <c r="J2" s="48"/>
      <c r="K2" s="48"/>
      <c r="O2" s="48"/>
    </row>
    <row r="3" spans="1:15" x14ac:dyDescent="0.3">
      <c r="A3" s="49" t="s">
        <v>32</v>
      </c>
      <c r="B3" s="48"/>
      <c r="C3" s="48"/>
      <c r="D3" s="48"/>
      <c r="E3" s="48"/>
      <c r="F3" s="48"/>
      <c r="G3" s="48"/>
      <c r="H3" s="48"/>
      <c r="I3" s="48"/>
      <c r="J3" s="48"/>
      <c r="K3" s="48"/>
      <c r="O3" s="48"/>
    </row>
    <row r="4" spans="1:15" x14ac:dyDescent="0.3">
      <c r="A4" s="48"/>
      <c r="B4" s="48"/>
      <c r="C4" s="48"/>
      <c r="D4" s="48"/>
      <c r="E4" s="48"/>
      <c r="F4" s="48"/>
      <c r="G4" s="48"/>
      <c r="H4" s="48"/>
      <c r="I4" s="48"/>
      <c r="J4" s="48"/>
      <c r="K4" s="48"/>
      <c r="L4" s="50"/>
      <c r="O4" s="48"/>
    </row>
    <row r="5" spans="1:15" x14ac:dyDescent="0.3">
      <c r="A5" s="49" t="s">
        <v>495</v>
      </c>
      <c r="B5" s="48"/>
      <c r="C5" s="48"/>
      <c r="D5" s="48"/>
      <c r="E5" s="48"/>
      <c r="F5" s="48"/>
      <c r="G5" s="48"/>
      <c r="H5" s="48"/>
      <c r="I5" s="48"/>
      <c r="J5" s="48"/>
      <c r="K5" s="48"/>
      <c r="L5" s="48" t="s">
        <v>53</v>
      </c>
      <c r="O5" s="48"/>
    </row>
    <row r="6" spans="1:15" x14ac:dyDescent="0.3">
      <c r="A6" s="48"/>
      <c r="B6" s="48"/>
      <c r="C6" s="48"/>
      <c r="D6" s="48"/>
      <c r="E6" s="48"/>
      <c r="F6" s="48"/>
      <c r="G6" s="48"/>
      <c r="H6" s="48"/>
      <c r="I6" s="48"/>
      <c r="J6" s="48"/>
      <c r="K6" s="48"/>
      <c r="L6" s="48" t="s">
        <v>0</v>
      </c>
      <c r="O6" s="48"/>
    </row>
    <row r="7" spans="1:15" x14ac:dyDescent="0.3">
      <c r="A7" s="48"/>
      <c r="B7" s="48"/>
      <c r="C7" s="48"/>
      <c r="D7" s="48"/>
      <c r="E7" s="48"/>
      <c r="F7" s="48"/>
      <c r="G7" s="48"/>
      <c r="H7" s="48"/>
      <c r="I7" s="48"/>
      <c r="J7" s="48"/>
      <c r="K7" s="48"/>
      <c r="M7" s="48">
        <v>2023</v>
      </c>
      <c r="N7" s="48">
        <v>2024</v>
      </c>
      <c r="O7" s="48"/>
    </row>
    <row r="8" spans="1:15" x14ac:dyDescent="0.3">
      <c r="A8" s="48"/>
      <c r="B8" s="48"/>
      <c r="C8" s="48"/>
      <c r="D8" s="48"/>
      <c r="E8" s="48"/>
      <c r="F8" s="48"/>
      <c r="G8" s="48"/>
      <c r="H8" s="48"/>
      <c r="I8" s="48"/>
      <c r="J8" s="48"/>
      <c r="K8" s="48"/>
      <c r="L8" s="48" t="s">
        <v>54</v>
      </c>
      <c r="M8" s="51">
        <f>'Tabel 1.1'!B9</f>
        <v>3324348</v>
      </c>
      <c r="N8" s="51">
        <f>'Tabel 1.1'!C9</f>
        <v>3461953</v>
      </c>
      <c r="O8" s="48"/>
    </row>
    <row r="9" spans="1:15" x14ac:dyDescent="0.3">
      <c r="A9" s="48"/>
      <c r="B9" s="48"/>
      <c r="C9" s="48"/>
      <c r="D9" s="48"/>
      <c r="E9" s="48"/>
      <c r="F9" s="48"/>
      <c r="G9" s="48"/>
      <c r="H9" s="48"/>
      <c r="I9" s="48"/>
      <c r="J9" s="48"/>
      <c r="K9" s="48"/>
      <c r="L9" s="48" t="s">
        <v>55</v>
      </c>
      <c r="M9" s="51">
        <f>'Tabel 1.1'!B10</f>
        <v>458948</v>
      </c>
      <c r="N9" s="51">
        <f>'Tabel 1.1'!C10</f>
        <v>0</v>
      </c>
      <c r="O9" s="48"/>
    </row>
    <row r="10" spans="1:15" x14ac:dyDescent="0.3">
      <c r="A10" s="48"/>
      <c r="B10" s="48"/>
      <c r="C10" s="48"/>
      <c r="D10" s="48"/>
      <c r="E10" s="48"/>
      <c r="F10" s="48"/>
      <c r="G10" s="48"/>
      <c r="H10" s="48"/>
      <c r="I10" s="48"/>
      <c r="J10" s="48"/>
      <c r="K10" s="48"/>
      <c r="L10" s="48" t="s">
        <v>428</v>
      </c>
      <c r="M10" s="51">
        <f>'Tabel 1.1'!B11</f>
        <v>45333</v>
      </c>
      <c r="N10" s="51">
        <f>'Tabel 1.1'!C11</f>
        <v>57607</v>
      </c>
      <c r="O10" s="48"/>
    </row>
    <row r="11" spans="1:15" x14ac:dyDescent="0.3">
      <c r="A11" s="48"/>
      <c r="B11" s="48"/>
      <c r="C11" s="48"/>
      <c r="D11" s="48"/>
      <c r="E11" s="48"/>
      <c r="F11" s="48"/>
      <c r="G11" s="48"/>
      <c r="H11" s="48"/>
      <c r="I11" s="48"/>
      <c r="J11" s="48"/>
      <c r="K11" s="48"/>
      <c r="L11" s="48" t="s">
        <v>419</v>
      </c>
      <c r="M11" s="51">
        <f>'Tabel 1.1'!B12</f>
        <v>3522711.4512299998</v>
      </c>
      <c r="N11" s="51">
        <f>'Tabel 1.1'!C12</f>
        <v>4225621.7292200001</v>
      </c>
      <c r="O11" s="48"/>
    </row>
    <row r="12" spans="1:15" x14ac:dyDescent="0.3">
      <c r="A12" s="48"/>
      <c r="B12" s="48"/>
      <c r="C12" s="48"/>
      <c r="D12" s="48"/>
      <c r="E12" s="48"/>
      <c r="F12" s="48"/>
      <c r="G12" s="48"/>
      <c r="H12" s="48"/>
      <c r="I12" s="48"/>
      <c r="J12" s="48"/>
      <c r="K12" s="48"/>
      <c r="L12" s="48" t="s">
        <v>56</v>
      </c>
      <c r="M12" s="51">
        <f>'Tabel 1.1'!B13</f>
        <v>555601</v>
      </c>
      <c r="N12" s="51">
        <f>'Tabel 1.1'!C13</f>
        <v>630989</v>
      </c>
      <c r="O12" s="48"/>
    </row>
    <row r="13" spans="1:15" x14ac:dyDescent="0.3">
      <c r="A13" s="48"/>
      <c r="B13" s="48"/>
      <c r="C13" s="48"/>
      <c r="D13" s="48"/>
      <c r="E13" s="48"/>
      <c r="F13" s="48"/>
      <c r="G13" s="48"/>
      <c r="H13" s="48"/>
      <c r="I13" s="48"/>
      <c r="J13" s="48"/>
      <c r="K13" s="48"/>
      <c r="L13" s="48" t="s">
        <v>57</v>
      </c>
      <c r="M13" s="51">
        <f>'Tabel 1.1'!B14</f>
        <v>9340.8760000000002</v>
      </c>
      <c r="N13" s="51">
        <f>'Tabel 1.1'!C14</f>
        <v>2550.2539999999999</v>
      </c>
      <c r="O13" s="48"/>
    </row>
    <row r="14" spans="1:15" x14ac:dyDescent="0.3">
      <c r="A14" s="48"/>
      <c r="B14" s="48"/>
      <c r="C14" s="48"/>
      <c r="D14" s="48"/>
      <c r="E14" s="48"/>
      <c r="F14" s="48"/>
      <c r="G14" s="48"/>
      <c r="H14" s="48"/>
      <c r="I14" s="48"/>
      <c r="J14" s="48"/>
      <c r="K14" s="48"/>
      <c r="L14" s="48" t="s">
        <v>58</v>
      </c>
      <c r="M14" s="51">
        <f>'Tabel 1.1'!B15</f>
        <v>2207185.0870000003</v>
      </c>
      <c r="N14" s="51">
        <f>'Tabel 1.1'!C15</f>
        <v>2307390.4688399998</v>
      </c>
      <c r="O14" s="48"/>
    </row>
    <row r="15" spans="1:15" x14ac:dyDescent="0.3">
      <c r="A15" s="48"/>
      <c r="B15" s="48"/>
      <c r="C15" s="48"/>
      <c r="D15" s="48"/>
      <c r="E15" s="48"/>
      <c r="F15" s="48"/>
      <c r="G15" s="48"/>
      <c r="H15" s="48"/>
      <c r="I15" s="48"/>
      <c r="J15" s="48"/>
      <c r="K15" s="48"/>
      <c r="L15" s="48" t="s">
        <v>59</v>
      </c>
      <c r="M15" s="51">
        <f>'Tabel 1.1'!B16</f>
        <v>933569</v>
      </c>
      <c r="N15" s="51">
        <f>'Tabel 1.1'!C16</f>
        <v>1077042</v>
      </c>
      <c r="O15" s="48"/>
    </row>
    <row r="16" spans="1:15" x14ac:dyDescent="0.3">
      <c r="A16" s="48"/>
      <c r="B16" s="48"/>
      <c r="C16" s="48"/>
      <c r="D16" s="48"/>
      <c r="E16" s="48"/>
      <c r="F16" s="48"/>
      <c r="G16" s="48"/>
      <c r="H16" s="48"/>
      <c r="I16" s="48"/>
      <c r="J16" s="48"/>
      <c r="K16" s="48"/>
      <c r="L16" s="48" t="s">
        <v>60</v>
      </c>
      <c r="M16" s="51">
        <f>'Tabel 1.1'!B17</f>
        <v>655938.89034121204</v>
      </c>
      <c r="N16" s="51">
        <f>'Tabel 1.1'!C17</f>
        <v>733957.59109304007</v>
      </c>
      <c r="O16" s="48"/>
    </row>
    <row r="17" spans="1:15" x14ac:dyDescent="0.3">
      <c r="A17" s="48"/>
      <c r="B17" s="48"/>
      <c r="C17" s="48"/>
      <c r="D17" s="48"/>
      <c r="E17" s="48"/>
      <c r="F17" s="48"/>
      <c r="G17" s="48"/>
      <c r="H17" s="48"/>
      <c r="I17" s="48"/>
      <c r="J17" s="48"/>
      <c r="K17" s="48"/>
      <c r="L17" s="48" t="s">
        <v>61</v>
      </c>
      <c r="M17" s="51">
        <f>'Tabel 1.1'!B18</f>
        <v>69993489.364010006</v>
      </c>
      <c r="N17" s="51">
        <f>'Tabel 1.1'!C18</f>
        <v>60669623.227650002</v>
      </c>
      <c r="O17" s="48"/>
    </row>
    <row r="18" spans="1:15" x14ac:dyDescent="0.3">
      <c r="A18" s="48"/>
      <c r="B18" s="48"/>
      <c r="C18" s="48"/>
      <c r="D18" s="48"/>
      <c r="E18" s="48"/>
      <c r="F18" s="48"/>
      <c r="G18" s="48"/>
      <c r="H18" s="48"/>
      <c r="I18" s="48"/>
      <c r="J18" s="48"/>
      <c r="K18" s="48"/>
      <c r="L18" s="48" t="s">
        <v>62</v>
      </c>
      <c r="M18" s="51">
        <f>'Tabel 1.1'!B19</f>
        <v>343058.73300000001</v>
      </c>
      <c r="N18" s="51">
        <f>'Tabel 1.1'!C19</f>
        <v>390022.27399999998</v>
      </c>
      <c r="O18" s="48"/>
    </row>
    <row r="19" spans="1:15" x14ac:dyDescent="0.3">
      <c r="A19" s="48"/>
      <c r="B19" s="48"/>
      <c r="C19" s="48"/>
      <c r="D19" s="48"/>
      <c r="E19" s="48"/>
      <c r="F19" s="48"/>
      <c r="G19" s="48"/>
      <c r="H19" s="48"/>
      <c r="I19" s="48"/>
      <c r="J19" s="48"/>
      <c r="K19" s="48"/>
      <c r="L19" s="48" t="s">
        <v>420</v>
      </c>
      <c r="M19" s="51">
        <f>'Tabel 1.1'!B20</f>
        <v>106120</v>
      </c>
      <c r="N19" s="51">
        <f>'Tabel 1.1'!C20</f>
        <v>112297</v>
      </c>
      <c r="O19" s="48"/>
    </row>
    <row r="20" spans="1:15" x14ac:dyDescent="0.3">
      <c r="A20" s="48"/>
      <c r="B20" s="48"/>
      <c r="C20" s="48"/>
      <c r="D20" s="48"/>
      <c r="E20" s="48"/>
      <c r="F20" s="48"/>
      <c r="G20" s="48"/>
      <c r="H20" s="48"/>
      <c r="I20" s="48"/>
      <c r="J20" s="48"/>
      <c r="K20" s="48"/>
      <c r="L20" s="48" t="s">
        <v>432</v>
      </c>
      <c r="M20" s="51">
        <f>'Tabel 1.1'!B21</f>
        <v>27118</v>
      </c>
      <c r="N20" s="51">
        <f>'Tabel 1.1'!C21</f>
        <v>32229.312999999998</v>
      </c>
      <c r="O20" s="48"/>
    </row>
    <row r="21" spans="1:15" x14ac:dyDescent="0.3">
      <c r="A21" s="48"/>
      <c r="B21" s="48"/>
      <c r="C21" s="48"/>
      <c r="D21" s="48"/>
      <c r="E21" s="48"/>
      <c r="F21" s="48"/>
      <c r="G21" s="48"/>
      <c r="H21" s="48"/>
      <c r="I21" s="48"/>
      <c r="J21" s="48"/>
      <c r="K21" s="48"/>
      <c r="L21" s="48" t="s">
        <v>63</v>
      </c>
      <c r="M21" s="51">
        <f>'Tabel 1.1'!B22</f>
        <v>1776249.505460812</v>
      </c>
      <c r="N21" s="51">
        <f>'Tabel 1.1'!C22</f>
        <v>1799637.4678502949</v>
      </c>
      <c r="O21" s="48"/>
    </row>
    <row r="22" spans="1:15" x14ac:dyDescent="0.3">
      <c r="A22" s="48"/>
      <c r="B22" s="48"/>
      <c r="C22" s="48"/>
      <c r="D22" s="48"/>
      <c r="E22" s="48"/>
      <c r="F22" s="48"/>
      <c r="G22" s="48"/>
      <c r="H22" s="48"/>
      <c r="I22" s="48"/>
      <c r="J22" s="48"/>
      <c r="K22" s="48"/>
      <c r="L22" s="48" t="s">
        <v>468</v>
      </c>
      <c r="M22" s="51">
        <f>'Tabel 1.1'!B23</f>
        <v>0</v>
      </c>
      <c r="N22" s="51">
        <f>'Tabel 1.1'!C23</f>
        <v>33970</v>
      </c>
      <c r="O22" s="48"/>
    </row>
    <row r="23" spans="1:15" x14ac:dyDescent="0.3">
      <c r="A23" s="48"/>
      <c r="B23" s="48"/>
      <c r="C23" s="48"/>
      <c r="D23" s="48"/>
      <c r="E23" s="48"/>
      <c r="F23" s="48"/>
      <c r="G23" s="48"/>
      <c r="H23" s="48"/>
      <c r="I23" s="48"/>
      <c r="J23" s="48"/>
      <c r="K23" s="48"/>
      <c r="L23" s="48" t="s">
        <v>64</v>
      </c>
      <c r="M23" s="51">
        <f>'Tabel 1.1'!B24</f>
        <v>10450981</v>
      </c>
      <c r="N23" s="51">
        <f>'Tabel 1.1'!C24</f>
        <v>8288469.449</v>
      </c>
      <c r="O23" s="48"/>
    </row>
    <row r="24" spans="1:15" x14ac:dyDescent="0.3">
      <c r="A24" s="48"/>
      <c r="B24" s="48"/>
      <c r="C24" s="48"/>
      <c r="D24" s="48"/>
      <c r="E24" s="48"/>
      <c r="F24" s="48"/>
      <c r="G24" s="48"/>
      <c r="H24" s="48"/>
      <c r="I24" s="48"/>
      <c r="J24" s="48"/>
      <c r="K24" s="48"/>
      <c r="L24" s="48" t="s">
        <v>415</v>
      </c>
      <c r="M24" s="51">
        <f>'Tabel 1.1'!B25</f>
        <v>379744</v>
      </c>
      <c r="N24" s="51">
        <f>'Tabel 1.1'!C25</f>
        <v>398078</v>
      </c>
      <c r="O24" s="48"/>
    </row>
    <row r="25" spans="1:15" x14ac:dyDescent="0.3">
      <c r="A25" s="48"/>
      <c r="B25" s="48"/>
      <c r="C25" s="48"/>
      <c r="D25" s="48"/>
      <c r="E25" s="48"/>
      <c r="F25" s="48"/>
      <c r="G25" s="48"/>
      <c r="H25" s="48"/>
      <c r="I25" s="48"/>
      <c r="J25" s="48"/>
      <c r="K25" s="48"/>
      <c r="L25" s="48" t="s">
        <v>431</v>
      </c>
      <c r="M25" s="51">
        <f>'Tabel 1.1'!B26</f>
        <v>873185.76884000003</v>
      </c>
      <c r="N25" s="51">
        <f>'Tabel 1.1'!C26</f>
        <v>917537.71678000002</v>
      </c>
      <c r="O25" s="48"/>
    </row>
    <row r="26" spans="1:15" x14ac:dyDescent="0.3">
      <c r="A26" s="48"/>
      <c r="B26" s="48"/>
      <c r="C26" s="48"/>
      <c r="D26" s="48"/>
      <c r="E26" s="48"/>
      <c r="F26" s="48"/>
      <c r="G26" s="48"/>
      <c r="H26" s="48"/>
      <c r="I26" s="48"/>
      <c r="J26" s="48"/>
      <c r="K26" s="48"/>
      <c r="L26" s="48" t="s">
        <v>442</v>
      </c>
      <c r="M26" s="51">
        <f>'Tabel 1.1'!B27</f>
        <v>8256559.4979499998</v>
      </c>
      <c r="N26" s="51">
        <f>'Tabel 1.1'!C27</f>
        <v>8057784.6228</v>
      </c>
      <c r="O26" s="48"/>
    </row>
    <row r="27" spans="1:15" x14ac:dyDescent="0.3">
      <c r="A27" s="48"/>
      <c r="B27" s="48"/>
      <c r="C27" s="48"/>
      <c r="D27" s="48"/>
      <c r="E27" s="48"/>
      <c r="F27" s="48"/>
      <c r="G27" s="48"/>
      <c r="H27" s="48"/>
      <c r="I27" s="48"/>
      <c r="J27" s="48"/>
      <c r="K27" s="48"/>
      <c r="L27" s="48" t="s">
        <v>66</v>
      </c>
      <c r="M27" s="51">
        <f>'Tabel 1.1'!B28</f>
        <v>8896</v>
      </c>
      <c r="N27" s="51">
        <f>'Tabel 1.1'!C28</f>
        <v>9397</v>
      </c>
      <c r="O27" s="48"/>
    </row>
    <row r="28" spans="1:15" x14ac:dyDescent="0.3">
      <c r="A28" s="48"/>
      <c r="B28" s="48"/>
      <c r="C28" s="48"/>
      <c r="D28" s="48"/>
      <c r="E28" s="48"/>
      <c r="F28" s="48"/>
      <c r="G28" s="48"/>
      <c r="H28" s="48"/>
      <c r="I28" s="48"/>
      <c r="J28" s="48"/>
      <c r="K28" s="48"/>
      <c r="L28" s="48" t="s">
        <v>67</v>
      </c>
      <c r="M28" s="51">
        <f>'Tabel 1.1'!B29</f>
        <v>809012.68200000003</v>
      </c>
      <c r="N28" s="51">
        <f>'Tabel 1.1'!C29</f>
        <v>876213.18599999999</v>
      </c>
    </row>
    <row r="29" spans="1:15" x14ac:dyDescent="0.3">
      <c r="A29" s="48"/>
      <c r="B29" s="48"/>
      <c r="C29" s="48"/>
      <c r="D29" s="48"/>
      <c r="E29" s="48"/>
      <c r="F29" s="48"/>
      <c r="G29" s="48"/>
      <c r="H29" s="48"/>
      <c r="I29" s="48"/>
      <c r="J29" s="48"/>
      <c r="K29" s="48"/>
      <c r="L29" s="48" t="s">
        <v>424</v>
      </c>
      <c r="M29" s="51">
        <f>'Tabel 1.1'!B30</f>
        <v>1704.4290000000001</v>
      </c>
      <c r="N29" s="51">
        <f>'Tabel 1.1'!C30</f>
        <v>1705</v>
      </c>
    </row>
    <row r="30" spans="1:15" x14ac:dyDescent="0.3">
      <c r="A30" s="48"/>
      <c r="B30" s="48"/>
      <c r="C30" s="48"/>
      <c r="D30" s="48"/>
      <c r="E30" s="48"/>
      <c r="F30" s="48"/>
      <c r="G30" s="48"/>
      <c r="H30" s="48"/>
      <c r="I30" s="48"/>
      <c r="J30" s="48"/>
      <c r="K30" s="48"/>
      <c r="L30" s="48" t="s">
        <v>435</v>
      </c>
      <c r="M30" s="51">
        <f>'Tabel 1.1'!B31</f>
        <v>24294</v>
      </c>
      <c r="N30" s="51">
        <f>'Tabel 1.1'!C31</f>
        <v>63809</v>
      </c>
    </row>
    <row r="31" spans="1:15" x14ac:dyDescent="0.3">
      <c r="A31" s="49" t="s">
        <v>496</v>
      </c>
      <c r="B31" s="48"/>
      <c r="C31" s="48"/>
      <c r="D31" s="48"/>
      <c r="E31" s="48"/>
      <c r="F31" s="48"/>
      <c r="G31" s="48"/>
      <c r="H31" s="48"/>
      <c r="I31" s="48"/>
      <c r="J31" s="48"/>
      <c r="K31" s="48"/>
    </row>
    <row r="32" spans="1:15" x14ac:dyDescent="0.3">
      <c r="B32" s="48"/>
      <c r="C32" s="48"/>
      <c r="D32" s="48"/>
      <c r="E32" s="48"/>
      <c r="F32" s="48"/>
      <c r="G32" s="48"/>
      <c r="H32" s="48"/>
      <c r="I32" s="48"/>
      <c r="J32" s="48"/>
      <c r="K32" s="48"/>
      <c r="L32" s="48" t="s">
        <v>53</v>
      </c>
    </row>
    <row r="33" spans="1:15" x14ac:dyDescent="0.3">
      <c r="B33" s="48"/>
      <c r="C33" s="48"/>
      <c r="D33" s="48"/>
      <c r="E33" s="48"/>
      <c r="F33" s="48"/>
      <c r="G33" s="48"/>
      <c r="H33" s="48"/>
      <c r="I33" s="48"/>
      <c r="J33" s="48"/>
      <c r="K33" s="48"/>
      <c r="L33" s="48" t="s">
        <v>1</v>
      </c>
    </row>
    <row r="34" spans="1:15" x14ac:dyDescent="0.3">
      <c r="A34" s="48"/>
      <c r="B34" s="48"/>
      <c r="C34" s="48"/>
      <c r="D34" s="48"/>
      <c r="E34" s="48"/>
      <c r="F34" s="48"/>
      <c r="G34" s="48"/>
      <c r="H34" s="48"/>
      <c r="I34" s="48"/>
      <c r="J34" s="48"/>
      <c r="K34" s="48"/>
      <c r="M34" s="48">
        <f>M7</f>
        <v>2023</v>
      </c>
      <c r="N34" s="48">
        <f>N7</f>
        <v>2024</v>
      </c>
    </row>
    <row r="35" spans="1:15" x14ac:dyDescent="0.3">
      <c r="A35" s="48"/>
      <c r="B35" s="48"/>
      <c r="C35" s="48"/>
      <c r="D35" s="48"/>
      <c r="E35" s="48"/>
      <c r="F35" s="48"/>
      <c r="G35" s="48"/>
      <c r="H35" s="48"/>
      <c r="I35" s="48"/>
      <c r="J35" s="48"/>
      <c r="K35" s="48"/>
      <c r="L35" s="48" t="s">
        <v>54</v>
      </c>
      <c r="M35" s="51">
        <f>'Tabel 1.1'!B35</f>
        <v>15081666</v>
      </c>
      <c r="N35" s="51">
        <f>'Tabel 1.1'!C35</f>
        <v>16859368.662</v>
      </c>
    </row>
    <row r="36" spans="1:15" x14ac:dyDescent="0.3">
      <c r="A36" s="48"/>
      <c r="B36" s="48"/>
      <c r="C36" s="48"/>
      <c r="D36" s="48"/>
      <c r="E36" s="48"/>
      <c r="F36" s="48"/>
      <c r="G36" s="48"/>
      <c r="H36" s="48"/>
      <c r="I36" s="48"/>
      <c r="J36" s="48"/>
      <c r="K36" s="48"/>
      <c r="L36" s="48" t="s">
        <v>59</v>
      </c>
      <c r="M36" s="51">
        <f>'Tabel 1.1'!B36</f>
        <v>5504730</v>
      </c>
      <c r="N36" s="51">
        <f>'Tabel 1.1'!C36</f>
        <v>6679158</v>
      </c>
    </row>
    <row r="37" spans="1:15" x14ac:dyDescent="0.3">
      <c r="A37" s="48"/>
      <c r="B37" s="48"/>
      <c r="C37" s="48"/>
      <c r="D37" s="48"/>
      <c r="E37" s="48"/>
      <c r="F37" s="48"/>
      <c r="G37" s="48"/>
      <c r="H37" s="48"/>
      <c r="I37" s="48"/>
      <c r="J37" s="48"/>
      <c r="K37" s="48"/>
      <c r="L37" s="48" t="s">
        <v>61</v>
      </c>
      <c r="M37" s="51">
        <f>'Tabel 1.1'!B37</f>
        <v>240816.17</v>
      </c>
      <c r="N37" s="51">
        <f>'Tabel 1.1'!C37</f>
        <v>212249.59526999999</v>
      </c>
    </row>
    <row r="38" spans="1:15" x14ac:dyDescent="0.3">
      <c r="A38" s="48"/>
      <c r="B38" s="48"/>
      <c r="C38" s="48"/>
      <c r="D38" s="48"/>
      <c r="E38" s="48"/>
      <c r="F38" s="48"/>
      <c r="G38" s="48"/>
      <c r="H38" s="48"/>
      <c r="I38" s="48"/>
      <c r="J38" s="48"/>
      <c r="K38" s="48"/>
      <c r="L38" s="48" t="s">
        <v>63</v>
      </c>
      <c r="M38" s="51">
        <f>'Tabel 1.1'!B38</f>
        <v>16814989.588855878</v>
      </c>
      <c r="N38" s="51">
        <f>'Tabel 1.1'!C38</f>
        <v>20423874.86053</v>
      </c>
    </row>
    <row r="39" spans="1:15" x14ac:dyDescent="0.3">
      <c r="A39" s="48"/>
      <c r="B39" s="48"/>
      <c r="C39" s="48"/>
      <c r="D39" s="48"/>
      <c r="E39" s="48"/>
      <c r="F39" s="48"/>
      <c r="G39" s="48"/>
      <c r="H39" s="48"/>
      <c r="I39" s="48"/>
      <c r="J39" s="48"/>
      <c r="K39" s="48"/>
      <c r="L39" s="48" t="s">
        <v>431</v>
      </c>
      <c r="M39" s="51">
        <f>'Tabel 1.1'!B39</f>
        <v>6904691.0594800003</v>
      </c>
      <c r="N39" s="51">
        <f>'Tabel 1.1'!C39</f>
        <v>7740231.3276799992</v>
      </c>
    </row>
    <row r="40" spans="1:15" x14ac:dyDescent="0.3">
      <c r="A40" s="48"/>
      <c r="B40" s="48"/>
      <c r="C40" s="48"/>
      <c r="D40" s="48"/>
      <c r="E40" s="48"/>
      <c r="F40" s="48"/>
      <c r="G40" s="48"/>
      <c r="H40" s="48"/>
      <c r="I40" s="48"/>
      <c r="J40" s="48"/>
      <c r="K40" s="48"/>
      <c r="L40" s="48" t="s">
        <v>442</v>
      </c>
      <c r="M40" s="51">
        <f>'Tabel 1.1'!B40</f>
        <v>17350621.189339999</v>
      </c>
      <c r="N40" s="51">
        <f>'Tabel 1.1'!C40</f>
        <v>18250962.46195</v>
      </c>
    </row>
    <row r="41" spans="1:15" x14ac:dyDescent="0.3">
      <c r="A41" s="48"/>
      <c r="B41" s="48"/>
      <c r="C41" s="48"/>
      <c r="D41" s="48"/>
      <c r="E41" s="48"/>
      <c r="F41" s="48"/>
      <c r="G41" s="48"/>
      <c r="H41" s="48"/>
      <c r="I41" s="48"/>
      <c r="J41" s="48"/>
      <c r="K41" s="48"/>
      <c r="O41" s="48"/>
    </row>
    <row r="42" spans="1:15" x14ac:dyDescent="0.3">
      <c r="A42" s="48"/>
      <c r="B42" s="48"/>
      <c r="C42" s="48"/>
      <c r="D42" s="48"/>
      <c r="E42" s="48"/>
      <c r="F42" s="48"/>
      <c r="G42" s="48"/>
      <c r="H42" s="48"/>
      <c r="I42" s="48"/>
      <c r="J42" s="48"/>
      <c r="K42" s="48"/>
      <c r="M42" s="51"/>
      <c r="N42" s="51"/>
      <c r="O42" s="48"/>
    </row>
    <row r="43" spans="1:15" x14ac:dyDescent="0.3">
      <c r="A43" s="48"/>
      <c r="B43" s="48"/>
      <c r="C43" s="48"/>
      <c r="D43" s="48"/>
      <c r="E43" s="48"/>
      <c r="F43" s="48"/>
      <c r="G43" s="48"/>
      <c r="H43" s="48"/>
      <c r="I43" s="48"/>
      <c r="J43" s="48"/>
      <c r="K43" s="48"/>
      <c r="M43" s="51"/>
      <c r="N43" s="51"/>
      <c r="O43" s="48"/>
    </row>
    <row r="44" spans="1:15" x14ac:dyDescent="0.3">
      <c r="A44" s="48"/>
      <c r="B44" s="48"/>
      <c r="C44" s="48"/>
      <c r="D44" s="48"/>
      <c r="E44" s="48"/>
      <c r="F44" s="48"/>
      <c r="G44" s="48"/>
      <c r="H44" s="48"/>
      <c r="I44" s="48"/>
      <c r="J44" s="48"/>
      <c r="K44" s="48"/>
      <c r="M44" s="51"/>
      <c r="N44" s="51"/>
      <c r="O44" s="48"/>
    </row>
    <row r="45" spans="1:15" x14ac:dyDescent="0.3">
      <c r="A45" s="48"/>
      <c r="B45" s="48"/>
      <c r="C45" s="48"/>
      <c r="D45" s="48"/>
      <c r="E45" s="48"/>
      <c r="F45" s="48"/>
      <c r="G45" s="48"/>
      <c r="H45" s="48"/>
      <c r="I45" s="48"/>
      <c r="J45" s="48"/>
      <c r="K45" s="48"/>
      <c r="M45" s="51"/>
      <c r="N45" s="51"/>
      <c r="O45" s="48"/>
    </row>
    <row r="46" spans="1:15" x14ac:dyDescent="0.3">
      <c r="A46" s="48"/>
      <c r="B46" s="48"/>
      <c r="C46" s="48"/>
      <c r="D46" s="48"/>
      <c r="E46" s="48"/>
      <c r="F46" s="48"/>
      <c r="G46" s="48"/>
      <c r="H46" s="48"/>
      <c r="I46" s="48"/>
      <c r="J46" s="48"/>
      <c r="K46" s="48"/>
      <c r="M46" s="51"/>
      <c r="N46" s="51"/>
      <c r="O46" s="48"/>
    </row>
    <row r="47" spans="1:15" x14ac:dyDescent="0.3">
      <c r="A47" s="48"/>
      <c r="B47" s="48"/>
      <c r="C47" s="48"/>
      <c r="D47" s="48"/>
      <c r="E47" s="48"/>
      <c r="F47" s="48"/>
      <c r="G47" s="48"/>
      <c r="H47" s="48"/>
      <c r="I47" s="48"/>
      <c r="J47" s="48"/>
      <c r="K47" s="48"/>
      <c r="O47" s="48"/>
    </row>
    <row r="48" spans="1:15" x14ac:dyDescent="0.3">
      <c r="A48" s="48"/>
      <c r="B48" s="48"/>
      <c r="C48" s="48"/>
      <c r="D48" s="48"/>
      <c r="E48" s="48"/>
      <c r="F48" s="48"/>
      <c r="G48" s="48"/>
      <c r="H48" s="48"/>
      <c r="I48" s="48"/>
      <c r="J48" s="48"/>
      <c r="K48" s="48"/>
      <c r="O48" s="48"/>
    </row>
    <row r="49" spans="1:15" x14ac:dyDescent="0.3">
      <c r="A49" s="48"/>
      <c r="B49" s="48"/>
      <c r="C49" s="48"/>
      <c r="D49" s="48"/>
      <c r="E49" s="48"/>
      <c r="F49" s="48"/>
      <c r="G49" s="48"/>
      <c r="H49" s="48"/>
      <c r="I49" s="48"/>
      <c r="J49" s="48"/>
      <c r="K49" s="48"/>
      <c r="O49" s="48"/>
    </row>
    <row r="50" spans="1:15" x14ac:dyDescent="0.3">
      <c r="A50" s="48"/>
      <c r="B50" s="48"/>
      <c r="C50" s="48"/>
      <c r="D50" s="48"/>
      <c r="E50" s="48"/>
      <c r="F50" s="48"/>
      <c r="G50" s="48"/>
      <c r="H50" s="48"/>
      <c r="I50" s="48"/>
      <c r="J50" s="48"/>
      <c r="K50" s="48"/>
      <c r="L50" s="48" t="s">
        <v>69</v>
      </c>
      <c r="O50" s="48"/>
    </row>
    <row r="51" spans="1:15" x14ac:dyDescent="0.3">
      <c r="A51" s="48"/>
      <c r="B51" s="48"/>
      <c r="C51" s="48"/>
      <c r="D51" s="48"/>
      <c r="E51" s="48"/>
      <c r="F51" s="48"/>
      <c r="G51" s="48"/>
      <c r="H51" s="48"/>
      <c r="I51" s="48"/>
      <c r="J51" s="48"/>
      <c r="K51" s="48"/>
      <c r="L51" s="48" t="s">
        <v>0</v>
      </c>
      <c r="O51" s="48"/>
    </row>
    <row r="52" spans="1:15" x14ac:dyDescent="0.3">
      <c r="A52" s="48"/>
      <c r="B52" s="48"/>
      <c r="C52" s="48"/>
      <c r="D52" s="48"/>
      <c r="E52" s="48"/>
      <c r="F52" s="48"/>
      <c r="G52" s="48"/>
      <c r="H52" s="48"/>
      <c r="I52" s="48"/>
      <c r="J52" s="48"/>
      <c r="K52" s="48"/>
      <c r="M52" s="48">
        <f>M7</f>
        <v>2023</v>
      </c>
      <c r="N52" s="48">
        <f>N7</f>
        <v>2024</v>
      </c>
      <c r="O52" s="48"/>
    </row>
    <row r="53" spans="1:15" x14ac:dyDescent="0.3">
      <c r="A53" s="48"/>
      <c r="B53" s="48"/>
      <c r="C53" s="48"/>
      <c r="D53" s="48"/>
      <c r="E53" s="48"/>
      <c r="F53" s="48"/>
      <c r="G53" s="48"/>
      <c r="H53" s="48"/>
      <c r="I53" s="48"/>
      <c r="J53" s="48"/>
      <c r="K53" s="48"/>
      <c r="L53" s="48" t="s">
        <v>54</v>
      </c>
      <c r="M53" s="51">
        <f>'Tabel 1.1'!G9</f>
        <v>182150338</v>
      </c>
      <c r="N53" s="51">
        <f>'Tabel 1.1'!H9</f>
        <v>180833727.40624002</v>
      </c>
      <c r="O53" s="48"/>
    </row>
    <row r="54" spans="1:15" x14ac:dyDescent="0.3">
      <c r="A54" s="48"/>
      <c r="B54" s="48"/>
      <c r="C54" s="48"/>
      <c r="D54" s="48"/>
      <c r="E54" s="48"/>
      <c r="F54" s="48"/>
      <c r="G54" s="48"/>
      <c r="H54" s="48"/>
      <c r="I54" s="48"/>
      <c r="J54" s="48"/>
      <c r="K54" s="48"/>
      <c r="L54" s="48" t="s">
        <v>55</v>
      </c>
      <c r="M54" s="51">
        <f>'Tabel 1.1'!G10</f>
        <v>689960</v>
      </c>
      <c r="N54" s="51">
        <f>'Tabel 1.1'!H10</f>
        <v>0</v>
      </c>
      <c r="O54" s="48"/>
    </row>
    <row r="55" spans="1:15" x14ac:dyDescent="0.3">
      <c r="A55" s="48"/>
      <c r="B55" s="48"/>
      <c r="C55" s="48"/>
      <c r="D55" s="48"/>
      <c r="E55" s="48"/>
      <c r="F55" s="48"/>
      <c r="G55" s="48"/>
      <c r="H55" s="48"/>
      <c r="I55" s="48"/>
      <c r="J55" s="48"/>
      <c r="K55" s="48"/>
      <c r="L55" s="48" t="s">
        <v>428</v>
      </c>
      <c r="M55" s="51">
        <f>'Tabel 1.1'!G11</f>
        <v>0</v>
      </c>
      <c r="N55" s="51">
        <f>'Tabel 1.1'!H11</f>
        <v>0</v>
      </c>
      <c r="O55" s="48"/>
    </row>
    <row r="56" spans="1:15" x14ac:dyDescent="0.3">
      <c r="A56" s="49" t="s">
        <v>497</v>
      </c>
      <c r="B56" s="48"/>
      <c r="C56" s="48"/>
      <c r="D56" s="48"/>
      <c r="E56" s="48"/>
      <c r="F56" s="48"/>
      <c r="G56" s="48"/>
      <c r="H56" s="48"/>
      <c r="I56" s="48"/>
      <c r="J56" s="48"/>
      <c r="K56" s="48"/>
      <c r="L56" s="48" t="s">
        <v>419</v>
      </c>
      <c r="M56" s="51">
        <f>'Tabel 1.1'!G12</f>
        <v>5358000.0491800001</v>
      </c>
      <c r="N56" s="51">
        <f>'Tabel 1.1'!H12</f>
        <v>6584967.8127199998</v>
      </c>
      <c r="O56" s="48"/>
    </row>
    <row r="57" spans="1:15" x14ac:dyDescent="0.3">
      <c r="A57" s="48"/>
      <c r="B57" s="48"/>
      <c r="C57" s="48"/>
      <c r="D57" s="48"/>
      <c r="E57" s="48"/>
      <c r="F57" s="48"/>
      <c r="G57" s="48"/>
      <c r="H57" s="48"/>
      <c r="I57" s="48"/>
      <c r="J57" s="48"/>
      <c r="K57" s="48"/>
      <c r="L57" s="48" t="s">
        <v>56</v>
      </c>
      <c r="M57" s="51">
        <f>'Tabel 1.1'!G13</f>
        <v>1571862</v>
      </c>
      <c r="N57" s="51">
        <f>'Tabel 1.1'!H13</f>
        <v>1788691</v>
      </c>
      <c r="O57" s="48"/>
    </row>
    <row r="58" spans="1:15" x14ac:dyDescent="0.3">
      <c r="A58" s="48"/>
      <c r="B58" s="48"/>
      <c r="C58" s="48"/>
      <c r="D58" s="48"/>
      <c r="E58" s="48"/>
      <c r="F58" s="48"/>
      <c r="G58" s="48"/>
      <c r="H58" s="48"/>
      <c r="I58" s="48"/>
      <c r="J58" s="48"/>
      <c r="K58" s="48"/>
      <c r="L58" s="48" t="s">
        <v>58</v>
      </c>
      <c r="M58" s="51">
        <f>'Tabel 1.1'!G14</f>
        <v>0</v>
      </c>
      <c r="N58" s="51">
        <f>'Tabel 1.1'!H14</f>
        <v>0</v>
      </c>
      <c r="O58" s="48"/>
    </row>
    <row r="59" spans="1:15" x14ac:dyDescent="0.3">
      <c r="A59" s="48"/>
      <c r="B59" s="48"/>
      <c r="C59" s="48"/>
      <c r="D59" s="48"/>
      <c r="E59" s="48"/>
      <c r="F59" s="48"/>
      <c r="G59" s="48"/>
      <c r="H59" s="48"/>
      <c r="I59" s="48"/>
      <c r="J59" s="48"/>
      <c r="K59" s="48"/>
      <c r="L59" s="48" t="s">
        <v>59</v>
      </c>
      <c r="M59" s="51">
        <f>'Tabel 1.1'!G16</f>
        <v>9863248</v>
      </c>
      <c r="N59" s="51">
        <f>'Tabel 1.1'!H16</f>
        <v>10849100</v>
      </c>
      <c r="O59" s="48"/>
    </row>
    <row r="60" spans="1:15" x14ac:dyDescent="0.3">
      <c r="A60" s="48"/>
      <c r="B60" s="48"/>
      <c r="C60" s="48"/>
      <c r="D60" s="48"/>
      <c r="E60" s="48"/>
      <c r="F60" s="48"/>
      <c r="G60" s="48"/>
      <c r="H60" s="48"/>
      <c r="I60" s="48"/>
      <c r="J60" s="48"/>
      <c r="K60" s="48"/>
      <c r="L60" s="48" t="s">
        <v>60</v>
      </c>
      <c r="M60" s="51">
        <f>'Tabel 1.1'!G17</f>
        <v>576634.80327407003</v>
      </c>
      <c r="N60" s="51">
        <f>'Tabel 1.1'!H17</f>
        <v>629850.56915</v>
      </c>
      <c r="O60" s="48"/>
    </row>
    <row r="61" spans="1:15" x14ac:dyDescent="0.3">
      <c r="A61" s="48"/>
      <c r="B61" s="48"/>
      <c r="C61" s="48"/>
      <c r="D61" s="48"/>
      <c r="E61" s="48"/>
      <c r="F61" s="48"/>
      <c r="G61" s="48"/>
      <c r="H61" s="48"/>
      <c r="I61" s="48"/>
      <c r="J61" s="48"/>
      <c r="K61" s="48"/>
      <c r="L61" s="48" t="s">
        <v>61</v>
      </c>
      <c r="M61" s="51">
        <f>'Tabel 1.1'!G18</f>
        <v>684665855.72836995</v>
      </c>
      <c r="N61" s="51">
        <f>'Tabel 1.1'!H18</f>
        <v>799889817.73760998</v>
      </c>
      <c r="O61" s="48"/>
    </row>
    <row r="62" spans="1:15" x14ac:dyDescent="0.3">
      <c r="A62" s="48"/>
      <c r="B62" s="48"/>
      <c r="C62" s="48"/>
      <c r="D62" s="48"/>
      <c r="E62" s="48"/>
      <c r="F62" s="48"/>
      <c r="G62" s="48"/>
      <c r="H62" s="48"/>
      <c r="I62" s="48"/>
      <c r="J62" s="48"/>
      <c r="K62" s="48"/>
      <c r="L62" s="48" t="s">
        <v>62</v>
      </c>
      <c r="M62" s="51">
        <f>'Tabel 1.1'!G19</f>
        <v>135144.10499999998</v>
      </c>
      <c r="N62" s="51">
        <f>'Tabel 1.1'!H19</f>
        <v>170090.69199999998</v>
      </c>
      <c r="O62" s="48"/>
    </row>
    <row r="63" spans="1:15" x14ac:dyDescent="0.3">
      <c r="A63" s="48"/>
      <c r="B63" s="48"/>
      <c r="C63" s="48"/>
      <c r="D63" s="48"/>
      <c r="E63" s="48"/>
      <c r="F63" s="48"/>
      <c r="G63" s="48"/>
      <c r="H63" s="48"/>
      <c r="I63" s="48"/>
      <c r="J63" s="48"/>
      <c r="K63" s="48"/>
      <c r="L63" s="48" t="s">
        <v>427</v>
      </c>
      <c r="M63" s="51">
        <f>'Tabel 1.1'!G20</f>
        <v>0</v>
      </c>
      <c r="N63" s="51">
        <f>'Tabel 1.1'!H20</f>
        <v>0</v>
      </c>
      <c r="O63" s="48"/>
    </row>
    <row r="64" spans="1:15" x14ac:dyDescent="0.3">
      <c r="A64" s="48"/>
      <c r="B64" s="48"/>
      <c r="C64" s="48"/>
      <c r="D64" s="48"/>
      <c r="E64" s="48"/>
      <c r="F64" s="48"/>
      <c r="G64" s="48"/>
      <c r="H64" s="48"/>
      <c r="I64" s="48"/>
      <c r="J64" s="48"/>
      <c r="K64" s="48"/>
      <c r="L64" s="48" t="s">
        <v>432</v>
      </c>
      <c r="M64" s="51">
        <f>'Tabel 1.1'!G21</f>
        <v>0</v>
      </c>
      <c r="N64" s="51">
        <f>'Tabel 1.1'!H21</f>
        <v>0</v>
      </c>
      <c r="O64" s="48"/>
    </row>
    <row r="65" spans="1:15" x14ac:dyDescent="0.3">
      <c r="A65" s="48"/>
      <c r="B65" s="48"/>
      <c r="C65" s="48"/>
      <c r="D65" s="48"/>
      <c r="E65" s="48"/>
      <c r="F65" s="48"/>
      <c r="G65" s="48"/>
      <c r="H65" s="48"/>
      <c r="I65" s="48"/>
      <c r="J65" s="48"/>
      <c r="K65" s="48"/>
      <c r="L65" s="48" t="s">
        <v>63</v>
      </c>
      <c r="M65" s="51">
        <f>'Tabel 1.1'!G22</f>
        <v>54065629.99999816</v>
      </c>
      <c r="N65" s="51">
        <f>'Tabel 1.1'!H22</f>
        <v>54748349.999999203</v>
      </c>
      <c r="O65" s="48"/>
    </row>
    <row r="66" spans="1:15" x14ac:dyDescent="0.3">
      <c r="A66" s="48"/>
      <c r="B66" s="48"/>
      <c r="C66" s="48"/>
      <c r="D66" s="48"/>
      <c r="E66" s="48"/>
      <c r="F66" s="48"/>
      <c r="G66" s="48"/>
      <c r="H66" s="48"/>
      <c r="I66" s="48"/>
      <c r="J66" s="48"/>
      <c r="K66" s="48"/>
      <c r="L66" s="48" t="s">
        <v>468</v>
      </c>
      <c r="M66" s="51">
        <f>'Tabel 1.1'!G23</f>
        <v>0</v>
      </c>
      <c r="N66" s="51">
        <f>'Tabel 1.1'!H23</f>
        <v>0</v>
      </c>
      <c r="O66" s="48"/>
    </row>
    <row r="67" spans="1:15" x14ac:dyDescent="0.3">
      <c r="A67" s="48"/>
      <c r="B67" s="48"/>
      <c r="C67" s="48"/>
      <c r="D67" s="48"/>
      <c r="E67" s="48"/>
      <c r="F67" s="48"/>
      <c r="G67" s="48"/>
      <c r="H67" s="48"/>
      <c r="I67" s="48"/>
      <c r="J67" s="48"/>
      <c r="K67" s="48"/>
      <c r="L67" s="48" t="s">
        <v>64</v>
      </c>
      <c r="M67" s="51">
        <f>'Tabel 1.1'!G24</f>
        <v>121634234</v>
      </c>
      <c r="N67" s="51">
        <f>'Tabel 1.1'!H24</f>
        <v>130120437</v>
      </c>
      <c r="O67" s="48"/>
    </row>
    <row r="68" spans="1:15" x14ac:dyDescent="0.3">
      <c r="A68" s="48"/>
      <c r="B68" s="48"/>
      <c r="C68" s="48"/>
      <c r="D68" s="48"/>
      <c r="E68" s="48"/>
      <c r="F68" s="48"/>
      <c r="G68" s="48"/>
      <c r="H68" s="48"/>
      <c r="I68" s="48"/>
      <c r="J68" s="48"/>
      <c r="K68" s="48"/>
      <c r="L68" s="48" t="s">
        <v>431</v>
      </c>
      <c r="M68" s="51">
        <f>'Tabel 1.1'!G26</f>
        <v>19205680.644109998</v>
      </c>
      <c r="N68" s="51">
        <f>'Tabel 1.1'!H26</f>
        <v>22598085.538499996</v>
      </c>
      <c r="O68" s="48"/>
    </row>
    <row r="69" spans="1:15" x14ac:dyDescent="0.3">
      <c r="A69" s="48"/>
      <c r="B69" s="48"/>
      <c r="C69" s="48"/>
      <c r="D69" s="48"/>
      <c r="E69" s="48"/>
      <c r="F69" s="48"/>
      <c r="G69" s="48"/>
      <c r="H69" s="48"/>
      <c r="I69" s="48"/>
      <c r="J69" s="48"/>
      <c r="K69" s="48"/>
      <c r="L69" s="48" t="s">
        <v>442</v>
      </c>
      <c r="M69" s="51">
        <f>'Tabel 1.1'!G27</f>
        <v>201901381.48558003</v>
      </c>
      <c r="N69" s="51">
        <f>'Tabel 1.1'!H27</f>
        <v>211434057.99526995</v>
      </c>
      <c r="O69" s="48"/>
    </row>
    <row r="70" spans="1:15" x14ac:dyDescent="0.3">
      <c r="A70" s="48"/>
      <c r="B70" s="48"/>
      <c r="C70" s="48"/>
      <c r="D70" s="48"/>
      <c r="E70" s="48"/>
      <c r="F70" s="48"/>
      <c r="G70" s="48"/>
      <c r="H70" s="48"/>
      <c r="I70" s="48"/>
      <c r="J70" s="48"/>
      <c r="K70" s="48"/>
      <c r="L70" s="48" t="s">
        <v>90</v>
      </c>
      <c r="M70" s="51">
        <f>'Tabel 1.1'!G28</f>
        <v>0</v>
      </c>
      <c r="N70" s="51">
        <f>'Tabel 1.1'!H28</f>
        <v>0</v>
      </c>
      <c r="O70" s="48"/>
    </row>
    <row r="71" spans="1:15" x14ac:dyDescent="0.3">
      <c r="A71" s="48"/>
      <c r="B71" s="48"/>
      <c r="C71" s="48"/>
      <c r="D71" s="48"/>
      <c r="E71" s="48"/>
      <c r="F71" s="48"/>
      <c r="G71" s="48"/>
      <c r="H71" s="48"/>
      <c r="I71" s="48"/>
      <c r="J71" s="48"/>
      <c r="K71" s="48"/>
      <c r="L71" s="48" t="s">
        <v>91</v>
      </c>
      <c r="M71" s="51">
        <f>'Tabel 1.1'!G29</f>
        <v>0</v>
      </c>
      <c r="N71" s="51">
        <f>'Tabel 1.1'!H29</f>
        <v>0</v>
      </c>
      <c r="O71" s="48"/>
    </row>
    <row r="72" spans="1:15" x14ac:dyDescent="0.3">
      <c r="A72" s="48"/>
      <c r="B72" s="48"/>
      <c r="C72" s="48"/>
      <c r="D72" s="48"/>
      <c r="E72" s="48"/>
      <c r="F72" s="48"/>
      <c r="G72" s="48"/>
      <c r="H72" s="48"/>
      <c r="I72" s="48"/>
      <c r="J72" s="48"/>
      <c r="K72" s="48"/>
      <c r="L72" s="48" t="s">
        <v>425</v>
      </c>
      <c r="M72" s="51">
        <f>'Tabel 1.1'!G30</f>
        <v>0</v>
      </c>
      <c r="N72" s="51">
        <f>'Tabel 1.1'!H30</f>
        <v>0</v>
      </c>
      <c r="O72" s="48"/>
    </row>
    <row r="73" spans="1:15" x14ac:dyDescent="0.3">
      <c r="A73" s="48"/>
      <c r="B73" s="48"/>
      <c r="C73" s="48"/>
      <c r="D73" s="48"/>
      <c r="E73" s="48"/>
      <c r="F73" s="48"/>
      <c r="G73" s="48"/>
      <c r="H73" s="48"/>
      <c r="I73" s="48"/>
      <c r="J73" s="48"/>
      <c r="K73" s="48"/>
      <c r="L73" s="48" t="s">
        <v>435</v>
      </c>
      <c r="M73" s="51">
        <f>'Tabel 1.1'!G31</f>
        <v>27371</v>
      </c>
      <c r="N73" s="51">
        <f>'Tabel 1.1'!H31</f>
        <v>53820</v>
      </c>
      <c r="O73" s="48"/>
    </row>
    <row r="74" spans="1:15" x14ac:dyDescent="0.3">
      <c r="A74" s="48"/>
      <c r="B74" s="48"/>
      <c r="C74" s="48"/>
      <c r="D74" s="48"/>
      <c r="E74" s="48"/>
      <c r="F74" s="48"/>
      <c r="G74" s="48"/>
      <c r="H74" s="48"/>
      <c r="I74" s="48"/>
      <c r="J74" s="48"/>
      <c r="K74" s="48"/>
      <c r="O74" s="48"/>
    </row>
    <row r="75" spans="1:15" x14ac:dyDescent="0.3">
      <c r="A75" s="48"/>
      <c r="B75" s="48"/>
      <c r="C75" s="48"/>
      <c r="D75" s="48"/>
      <c r="E75" s="48"/>
      <c r="F75" s="48"/>
      <c r="G75" s="48"/>
      <c r="H75" s="48"/>
      <c r="I75" s="48"/>
      <c r="J75" s="48"/>
      <c r="K75" s="48"/>
      <c r="O75" s="48"/>
    </row>
    <row r="76" spans="1:15" x14ac:dyDescent="0.3">
      <c r="A76" s="48"/>
      <c r="B76" s="48"/>
      <c r="C76" s="48"/>
      <c r="D76" s="48"/>
      <c r="E76" s="48"/>
      <c r="F76" s="48"/>
      <c r="G76" s="48"/>
      <c r="H76" s="48"/>
      <c r="I76" s="48"/>
      <c r="J76" s="48"/>
      <c r="K76" s="48"/>
      <c r="O76" s="48"/>
    </row>
    <row r="77" spans="1:15" x14ac:dyDescent="0.3">
      <c r="A77" s="48"/>
      <c r="B77" s="48"/>
      <c r="C77" s="48"/>
      <c r="D77" s="48"/>
      <c r="E77" s="48"/>
      <c r="F77" s="48"/>
      <c r="G77" s="48"/>
      <c r="H77" s="48"/>
      <c r="I77" s="48"/>
      <c r="J77" s="48"/>
      <c r="K77" s="48"/>
      <c r="O77" s="48"/>
    </row>
    <row r="78" spans="1:15" x14ac:dyDescent="0.3">
      <c r="A78" s="48"/>
      <c r="B78" s="48"/>
      <c r="C78" s="48"/>
      <c r="D78" s="48"/>
      <c r="E78" s="48"/>
      <c r="F78" s="48"/>
      <c r="G78" s="48"/>
      <c r="H78" s="48"/>
      <c r="I78" s="48"/>
      <c r="J78" s="48"/>
      <c r="K78" s="48"/>
      <c r="O78" s="48"/>
    </row>
    <row r="79" spans="1:15" x14ac:dyDescent="0.3">
      <c r="A79" s="48"/>
      <c r="B79" s="48"/>
      <c r="C79" s="48"/>
      <c r="D79" s="48"/>
      <c r="E79" s="48"/>
      <c r="F79" s="48"/>
      <c r="G79" s="48"/>
      <c r="H79" s="48"/>
      <c r="I79" s="48"/>
      <c r="J79" s="48"/>
      <c r="K79" s="48"/>
      <c r="O79" s="48"/>
    </row>
    <row r="80" spans="1:15" x14ac:dyDescent="0.3">
      <c r="A80" s="49" t="s">
        <v>498</v>
      </c>
      <c r="B80" s="48"/>
      <c r="C80" s="48"/>
      <c r="D80" s="48"/>
      <c r="E80" s="48"/>
      <c r="F80" s="48"/>
      <c r="G80" s="48"/>
      <c r="H80" s="48"/>
      <c r="I80" s="48"/>
      <c r="J80" s="48"/>
      <c r="K80" s="48"/>
      <c r="O80" s="48"/>
    </row>
    <row r="81" spans="1:15" x14ac:dyDescent="0.3">
      <c r="B81" s="48"/>
      <c r="C81" s="48"/>
      <c r="D81" s="48"/>
      <c r="E81" s="48"/>
      <c r="F81" s="48"/>
      <c r="G81" s="48"/>
      <c r="H81" s="48"/>
      <c r="I81" s="48"/>
      <c r="J81" s="48"/>
      <c r="K81" s="48"/>
      <c r="O81" s="48"/>
    </row>
    <row r="82" spans="1:15" x14ac:dyDescent="0.3">
      <c r="A82" s="48"/>
      <c r="B82" s="48"/>
      <c r="C82" s="48"/>
      <c r="D82" s="48"/>
      <c r="E82" s="48"/>
      <c r="F82" s="48"/>
      <c r="G82" s="48"/>
      <c r="H82" s="48"/>
      <c r="I82" s="48"/>
      <c r="J82" s="48"/>
      <c r="K82" s="48"/>
      <c r="L82" s="48" t="s">
        <v>69</v>
      </c>
      <c r="O82" s="48"/>
    </row>
    <row r="83" spans="1:15" x14ac:dyDescent="0.3">
      <c r="A83" s="48"/>
      <c r="B83" s="48"/>
      <c r="C83" s="48"/>
      <c r="D83" s="48"/>
      <c r="E83" s="48"/>
      <c r="F83" s="48"/>
      <c r="G83" s="48"/>
      <c r="H83" s="48"/>
      <c r="I83" s="48"/>
      <c r="J83" s="48"/>
      <c r="K83" s="48"/>
      <c r="L83" s="48" t="s">
        <v>1</v>
      </c>
      <c r="O83" s="48"/>
    </row>
    <row r="84" spans="1:15" x14ac:dyDescent="0.3">
      <c r="A84" s="48"/>
      <c r="B84" s="48"/>
      <c r="C84" s="48"/>
      <c r="D84" s="48"/>
      <c r="E84" s="48"/>
      <c r="F84" s="48"/>
      <c r="G84" s="48"/>
      <c r="H84" s="48"/>
      <c r="I84" s="48"/>
      <c r="J84" s="48"/>
      <c r="K84" s="48"/>
      <c r="M84" s="48">
        <f>M7</f>
        <v>2023</v>
      </c>
      <c r="N84" s="48">
        <f>N7</f>
        <v>2024</v>
      </c>
      <c r="O84" s="48"/>
    </row>
    <row r="85" spans="1:15" x14ac:dyDescent="0.3">
      <c r="B85" s="48"/>
      <c r="C85" s="48"/>
      <c r="D85" s="48"/>
      <c r="E85" s="48"/>
      <c r="F85" s="48"/>
      <c r="G85" s="48"/>
      <c r="H85" s="48"/>
      <c r="I85" s="48"/>
      <c r="J85" s="48"/>
      <c r="K85" s="48"/>
      <c r="L85" s="48" t="s">
        <v>54</v>
      </c>
      <c r="M85" s="51">
        <f>'Tabel 1.1'!G35</f>
        <v>166722259.954</v>
      </c>
      <c r="N85" s="51">
        <f>'Tabel 1.1'!H35</f>
        <v>202254881.60222104</v>
      </c>
      <c r="O85" s="48"/>
    </row>
    <row r="86" spans="1:15" x14ac:dyDescent="0.3">
      <c r="B86" s="48"/>
      <c r="C86" s="48"/>
      <c r="D86" s="48"/>
      <c r="E86" s="48"/>
      <c r="F86" s="48"/>
      <c r="G86" s="48"/>
      <c r="H86" s="48"/>
      <c r="I86" s="48"/>
      <c r="J86" s="48"/>
      <c r="K86" s="48"/>
      <c r="L86" s="48" t="s">
        <v>59</v>
      </c>
      <c r="M86" s="51">
        <f>'Tabel 1.1'!G36</f>
        <v>59855898</v>
      </c>
      <c r="N86" s="51">
        <f>'Tabel 1.1'!H36</f>
        <v>76891950</v>
      </c>
      <c r="O86" s="48"/>
    </row>
    <row r="87" spans="1:15" x14ac:dyDescent="0.3">
      <c r="B87" s="48"/>
      <c r="C87" s="48"/>
      <c r="D87" s="48"/>
      <c r="E87" s="48"/>
      <c r="F87" s="48"/>
      <c r="G87" s="48"/>
      <c r="H87" s="48"/>
      <c r="I87" s="48"/>
      <c r="J87" s="48"/>
      <c r="K87" s="48"/>
      <c r="L87" s="48" t="s">
        <v>61</v>
      </c>
      <c r="M87" s="51">
        <f>'Tabel 1.1'!G37</f>
        <v>2769122.9589300002</v>
      </c>
      <c r="N87" s="51">
        <f>'Tabel 1.1'!H37</f>
        <v>2886767.1387900002</v>
      </c>
      <c r="O87" s="48"/>
    </row>
    <row r="88" spans="1:15" x14ac:dyDescent="0.3">
      <c r="B88" s="48"/>
      <c r="C88" s="48"/>
      <c r="D88" s="48"/>
      <c r="E88" s="48"/>
      <c r="F88" s="48"/>
      <c r="G88" s="48"/>
      <c r="H88" s="48"/>
      <c r="I88" s="48"/>
      <c r="J88" s="48"/>
      <c r="K88" s="48"/>
      <c r="L88" s="48" t="s">
        <v>63</v>
      </c>
      <c r="M88" s="51">
        <f>'Tabel 1.1'!G38</f>
        <v>147002430.00000003</v>
      </c>
      <c r="N88" s="51">
        <f>'Tabel 1.1'!H38</f>
        <v>184044040</v>
      </c>
      <c r="O88" s="48"/>
    </row>
    <row r="89" spans="1:15" x14ac:dyDescent="0.3">
      <c r="B89" s="48"/>
      <c r="C89" s="48"/>
      <c r="D89" s="48"/>
      <c r="E89" s="48"/>
      <c r="F89" s="48"/>
      <c r="G89" s="48"/>
      <c r="H89" s="48"/>
      <c r="I89" s="48"/>
      <c r="J89" s="48"/>
      <c r="K89" s="48"/>
      <c r="L89" s="48" t="s">
        <v>431</v>
      </c>
      <c r="M89" s="51">
        <f>'Tabel 1.1'!G39</f>
        <v>69619506.7468099</v>
      </c>
      <c r="N89" s="51">
        <f>'Tabel 1.1'!H39</f>
        <v>85361398.641639888</v>
      </c>
      <c r="O89" s="48"/>
    </row>
    <row r="90" spans="1:15" x14ac:dyDescent="0.3">
      <c r="B90" s="48"/>
      <c r="C90" s="48"/>
      <c r="D90" s="48"/>
      <c r="E90" s="48"/>
      <c r="F90" s="48"/>
      <c r="G90" s="48"/>
      <c r="H90" s="48"/>
      <c r="I90" s="48"/>
      <c r="J90" s="48"/>
      <c r="K90" s="48"/>
      <c r="L90" s="48" t="s">
        <v>442</v>
      </c>
      <c r="M90" s="51">
        <f>'Tabel 1.1'!G40</f>
        <v>209344698.42835</v>
      </c>
      <c r="N90" s="51">
        <f>'Tabel 1.1'!H40</f>
        <v>248216030.50176004</v>
      </c>
      <c r="O90" s="48"/>
    </row>
    <row r="91" spans="1:15" x14ac:dyDescent="0.3">
      <c r="A91" s="48"/>
      <c r="B91" s="48"/>
      <c r="C91" s="48"/>
      <c r="D91" s="48"/>
      <c r="E91" s="48"/>
      <c r="F91" s="48"/>
      <c r="G91" s="48"/>
      <c r="H91" s="48"/>
      <c r="I91" s="48"/>
      <c r="J91" s="48"/>
      <c r="K91" s="48"/>
      <c r="O91" s="48"/>
    </row>
    <row r="92" spans="1:15" ht="18.75" customHeight="1" x14ac:dyDescent="0.3">
      <c r="A92" s="48"/>
      <c r="B92" s="48"/>
      <c r="C92" s="48"/>
      <c r="D92" s="48"/>
      <c r="E92" s="48"/>
      <c r="F92" s="48"/>
      <c r="G92" s="48"/>
      <c r="H92" s="48"/>
      <c r="I92" s="48"/>
      <c r="J92" s="48"/>
      <c r="K92" s="48"/>
      <c r="O92" s="48"/>
    </row>
    <row r="93" spans="1:15" ht="18.75" customHeight="1" x14ac:dyDescent="0.3">
      <c r="A93" s="48"/>
      <c r="B93" s="48"/>
      <c r="C93" s="48"/>
      <c r="D93" s="48"/>
      <c r="E93" s="48"/>
      <c r="F93" s="48"/>
      <c r="G93" s="48"/>
      <c r="H93" s="48"/>
      <c r="I93" s="48"/>
      <c r="J93" s="48"/>
      <c r="K93" s="48"/>
      <c r="O93" s="48"/>
    </row>
    <row r="94" spans="1:15" ht="18.75" customHeight="1" x14ac:dyDescent="0.3">
      <c r="A94" s="48"/>
      <c r="B94" s="48"/>
      <c r="C94" s="48"/>
      <c r="D94" s="48"/>
      <c r="E94" s="48"/>
      <c r="F94" s="48"/>
      <c r="G94" s="48"/>
      <c r="H94" s="48"/>
      <c r="I94" s="48"/>
      <c r="J94" s="48"/>
      <c r="K94" s="48"/>
      <c r="O94" s="48"/>
    </row>
    <row r="95" spans="1:15" ht="18.75" customHeight="1" x14ac:dyDescent="0.3">
      <c r="A95" s="48"/>
      <c r="B95" s="48"/>
      <c r="C95" s="48"/>
      <c r="D95" s="48"/>
      <c r="E95" s="48"/>
      <c r="F95" s="48"/>
      <c r="G95" s="48"/>
      <c r="H95" s="48"/>
      <c r="I95" s="48"/>
      <c r="J95" s="48"/>
      <c r="K95" s="48"/>
      <c r="O95" s="48"/>
    </row>
    <row r="96" spans="1:15" ht="18.75" customHeight="1" x14ac:dyDescent="0.3">
      <c r="A96" s="48"/>
      <c r="B96" s="48"/>
      <c r="C96" s="48"/>
      <c r="D96" s="48"/>
      <c r="E96" s="48"/>
      <c r="F96" s="48"/>
      <c r="G96" s="48"/>
      <c r="H96" s="48"/>
      <c r="I96" s="48"/>
      <c r="J96" s="48"/>
      <c r="K96" s="48"/>
      <c r="O96" s="48"/>
    </row>
    <row r="97" spans="1:17" ht="18.75" customHeight="1" x14ac:dyDescent="0.3">
      <c r="A97" s="48"/>
      <c r="B97" s="48"/>
      <c r="C97" s="48"/>
      <c r="D97" s="48"/>
      <c r="E97" s="48"/>
      <c r="F97" s="48"/>
      <c r="G97" s="48"/>
      <c r="H97" s="48"/>
      <c r="I97" s="48"/>
      <c r="J97" s="48"/>
      <c r="K97" s="48"/>
      <c r="L97" s="48" t="s">
        <v>70</v>
      </c>
      <c r="O97" s="48"/>
      <c r="Q97" s="48"/>
    </row>
    <row r="98" spans="1:17" ht="18.75" customHeight="1" x14ac:dyDescent="0.3">
      <c r="A98" s="48"/>
      <c r="B98" s="48"/>
      <c r="C98" s="48"/>
      <c r="D98" s="48"/>
      <c r="E98" s="48"/>
      <c r="F98" s="48"/>
      <c r="G98" s="48"/>
      <c r="H98" s="48"/>
      <c r="I98" s="48"/>
      <c r="J98" s="48"/>
      <c r="K98" s="48"/>
      <c r="L98" s="48" t="s">
        <v>0</v>
      </c>
      <c r="O98" s="48"/>
      <c r="Q98" s="48"/>
    </row>
    <row r="99" spans="1:17" ht="18.75" customHeight="1" x14ac:dyDescent="0.3">
      <c r="A99" s="48"/>
      <c r="B99" s="48"/>
      <c r="C99" s="48"/>
      <c r="D99" s="48"/>
      <c r="E99" s="48"/>
      <c r="F99" s="48"/>
      <c r="G99" s="48"/>
      <c r="H99" s="48"/>
      <c r="I99" s="48"/>
      <c r="J99" s="48"/>
      <c r="K99" s="48"/>
      <c r="M99" s="48">
        <f>M7</f>
        <v>2023</v>
      </c>
      <c r="N99" s="48">
        <f>N7</f>
        <v>2024</v>
      </c>
      <c r="O99" s="48"/>
      <c r="Q99" s="48"/>
    </row>
    <row r="100" spans="1:17" ht="18.75" customHeight="1" x14ac:dyDescent="0.3">
      <c r="A100" s="48"/>
      <c r="B100" s="48"/>
      <c r="C100" s="48"/>
      <c r="D100" s="48"/>
      <c r="E100" s="48"/>
      <c r="F100" s="48"/>
      <c r="G100" s="48"/>
      <c r="H100" s="48"/>
      <c r="I100" s="48"/>
      <c r="J100" s="48"/>
      <c r="K100" s="48"/>
      <c r="L100" s="48" t="s">
        <v>54</v>
      </c>
      <c r="M100" s="51">
        <f>'DNB Livsforsikring'!B11-'DNB Livsforsikring'!B12+'DNB Livsforsikring'!B34-'DNB Livsforsikring'!B35+'DNB Livsforsikring'!B38-'DNB Livsforsikring'!B39+'DNB Livsforsikring'!B111-'DNB Livsforsikring'!B119+'DNB Livsforsikring'!B136-'DNB Livsforsikring'!B137</f>
        <v>254527</v>
      </c>
      <c r="N100" s="51">
        <f>'DNB Livsforsikring'!C11-'DNB Livsforsikring'!C12+'DNB Livsforsikring'!C34-'DNB Livsforsikring'!C35+'DNB Livsforsikring'!C38-'DNB Livsforsikring'!C39+'DNB Livsforsikring'!C111-'DNB Livsforsikring'!C119+'DNB Livsforsikring'!C136-'DNB Livsforsikring'!C137</f>
        <v>761574</v>
      </c>
      <c r="O100" s="48"/>
      <c r="Q100" s="48"/>
    </row>
    <row r="101" spans="1:17" ht="18.75" customHeight="1" x14ac:dyDescent="0.3">
      <c r="A101" s="48"/>
      <c r="B101" s="48"/>
      <c r="C101" s="48"/>
      <c r="D101" s="48"/>
      <c r="E101" s="48"/>
      <c r="F101" s="48"/>
      <c r="G101" s="48"/>
      <c r="H101" s="48"/>
      <c r="I101" s="48"/>
      <c r="J101" s="48"/>
      <c r="K101" s="48"/>
      <c r="L101" s="48" t="s">
        <v>59</v>
      </c>
      <c r="M101" s="51">
        <f>'Gjensidige Pensjon'!B11-'Gjensidige Pensjon'!B12+'Gjensidige Pensjon'!B34-'Gjensidige Pensjon'!B35+'Gjensidige Pensjon'!B38-'Gjensidige Pensjon'!B39+'Gjensidige Pensjon'!B111-'Gjensidige Pensjon'!B119+'Gjensidige Pensjon'!B136-'Gjensidige Pensjon'!B137</f>
        <v>92671</v>
      </c>
      <c r="N101" s="51">
        <f>'Gjensidige Pensjon'!C11-'Gjensidige Pensjon'!C12+'Gjensidige Pensjon'!C34-'Gjensidige Pensjon'!C35+'Gjensidige Pensjon'!C38-'Gjensidige Pensjon'!C39+'Gjensidige Pensjon'!C111-'Gjensidige Pensjon'!C119+'Gjensidige Pensjon'!C136-'Gjensidige Pensjon'!C137</f>
        <v>71465</v>
      </c>
      <c r="O101" s="48"/>
      <c r="Q101" s="48"/>
    </row>
    <row r="102" spans="1:17" ht="18.75" customHeight="1" x14ac:dyDescent="0.3">
      <c r="A102" s="48"/>
      <c r="B102" s="48"/>
      <c r="C102" s="48"/>
      <c r="D102" s="48"/>
      <c r="E102" s="48"/>
      <c r="F102" s="48"/>
      <c r="G102" s="48"/>
      <c r="H102" s="48"/>
      <c r="I102" s="48"/>
      <c r="J102" s="48"/>
      <c r="K102" s="48"/>
      <c r="L102" s="48" t="s">
        <v>61</v>
      </c>
      <c r="M102" s="51">
        <f>KLP!B11-KLP!B12+KLP!B34-KLP!B35+KLP!B38-KLP!B39+KLP!B111-KLP!B119+KLP!B136-KLP!B137</f>
        <v>-2047522.9409999999</v>
      </c>
      <c r="N102" s="51">
        <f>KLP!C11-KLP!C12+KLP!C34-KLP!C35+KLP!C38-KLP!C39+KLP!C111-KLP!C119+KLP!C136-KLP!C137</f>
        <v>-2420417.111</v>
      </c>
      <c r="O102" s="48"/>
      <c r="Q102" s="48"/>
    </row>
    <row r="103" spans="1:17" ht="18.75" customHeight="1" x14ac:dyDescent="0.3">
      <c r="A103" s="48"/>
      <c r="B103" s="48"/>
      <c r="C103" s="48"/>
      <c r="D103" s="48"/>
      <c r="E103" s="48"/>
      <c r="F103" s="48"/>
      <c r="G103" s="48"/>
      <c r="H103" s="48"/>
      <c r="I103" s="48"/>
      <c r="J103" s="48"/>
      <c r="K103" s="48"/>
      <c r="L103" s="48" t="s">
        <v>63</v>
      </c>
      <c r="M103" s="51">
        <f>'Nordea Liv '!B11-'Nordea Liv '!B12+'Nordea Liv '!B34-'Nordea Liv '!B35+'Nordea Liv '!B38-'Nordea Liv '!B39+'Nordea Liv '!B111-'Nordea Liv '!B119+'Nordea Liv '!B136-'Nordea Liv '!B137</f>
        <v>-76995.75611000041</v>
      </c>
      <c r="N103" s="51">
        <f>'Nordea Liv '!C11-'Nordea Liv '!C12+'Nordea Liv '!C34-'Nordea Liv '!C35+'Nordea Liv '!C38-'Nordea Liv '!C39+'Nordea Liv '!C111-'Nordea Liv '!C119+'Nordea Liv '!C136-'Nordea Liv '!C137</f>
        <v>18021.551449999803</v>
      </c>
      <c r="O103" s="48"/>
      <c r="Q103" s="48"/>
    </row>
    <row r="104" spans="1:17" ht="18.75" customHeight="1" x14ac:dyDescent="0.3">
      <c r="A104" s="48"/>
      <c r="B104" s="48"/>
      <c r="C104" s="48"/>
      <c r="D104" s="48"/>
      <c r="E104" s="48"/>
      <c r="F104" s="48"/>
      <c r="G104" s="48"/>
      <c r="H104" s="48"/>
      <c r="I104" s="48"/>
      <c r="J104" s="48"/>
      <c r="K104" s="48"/>
      <c r="L104" s="48" t="s">
        <v>431</v>
      </c>
      <c r="M104" s="51">
        <f>'Sparebank 1 Forsikring'!B11-'Sparebank 1 Forsikring'!B12+'Sparebank 1 Forsikring'!B34-'Sparebank 1 Forsikring'!B35+'Sparebank 1 Forsikring'!B38-'Sparebank 1 Forsikring'!B39+'Sparebank 1 Forsikring'!B111-'Sparebank 1 Forsikring'!B119+'Sparebank 1 Forsikring'!B136-'Sparebank 1 Forsikring'!B137</f>
        <v>-28286.631610000004</v>
      </c>
      <c r="N104" s="51">
        <f>'Sparebank 1 Forsikring'!C11-'Sparebank 1 Forsikring'!C12+'Sparebank 1 Forsikring'!C34-'Sparebank 1 Forsikring'!C35+'Sparebank 1 Forsikring'!C38-'Sparebank 1 Forsikring'!C39+'Sparebank 1 Forsikring'!C111-'Sparebank 1 Forsikring'!C119+'Sparebank 1 Forsikring'!C136-'Sparebank 1 Forsikring'!C137</f>
        <v>-5650.6208700000061</v>
      </c>
      <c r="O104" s="48"/>
      <c r="Q104" s="48"/>
    </row>
    <row r="105" spans="1:17" ht="18.75" customHeight="1" x14ac:dyDescent="0.3">
      <c r="A105" s="48"/>
      <c r="B105" s="48"/>
      <c r="C105" s="48"/>
      <c r="D105" s="48"/>
      <c r="E105" s="48"/>
      <c r="F105" s="48"/>
      <c r="G105" s="48"/>
      <c r="H105" s="48"/>
      <c r="I105" s="48"/>
      <c r="J105" s="48"/>
      <c r="K105" s="48"/>
      <c r="L105" s="48" t="s">
        <v>442</v>
      </c>
      <c r="M105" s="5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866718.98226999992</v>
      </c>
      <c r="N105" s="5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2283149.0040899999</v>
      </c>
      <c r="O105" s="48"/>
      <c r="Q105" s="48"/>
    </row>
    <row r="106" spans="1:17" ht="18.75" customHeight="1" x14ac:dyDescent="0.3">
      <c r="A106" s="49" t="s">
        <v>499</v>
      </c>
      <c r="B106" s="48"/>
      <c r="C106" s="48"/>
      <c r="D106" s="48"/>
      <c r="E106" s="48"/>
      <c r="F106" s="48"/>
      <c r="G106" s="48"/>
      <c r="H106" s="48"/>
      <c r="I106" s="48"/>
      <c r="J106" s="48"/>
      <c r="K106" s="48"/>
      <c r="M106" s="51"/>
      <c r="N106" s="51"/>
      <c r="O106" s="48"/>
      <c r="Q106" s="48"/>
    </row>
    <row r="107" spans="1:17" ht="18.75" customHeight="1" x14ac:dyDescent="0.3">
      <c r="A107" s="48"/>
      <c r="B107" s="48"/>
      <c r="C107" s="48"/>
      <c r="D107" s="48"/>
      <c r="E107" s="48"/>
      <c r="F107" s="48"/>
      <c r="G107" s="48"/>
      <c r="H107" s="48"/>
      <c r="I107" s="48"/>
      <c r="J107" s="48"/>
      <c r="K107" s="48"/>
      <c r="M107" s="51"/>
      <c r="N107" s="51"/>
      <c r="O107" s="48"/>
      <c r="Q107" s="48"/>
    </row>
    <row r="108" spans="1:17" ht="18.75" customHeight="1" x14ac:dyDescent="0.3">
      <c r="A108" s="48"/>
      <c r="B108" s="48"/>
      <c r="C108" s="48"/>
      <c r="D108" s="48"/>
      <c r="E108" s="48"/>
      <c r="F108" s="48"/>
      <c r="G108" s="48"/>
      <c r="H108" s="48"/>
      <c r="I108" s="48"/>
      <c r="J108" s="48"/>
      <c r="K108" s="48"/>
      <c r="M108" s="51"/>
      <c r="N108" s="51"/>
      <c r="O108" s="48"/>
      <c r="Q108" s="48"/>
    </row>
    <row r="109" spans="1:17" ht="18.75" customHeight="1" x14ac:dyDescent="0.3">
      <c r="A109" s="48"/>
      <c r="B109" s="48"/>
      <c r="C109" s="48"/>
      <c r="D109" s="48"/>
      <c r="E109" s="48"/>
      <c r="F109" s="48"/>
      <c r="G109" s="48"/>
      <c r="H109" s="48"/>
      <c r="I109" s="48"/>
      <c r="J109" s="48"/>
      <c r="K109" s="48"/>
      <c r="M109" s="51"/>
      <c r="N109" s="51"/>
      <c r="O109" s="48"/>
      <c r="Q109" s="48"/>
    </row>
    <row r="110" spans="1:17" ht="18.75" customHeight="1" x14ac:dyDescent="0.3">
      <c r="A110" s="48"/>
      <c r="B110" s="48"/>
      <c r="C110" s="48"/>
      <c r="D110" s="48"/>
      <c r="E110" s="48"/>
      <c r="F110" s="48"/>
      <c r="G110" s="48"/>
      <c r="H110" s="48"/>
      <c r="I110" s="48"/>
      <c r="J110" s="48"/>
      <c r="K110" s="48"/>
      <c r="M110" s="51"/>
      <c r="N110" s="51"/>
      <c r="O110" s="48"/>
      <c r="Q110" s="48"/>
    </row>
    <row r="111" spans="1:17" ht="18.75" customHeight="1" x14ac:dyDescent="0.3">
      <c r="A111" s="48"/>
      <c r="B111" s="48"/>
      <c r="C111" s="48"/>
      <c r="D111" s="48"/>
      <c r="E111" s="48"/>
      <c r="F111" s="48"/>
      <c r="G111" s="48"/>
      <c r="H111" s="48"/>
      <c r="I111" s="48"/>
      <c r="J111" s="48"/>
      <c r="K111" s="48"/>
      <c r="M111" s="51"/>
      <c r="N111" s="51"/>
      <c r="O111" s="48"/>
      <c r="Q111" s="48"/>
    </row>
    <row r="112" spans="1:17" ht="18.75" customHeight="1" x14ac:dyDescent="0.3">
      <c r="A112" s="48"/>
      <c r="B112" s="48"/>
      <c r="C112" s="48"/>
      <c r="D112" s="48"/>
      <c r="E112" s="48"/>
      <c r="F112" s="48"/>
      <c r="G112" s="48"/>
      <c r="H112" s="48"/>
      <c r="I112" s="48"/>
      <c r="J112" s="48"/>
      <c r="K112" s="48"/>
      <c r="M112" s="51"/>
      <c r="N112" s="51"/>
      <c r="O112" s="48"/>
      <c r="Q112" s="48"/>
    </row>
    <row r="113" spans="1:17" ht="18.75" customHeight="1" x14ac:dyDescent="0.3">
      <c r="A113" s="48"/>
      <c r="B113" s="48"/>
      <c r="C113" s="48"/>
      <c r="D113" s="48"/>
      <c r="E113" s="48"/>
      <c r="F113" s="48"/>
      <c r="G113" s="48"/>
      <c r="H113" s="48"/>
      <c r="I113" s="48"/>
      <c r="J113" s="48"/>
      <c r="K113" s="48"/>
      <c r="O113" s="48"/>
      <c r="Q113" s="48"/>
    </row>
    <row r="114" spans="1:17" ht="18.75" customHeight="1" x14ac:dyDescent="0.3">
      <c r="A114" s="48"/>
      <c r="B114" s="48"/>
      <c r="C114" s="48"/>
      <c r="D114" s="48"/>
      <c r="E114" s="48"/>
      <c r="F114" s="48"/>
      <c r="G114" s="48"/>
      <c r="H114" s="48"/>
      <c r="I114" s="48"/>
      <c r="J114" s="48"/>
      <c r="K114" s="48"/>
      <c r="O114" s="48"/>
      <c r="Q114" s="48"/>
    </row>
    <row r="115" spans="1:17" ht="18.75" customHeight="1" x14ac:dyDescent="0.3">
      <c r="A115" s="48"/>
      <c r="B115" s="48"/>
      <c r="C115" s="48"/>
      <c r="D115" s="48"/>
      <c r="E115" s="48"/>
      <c r="F115" s="48"/>
      <c r="G115" s="48"/>
      <c r="H115" s="48"/>
      <c r="I115" s="48"/>
      <c r="J115" s="48"/>
      <c r="K115" s="48"/>
      <c r="O115" s="48"/>
      <c r="Q115" s="48"/>
    </row>
    <row r="116" spans="1:17" ht="18.75" customHeight="1" x14ac:dyDescent="0.3">
      <c r="A116" s="48"/>
      <c r="B116" s="48"/>
      <c r="C116" s="48"/>
      <c r="D116" s="48"/>
      <c r="E116" s="48"/>
      <c r="F116" s="48"/>
      <c r="G116" s="48"/>
      <c r="H116" s="48"/>
      <c r="I116" s="48"/>
      <c r="J116" s="48"/>
      <c r="K116" s="48"/>
      <c r="O116" s="48"/>
      <c r="Q116" s="48"/>
    </row>
    <row r="117" spans="1:17" ht="18.75" customHeight="1" x14ac:dyDescent="0.3">
      <c r="A117" s="48"/>
      <c r="B117" s="48"/>
      <c r="C117" s="48"/>
      <c r="D117" s="48"/>
      <c r="E117" s="48"/>
      <c r="F117" s="48"/>
      <c r="G117" s="48"/>
      <c r="H117" s="48"/>
      <c r="I117" s="48"/>
      <c r="J117" s="48"/>
      <c r="K117" s="48"/>
      <c r="O117" s="48"/>
    </row>
    <row r="118" spans="1:17" ht="18.75" customHeight="1" x14ac:dyDescent="0.3">
      <c r="A118" s="48"/>
      <c r="B118" s="48"/>
      <c r="C118" s="48"/>
      <c r="D118" s="48"/>
      <c r="E118" s="48"/>
      <c r="F118" s="48"/>
      <c r="G118" s="48"/>
      <c r="H118" s="48"/>
      <c r="I118" s="48"/>
      <c r="J118" s="48"/>
      <c r="K118" s="48"/>
      <c r="O118" s="48"/>
    </row>
    <row r="119" spans="1:17" ht="18.75" customHeight="1" x14ac:dyDescent="0.3">
      <c r="A119" s="48"/>
      <c r="B119" s="48"/>
      <c r="C119" s="48"/>
      <c r="D119" s="48"/>
      <c r="E119" s="48"/>
      <c r="F119" s="48"/>
      <c r="G119" s="48"/>
      <c r="H119" s="48"/>
      <c r="I119" s="48"/>
      <c r="J119" s="48"/>
      <c r="K119" s="48"/>
      <c r="L119" s="48" t="s">
        <v>71</v>
      </c>
      <c r="O119" s="48"/>
    </row>
    <row r="120" spans="1:17" ht="18.75" customHeight="1" x14ac:dyDescent="0.3">
      <c r="A120" s="48"/>
      <c r="B120" s="48"/>
      <c r="C120" s="48"/>
      <c r="D120" s="48"/>
      <c r="E120" s="48"/>
      <c r="F120" s="48"/>
      <c r="G120" s="48"/>
      <c r="H120" s="48"/>
      <c r="I120" s="48"/>
      <c r="J120" s="48"/>
      <c r="K120" s="48"/>
      <c r="L120" s="48" t="s">
        <v>1</v>
      </c>
      <c r="O120" s="48"/>
    </row>
    <row r="121" spans="1:17" ht="18.75" customHeight="1" x14ac:dyDescent="0.3">
      <c r="A121" s="48"/>
      <c r="B121" s="48"/>
      <c r="C121" s="48"/>
      <c r="D121" s="48"/>
      <c r="E121" s="48"/>
      <c r="F121" s="48"/>
      <c r="G121" s="48"/>
      <c r="H121" s="48"/>
      <c r="I121" s="48"/>
      <c r="J121" s="48"/>
      <c r="K121" s="48"/>
      <c r="M121" s="48">
        <f>M7</f>
        <v>2023</v>
      </c>
      <c r="N121" s="48">
        <f>N7</f>
        <v>2024</v>
      </c>
      <c r="O121" s="48"/>
    </row>
    <row r="122" spans="1:17" ht="18.75" customHeight="1" x14ac:dyDescent="0.3">
      <c r="A122" s="48"/>
      <c r="B122" s="48"/>
      <c r="C122" s="48"/>
      <c r="D122" s="48"/>
      <c r="E122" s="48"/>
      <c r="F122" s="48"/>
      <c r="G122" s="48"/>
      <c r="H122" s="48"/>
      <c r="I122" s="48"/>
      <c r="J122" s="48"/>
      <c r="K122" s="48"/>
      <c r="L122" s="48" t="s">
        <v>54</v>
      </c>
      <c r="M122" s="51">
        <f>'DNB Livsforsikring'!F11-'DNB Livsforsikring'!F12+'DNB Livsforsikring'!F34-'DNB Livsforsikring'!F35+'DNB Livsforsikring'!F38-'DNB Livsforsikring'!F39+'DNB Livsforsikring'!F111-'DNB Livsforsikring'!F119+'DNB Livsforsikring'!F136-'DNB Livsforsikring'!F137</f>
        <v>-1498044</v>
      </c>
      <c r="N122" s="51">
        <f>'DNB Livsforsikring'!G11-'DNB Livsforsikring'!G12+'DNB Livsforsikring'!G34-'DNB Livsforsikring'!G35+'DNB Livsforsikring'!G38-'DNB Livsforsikring'!G39+'DNB Livsforsikring'!G111-'DNB Livsforsikring'!G119+'DNB Livsforsikring'!G136-'DNB Livsforsikring'!G137</f>
        <v>-3285716</v>
      </c>
      <c r="O122" s="48"/>
    </row>
    <row r="123" spans="1:17" x14ac:dyDescent="0.3">
      <c r="A123" s="48"/>
      <c r="B123" s="48"/>
      <c r="C123" s="48"/>
      <c r="D123" s="48"/>
      <c r="E123" s="48"/>
      <c r="F123" s="48"/>
      <c r="G123" s="48"/>
      <c r="H123" s="48"/>
      <c r="I123" s="48"/>
      <c r="J123" s="48"/>
      <c r="K123" s="48"/>
      <c r="L123" s="48" t="s">
        <v>59</v>
      </c>
      <c r="M123" s="51">
        <f>'Gjensidige Pensjon'!F11-'Gjensidige Pensjon'!F12+'Gjensidige Pensjon'!F34-'Gjensidige Pensjon'!F35+'Gjensidige Pensjon'!F38-'Gjensidige Pensjon'!F39+'Gjensidige Pensjon'!F111-'Gjensidige Pensjon'!F119+'Gjensidige Pensjon'!F136-'Gjensidige Pensjon'!F137</f>
        <v>2502352</v>
      </c>
      <c r="N123" s="51">
        <f>'Gjensidige Pensjon'!G11-'Gjensidige Pensjon'!G12+'Gjensidige Pensjon'!G34-'Gjensidige Pensjon'!G35+'Gjensidige Pensjon'!G38-'Gjensidige Pensjon'!G39+'Gjensidige Pensjon'!G111-'Gjensidige Pensjon'!G119+'Gjensidige Pensjon'!G136-'Gjensidige Pensjon'!G137</f>
        <v>1422067</v>
      </c>
      <c r="O123" s="48"/>
    </row>
    <row r="124" spans="1:17" x14ac:dyDescent="0.3">
      <c r="A124" s="48"/>
      <c r="B124" s="48"/>
      <c r="C124" s="48"/>
      <c r="D124" s="48"/>
      <c r="E124" s="48"/>
      <c r="F124" s="48"/>
      <c r="G124" s="48"/>
      <c r="H124" s="48"/>
      <c r="I124" s="48"/>
      <c r="J124" s="48"/>
      <c r="K124" s="48"/>
      <c r="L124" s="48" t="s">
        <v>61</v>
      </c>
      <c r="M124" s="51">
        <f>KLP!F11-KLP!F12+KLP!F34-KLP!F35+KLP!F38-KLP!F39+KLP!F111-KLP!F119+KLP!F136-KLP!F137</f>
        <v>81.662000000000006</v>
      </c>
      <c r="N124" s="51">
        <f>KLP!G11-KLP!G12+KLP!G34-KLP!G35+KLP!G38-KLP!G39+KLP!G111-KLP!G119+KLP!G136-KLP!G137</f>
        <v>-1022.97</v>
      </c>
      <c r="O124" s="48"/>
    </row>
    <row r="125" spans="1:17" x14ac:dyDescent="0.3">
      <c r="A125" s="48"/>
      <c r="B125" s="48"/>
      <c r="C125" s="48"/>
      <c r="D125" s="48"/>
      <c r="E125" s="48"/>
      <c r="F125" s="48"/>
      <c r="G125" s="48"/>
      <c r="H125" s="48"/>
      <c r="I125" s="48"/>
      <c r="J125" s="48"/>
      <c r="K125" s="48"/>
      <c r="L125" s="48" t="s">
        <v>63</v>
      </c>
      <c r="M125" s="51">
        <f>'Nordea Liv '!F11-'Nordea Liv '!F12+'Nordea Liv '!F34-'Nordea Liv '!F35+'Nordea Liv '!F38-'Nordea Liv '!F39+'Nordea Liv '!F111-'Nordea Liv '!F119+'Nordea Liv '!F136-'Nordea Liv '!F137</f>
        <v>2370630.3248100001</v>
      </c>
      <c r="N125" s="51">
        <f>'Nordea Liv '!G11-'Nordea Liv '!G12+'Nordea Liv '!G34-'Nordea Liv '!G35+'Nordea Liv '!G38-'Nordea Liv '!G39+'Nordea Liv '!G111-'Nordea Liv '!G119+'Nordea Liv '!G136-'Nordea Liv '!G137</f>
        <v>1235747.5686399993</v>
      </c>
      <c r="O125" s="48"/>
    </row>
    <row r="126" spans="1:17" x14ac:dyDescent="0.3">
      <c r="A126" s="48"/>
      <c r="B126" s="48"/>
      <c r="C126" s="48"/>
      <c r="D126" s="48"/>
      <c r="E126" s="48"/>
      <c r="F126" s="48"/>
      <c r="G126" s="48"/>
      <c r="H126" s="48"/>
      <c r="I126" s="48"/>
      <c r="J126" s="48"/>
      <c r="K126" s="48"/>
      <c r="L126" s="48" t="s">
        <v>431</v>
      </c>
      <c r="M126" s="51">
        <f>'Sparebank 1 Forsikring'!F11-'Sparebank 1 Forsikring'!F12+'Sparebank 1 Forsikring'!F34-'Sparebank 1 Forsikring'!F35+'Sparebank 1 Forsikring'!F38-'Sparebank 1 Forsikring'!F39+'Sparebank 1 Forsikring'!F111-'Sparebank 1 Forsikring'!F119+'Sparebank 1 Forsikring'!F136-'Sparebank 1 Forsikring'!F137</f>
        <v>-201912.61703000031</v>
      </c>
      <c r="N126" s="51">
        <f>'Sparebank 1 Forsikring'!G11-'Sparebank 1 Forsikring'!G12+'Sparebank 1 Forsikring'!G34-'Sparebank 1 Forsikring'!G35+'Sparebank 1 Forsikring'!G38-'Sparebank 1 Forsikring'!G39+'Sparebank 1 Forsikring'!G111-'Sparebank 1 Forsikring'!G119+'Sparebank 1 Forsikring'!G136-'Sparebank 1 Forsikring'!G137</f>
        <v>-120529.58741999976</v>
      </c>
      <c r="O126" s="48"/>
    </row>
    <row r="127" spans="1:17" x14ac:dyDescent="0.3">
      <c r="A127" s="48"/>
      <c r="B127" s="48"/>
      <c r="C127" s="48"/>
      <c r="D127" s="48"/>
      <c r="E127" s="48"/>
      <c r="F127" s="48"/>
      <c r="G127" s="48"/>
      <c r="H127" s="48"/>
      <c r="I127" s="48"/>
      <c r="J127" s="48"/>
      <c r="K127" s="48"/>
      <c r="L127" s="48" t="s">
        <v>442</v>
      </c>
      <c r="M127" s="5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-5526279.8343499992</v>
      </c>
      <c r="N127" s="5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-5044639.8881800007</v>
      </c>
      <c r="O127" s="48"/>
    </row>
    <row r="128" spans="1:17" x14ac:dyDescent="0.3">
      <c r="A128" s="48"/>
      <c r="B128" s="48"/>
      <c r="C128" s="48"/>
      <c r="D128" s="48"/>
      <c r="E128" s="48"/>
      <c r="F128" s="48"/>
      <c r="G128" s="48"/>
      <c r="H128" s="48"/>
      <c r="I128" s="48"/>
      <c r="J128" s="48"/>
      <c r="K128" s="48"/>
      <c r="O128" s="48"/>
    </row>
    <row r="129" spans="1:15" x14ac:dyDescent="0.3">
      <c r="A129" s="48"/>
      <c r="B129" s="48"/>
      <c r="C129" s="48"/>
      <c r="D129" s="48"/>
      <c r="E129" s="48"/>
      <c r="F129" s="48"/>
      <c r="G129" s="48"/>
      <c r="H129" s="48"/>
      <c r="I129" s="48"/>
      <c r="J129" s="48"/>
      <c r="K129" s="48"/>
      <c r="O129" s="48"/>
    </row>
    <row r="130" spans="1:15" x14ac:dyDescent="0.3">
      <c r="A130" s="49" t="s">
        <v>500</v>
      </c>
      <c r="B130" s="48"/>
      <c r="C130" s="48"/>
      <c r="D130" s="48"/>
      <c r="E130" s="48"/>
      <c r="F130" s="48"/>
      <c r="G130" s="48"/>
      <c r="H130" s="48"/>
      <c r="I130" s="48"/>
      <c r="J130" s="48"/>
      <c r="K130" s="48"/>
      <c r="O130" s="48"/>
    </row>
    <row r="131" spans="1:15" x14ac:dyDescent="0.3">
      <c r="B131" s="48"/>
      <c r="C131" s="48"/>
      <c r="D131" s="48"/>
      <c r="E131" s="48"/>
      <c r="F131" s="48"/>
      <c r="G131" s="48"/>
      <c r="H131" s="48"/>
      <c r="I131" s="48"/>
      <c r="J131" s="48"/>
      <c r="K131" s="48"/>
      <c r="O131" s="48"/>
    </row>
    <row r="132" spans="1:15" x14ac:dyDescent="0.3">
      <c r="A132" s="48"/>
      <c r="B132" s="48"/>
      <c r="C132" s="48"/>
      <c r="D132" s="48"/>
      <c r="E132" s="48"/>
      <c r="F132" s="48"/>
      <c r="G132" s="48"/>
      <c r="H132" s="48"/>
      <c r="I132" s="48"/>
      <c r="J132" s="48"/>
      <c r="K132" s="48"/>
      <c r="O132" s="48"/>
    </row>
    <row r="133" spans="1:15" x14ac:dyDescent="0.3">
      <c r="A133" s="48"/>
      <c r="B133" s="48"/>
      <c r="C133" s="48"/>
      <c r="D133" s="48"/>
      <c r="E133" s="48"/>
      <c r="F133" s="48"/>
      <c r="G133" s="48"/>
      <c r="H133" s="48"/>
      <c r="I133" s="48"/>
      <c r="J133" s="48"/>
      <c r="K133" s="48"/>
      <c r="O133" s="48"/>
    </row>
    <row r="134" spans="1:15" x14ac:dyDescent="0.3">
      <c r="A134" s="48"/>
      <c r="B134" s="48"/>
      <c r="C134" s="48"/>
      <c r="D134" s="48"/>
      <c r="E134" s="48"/>
      <c r="F134" s="48"/>
      <c r="G134" s="48"/>
      <c r="H134" s="48"/>
      <c r="I134" s="48"/>
      <c r="J134" s="48"/>
      <c r="K134" s="48"/>
      <c r="O134" s="48"/>
    </row>
    <row r="135" spans="1:15" x14ac:dyDescent="0.3">
      <c r="A135" s="48"/>
      <c r="B135" s="48"/>
      <c r="C135" s="48"/>
      <c r="D135" s="48"/>
      <c r="E135" s="48"/>
      <c r="F135" s="48"/>
      <c r="G135" s="48"/>
      <c r="H135" s="48"/>
      <c r="I135" s="48"/>
      <c r="J135" s="48"/>
      <c r="K135" s="48"/>
      <c r="O135" s="48"/>
    </row>
    <row r="136" spans="1:15" x14ac:dyDescent="0.3">
      <c r="A136" s="48"/>
      <c r="B136" s="48"/>
      <c r="C136" s="48"/>
      <c r="D136" s="48"/>
      <c r="E136" s="48"/>
      <c r="F136" s="48"/>
      <c r="G136" s="48"/>
      <c r="H136" s="48"/>
      <c r="I136" s="48"/>
      <c r="J136" s="48"/>
      <c r="K136" s="48"/>
      <c r="O136" s="48"/>
    </row>
    <row r="137" spans="1:15" x14ac:dyDescent="0.3">
      <c r="A137" s="48"/>
      <c r="B137" s="48"/>
      <c r="C137" s="48"/>
      <c r="D137" s="48"/>
      <c r="E137" s="48"/>
      <c r="F137" s="48"/>
      <c r="G137" s="48"/>
      <c r="H137" s="48"/>
      <c r="I137" s="48"/>
      <c r="J137" s="48"/>
      <c r="K137" s="48"/>
      <c r="O137" s="48"/>
    </row>
    <row r="138" spans="1:15" x14ac:dyDescent="0.3">
      <c r="A138" s="48"/>
      <c r="B138" s="48"/>
      <c r="C138" s="48"/>
      <c r="D138" s="48"/>
      <c r="E138" s="48"/>
      <c r="F138" s="48"/>
      <c r="G138" s="48"/>
      <c r="H138" s="48"/>
      <c r="I138" s="48"/>
      <c r="J138" s="48"/>
      <c r="K138" s="48"/>
      <c r="O138" s="48"/>
    </row>
    <row r="139" spans="1:15" x14ac:dyDescent="0.3">
      <c r="A139" s="48"/>
      <c r="B139" s="48"/>
      <c r="C139" s="48"/>
      <c r="D139" s="48"/>
      <c r="E139" s="48"/>
      <c r="F139" s="48"/>
      <c r="G139" s="48"/>
      <c r="H139" s="48"/>
      <c r="I139" s="48"/>
      <c r="J139" s="48"/>
      <c r="K139" s="48"/>
      <c r="O139" s="48"/>
    </row>
    <row r="140" spans="1:15" x14ac:dyDescent="0.3">
      <c r="A140" s="48"/>
      <c r="B140" s="48"/>
      <c r="C140" s="48"/>
      <c r="D140" s="48"/>
      <c r="E140" s="48"/>
      <c r="F140" s="48"/>
      <c r="G140" s="48"/>
      <c r="H140" s="48"/>
      <c r="I140" s="48"/>
      <c r="J140" s="48"/>
      <c r="K140" s="48"/>
      <c r="O140" s="48"/>
    </row>
    <row r="141" spans="1:15" x14ac:dyDescent="0.3">
      <c r="A141" s="48"/>
      <c r="B141" s="48"/>
      <c r="C141" s="48"/>
      <c r="D141" s="48"/>
      <c r="E141" s="48"/>
      <c r="F141" s="48"/>
      <c r="G141" s="48"/>
      <c r="H141" s="48"/>
      <c r="I141" s="48"/>
      <c r="J141" s="48"/>
      <c r="K141" s="48"/>
      <c r="O141" s="48"/>
    </row>
    <row r="142" spans="1:15" x14ac:dyDescent="0.3">
      <c r="A142" s="48"/>
      <c r="B142" s="48"/>
      <c r="C142" s="48"/>
      <c r="D142" s="48"/>
      <c r="E142" s="48"/>
      <c r="F142" s="48"/>
      <c r="G142" s="48"/>
      <c r="H142" s="48"/>
      <c r="I142" s="48"/>
      <c r="J142" s="48"/>
      <c r="K142" s="48"/>
      <c r="O142" s="48"/>
    </row>
    <row r="143" spans="1:15" x14ac:dyDescent="0.3">
      <c r="A143" s="48"/>
      <c r="B143" s="48"/>
      <c r="C143" s="48"/>
      <c r="D143" s="48"/>
      <c r="E143" s="48"/>
      <c r="F143" s="48"/>
      <c r="G143" s="48"/>
      <c r="H143" s="48"/>
      <c r="I143" s="48"/>
      <c r="J143" s="48"/>
      <c r="K143" s="48"/>
      <c r="O143" s="48"/>
    </row>
    <row r="144" spans="1:15" x14ac:dyDescent="0.3">
      <c r="A144" s="48"/>
      <c r="B144" s="48"/>
      <c r="C144" s="48"/>
      <c r="D144" s="48"/>
      <c r="E144" s="48"/>
      <c r="F144" s="48"/>
      <c r="G144" s="48"/>
      <c r="H144" s="48"/>
      <c r="I144" s="48"/>
      <c r="J144" s="48"/>
      <c r="K144" s="48"/>
      <c r="O144" s="48"/>
    </row>
    <row r="145" spans="1:15" x14ac:dyDescent="0.3">
      <c r="A145" s="48"/>
      <c r="B145" s="48"/>
      <c r="C145" s="48"/>
      <c r="D145" s="48"/>
      <c r="E145" s="48"/>
      <c r="F145" s="48"/>
      <c r="G145" s="48"/>
      <c r="H145" s="48"/>
      <c r="I145" s="48"/>
      <c r="J145" s="48"/>
      <c r="K145" s="48"/>
      <c r="O145" s="48"/>
    </row>
    <row r="146" spans="1:15" x14ac:dyDescent="0.3">
      <c r="A146" s="48"/>
      <c r="B146" s="48"/>
      <c r="C146" s="48"/>
      <c r="D146" s="48"/>
      <c r="E146" s="48"/>
      <c r="F146" s="48"/>
      <c r="G146" s="48"/>
      <c r="H146" s="48"/>
      <c r="I146" s="48"/>
      <c r="J146" s="48"/>
      <c r="K146" s="48"/>
      <c r="O146" s="48"/>
    </row>
    <row r="147" spans="1:15" x14ac:dyDescent="0.3">
      <c r="A147" s="48"/>
      <c r="B147" s="48"/>
      <c r="C147" s="48"/>
      <c r="D147" s="48"/>
      <c r="E147" s="48"/>
      <c r="F147" s="48"/>
      <c r="G147" s="48"/>
      <c r="H147" s="48"/>
      <c r="I147" s="48"/>
      <c r="J147" s="48"/>
      <c r="K147" s="48"/>
      <c r="O147" s="48"/>
    </row>
    <row r="148" spans="1:15" x14ac:dyDescent="0.3">
      <c r="A148" s="48"/>
      <c r="B148" s="48"/>
      <c r="C148" s="48"/>
      <c r="D148" s="48"/>
      <c r="E148" s="48"/>
      <c r="F148" s="48"/>
      <c r="G148" s="48"/>
      <c r="H148" s="48"/>
      <c r="I148" s="48"/>
      <c r="J148" s="48"/>
      <c r="K148" s="48"/>
      <c r="O148" s="48"/>
    </row>
    <row r="149" spans="1:15" x14ac:dyDescent="0.3">
      <c r="A149" s="48"/>
      <c r="B149" s="48"/>
      <c r="C149" s="48"/>
      <c r="D149" s="48"/>
      <c r="E149" s="48"/>
      <c r="F149" s="48"/>
      <c r="G149" s="48"/>
      <c r="H149" s="48"/>
      <c r="I149" s="48"/>
      <c r="J149" s="48"/>
      <c r="K149" s="48"/>
      <c r="O149" s="48"/>
    </row>
    <row r="150" spans="1:15" x14ac:dyDescent="0.3">
      <c r="A150" s="48"/>
      <c r="B150" s="48"/>
      <c r="C150" s="48"/>
      <c r="D150" s="48"/>
      <c r="E150" s="48"/>
      <c r="F150" s="48"/>
      <c r="G150" s="48"/>
      <c r="H150" s="48"/>
      <c r="I150" s="48"/>
      <c r="J150" s="48"/>
      <c r="K150" s="48"/>
      <c r="O150" s="48"/>
    </row>
    <row r="151" spans="1:15" x14ac:dyDescent="0.3">
      <c r="A151" s="48"/>
      <c r="B151" s="48"/>
      <c r="C151" s="48"/>
      <c r="D151" s="48"/>
      <c r="E151" s="48"/>
      <c r="F151" s="48"/>
      <c r="G151" s="48"/>
      <c r="H151" s="48"/>
      <c r="I151" s="48"/>
      <c r="J151" s="48"/>
      <c r="K151" s="48"/>
      <c r="O151" s="48"/>
    </row>
    <row r="152" spans="1:15" x14ac:dyDescent="0.3">
      <c r="A152" s="48"/>
      <c r="B152" s="48"/>
      <c r="C152" s="48"/>
      <c r="D152" s="48"/>
      <c r="E152" s="48"/>
      <c r="F152" s="48"/>
      <c r="G152" s="48"/>
      <c r="H152" s="48"/>
      <c r="I152" s="48"/>
      <c r="J152" s="48"/>
      <c r="K152" s="48"/>
      <c r="O152" s="48"/>
    </row>
    <row r="153" spans="1:15" x14ac:dyDescent="0.3">
      <c r="A153" s="48"/>
      <c r="B153" s="48"/>
      <c r="C153" s="48"/>
      <c r="D153" s="48"/>
      <c r="E153" s="48"/>
      <c r="F153" s="48"/>
      <c r="G153" s="48"/>
      <c r="H153" s="48"/>
      <c r="I153" s="48"/>
      <c r="J153" s="48"/>
      <c r="K153" s="48"/>
      <c r="O153" s="48"/>
    </row>
    <row r="154" spans="1:15" x14ac:dyDescent="0.3">
      <c r="O154" s="48"/>
    </row>
    <row r="155" spans="1:15" x14ac:dyDescent="0.3">
      <c r="O155" s="48"/>
    </row>
    <row r="156" spans="1:15" x14ac:dyDescent="0.3">
      <c r="O156" s="48"/>
    </row>
    <row r="157" spans="1:15" x14ac:dyDescent="0.3">
      <c r="O157" s="48"/>
    </row>
    <row r="158" spans="1:15" x14ac:dyDescent="0.3">
      <c r="O158" s="48"/>
    </row>
    <row r="159" spans="1:15" x14ac:dyDescent="0.3">
      <c r="O159" s="48"/>
    </row>
    <row r="160" spans="1:15" x14ac:dyDescent="0.3">
      <c r="O160" s="48"/>
    </row>
    <row r="161" spans="1:15" x14ac:dyDescent="0.3">
      <c r="O161" s="48"/>
    </row>
    <row r="162" spans="1:15" x14ac:dyDescent="0.3">
      <c r="O162" s="48"/>
    </row>
    <row r="163" spans="1:15" x14ac:dyDescent="0.3">
      <c r="O163" s="48"/>
    </row>
    <row r="164" spans="1:15" x14ac:dyDescent="0.3">
      <c r="O164" s="48"/>
    </row>
    <row r="165" spans="1:15" x14ac:dyDescent="0.3">
      <c r="O165" s="48"/>
    </row>
    <row r="166" spans="1:15" x14ac:dyDescent="0.3">
      <c r="O166" s="48"/>
    </row>
    <row r="167" spans="1:15" x14ac:dyDescent="0.3">
      <c r="O167" s="48"/>
    </row>
    <row r="168" spans="1:15" x14ac:dyDescent="0.3">
      <c r="O168" s="48"/>
    </row>
    <row r="169" spans="1:15" x14ac:dyDescent="0.3">
      <c r="O169" s="48"/>
    </row>
    <row r="170" spans="1:15" x14ac:dyDescent="0.3">
      <c r="A170" s="48"/>
      <c r="B170" s="48"/>
      <c r="C170" s="48"/>
      <c r="D170" s="48"/>
      <c r="E170" s="48"/>
      <c r="F170" s="48"/>
      <c r="G170" s="48"/>
      <c r="H170" s="48"/>
      <c r="I170" s="48"/>
      <c r="J170" s="48"/>
      <c r="K170" s="48"/>
      <c r="O170" s="48"/>
    </row>
    <row r="171" spans="1:15" x14ac:dyDescent="0.3">
      <c r="A171" s="48"/>
      <c r="B171" s="48"/>
      <c r="C171" s="48"/>
      <c r="D171" s="48"/>
      <c r="E171" s="48"/>
      <c r="F171" s="48"/>
      <c r="G171" s="48"/>
      <c r="H171" s="48"/>
      <c r="I171" s="48"/>
      <c r="J171" s="48"/>
      <c r="K171" s="48"/>
      <c r="O171" s="48"/>
    </row>
    <row r="172" spans="1:15" x14ac:dyDescent="0.3">
      <c r="A172" s="48"/>
      <c r="B172" s="48"/>
      <c r="C172" s="48"/>
      <c r="D172" s="48"/>
      <c r="E172" s="48"/>
      <c r="F172" s="48"/>
      <c r="G172" s="48"/>
      <c r="H172" s="48"/>
      <c r="I172" s="48"/>
      <c r="J172" s="48"/>
      <c r="K172" s="48"/>
      <c r="O172" s="48"/>
    </row>
    <row r="173" spans="1:15" x14ac:dyDescent="0.3">
      <c r="A173" s="48"/>
      <c r="B173" s="48"/>
      <c r="C173" s="48"/>
      <c r="D173" s="48"/>
      <c r="E173" s="48"/>
      <c r="F173" s="48"/>
      <c r="G173" s="48"/>
      <c r="H173" s="48"/>
      <c r="I173" s="48"/>
      <c r="J173" s="48"/>
      <c r="K173" s="48"/>
      <c r="O173" s="48"/>
    </row>
    <row r="174" spans="1:15" x14ac:dyDescent="0.3">
      <c r="A174" s="48"/>
      <c r="B174" s="48"/>
      <c r="C174" s="48"/>
      <c r="D174" s="48"/>
      <c r="E174" s="48"/>
      <c r="F174" s="48"/>
      <c r="G174" s="48"/>
      <c r="H174" s="48"/>
      <c r="I174" s="48"/>
      <c r="J174" s="48"/>
      <c r="K174" s="48"/>
      <c r="O174" s="48"/>
    </row>
    <row r="175" spans="1:15" x14ac:dyDescent="0.3">
      <c r="A175" s="48"/>
      <c r="B175" s="48"/>
      <c r="C175" s="48"/>
      <c r="D175" s="48"/>
      <c r="E175" s="48"/>
      <c r="F175" s="48"/>
      <c r="G175" s="48"/>
      <c r="H175" s="48"/>
      <c r="I175" s="48"/>
      <c r="J175" s="48"/>
      <c r="K175" s="48"/>
      <c r="O175" s="48"/>
    </row>
    <row r="176" spans="1:15" x14ac:dyDescent="0.3">
      <c r="A176" s="48"/>
      <c r="B176" s="48"/>
      <c r="C176" s="48"/>
      <c r="D176" s="48"/>
      <c r="E176" s="48"/>
      <c r="F176" s="48"/>
      <c r="G176" s="48"/>
      <c r="H176" s="48"/>
      <c r="I176" s="48"/>
      <c r="J176" s="48"/>
      <c r="K176" s="48"/>
      <c r="O176" s="4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7"/>
  <sheetViews>
    <sheetView showGridLines="0" showZeros="0" zoomScale="70" zoomScaleNormal="70" workbookViewId="0">
      <pane xSplit="1" ySplit="7" topLeftCell="B8" activePane="bottomRight" state="frozen"/>
      <selection activeCell="B8" sqref="B8"/>
      <selection pane="topRight" activeCell="B8" sqref="B8"/>
      <selection pane="bottomLeft" activeCell="B8" sqref="B8"/>
      <selection pane="bottomRight" activeCell="A4" sqref="A4"/>
    </sheetView>
  </sheetViews>
  <sheetFormatPr baseColWidth="10" defaultColWidth="11.42578125" defaultRowHeight="12.75" x14ac:dyDescent="0.2"/>
  <cols>
    <col min="1" max="1" width="49" style="59" customWidth="1"/>
    <col min="2" max="3" width="15.7109375" style="59" customWidth="1"/>
    <col min="4" max="4" width="8.7109375" style="59" customWidth="1"/>
    <col min="5" max="5" width="12.140625" style="59" bestFit="1" customWidth="1"/>
    <col min="6" max="6" width="4.7109375" style="59" customWidth="1"/>
    <col min="7" max="7" width="18.42578125" style="59" customWidth="1"/>
    <col min="8" max="8" width="17.7109375" style="59" customWidth="1"/>
    <col min="9" max="9" width="8.7109375" style="59" customWidth="1"/>
    <col min="10" max="10" width="12.140625" style="59" bestFit="1" customWidth="1"/>
    <col min="11" max="11" width="13.42578125" style="59" hidden="1" customWidth="1"/>
    <col min="12" max="12" width="14.7109375" style="59" hidden="1" customWidth="1"/>
    <col min="13" max="13" width="13.7109375" style="59" hidden="1" customWidth="1"/>
    <col min="14" max="15" width="15.7109375" style="59" hidden="1" customWidth="1"/>
    <col min="16" max="16" width="11.42578125" style="59" hidden="1" customWidth="1"/>
    <col min="17" max="19" width="11.42578125" style="59" customWidth="1"/>
    <col min="20" max="16384" width="11.42578125" style="59"/>
  </cols>
  <sheetData>
    <row r="1" spans="1:18" ht="20.25" x14ac:dyDescent="0.3">
      <c r="A1" s="52" t="s">
        <v>72</v>
      </c>
      <c r="B1" s="47" t="s">
        <v>52</v>
      </c>
      <c r="C1" s="48"/>
      <c r="D1" s="48"/>
      <c r="E1" s="48"/>
      <c r="F1" s="48"/>
      <c r="G1" s="48"/>
      <c r="H1" s="48"/>
      <c r="I1" s="48"/>
      <c r="J1" s="48"/>
      <c r="K1" s="48"/>
    </row>
    <row r="2" spans="1:18" ht="20.25" x14ac:dyDescent="0.3">
      <c r="A2" s="52" t="s">
        <v>73</v>
      </c>
      <c r="B2" s="48"/>
      <c r="C2" s="48"/>
      <c r="D2" s="48"/>
      <c r="E2" s="641"/>
      <c r="F2" s="50"/>
      <c r="G2" s="50"/>
      <c r="H2" s="50"/>
      <c r="I2" s="50"/>
      <c r="J2" s="50"/>
      <c r="K2" s="50"/>
      <c r="L2" s="642"/>
      <c r="M2" s="642"/>
      <c r="N2" s="642"/>
      <c r="O2" s="642"/>
      <c r="P2" s="642"/>
      <c r="Q2" s="642"/>
    </row>
    <row r="3" spans="1:18" ht="18.75" x14ac:dyDescent="0.3">
      <c r="A3" s="772" t="s">
        <v>74</v>
      </c>
      <c r="B3" s="772"/>
      <c r="C3" s="48"/>
      <c r="D3" s="48"/>
      <c r="E3" s="48"/>
      <c r="F3" s="48"/>
      <c r="G3" s="48"/>
      <c r="H3" s="48"/>
      <c r="I3" s="48"/>
      <c r="J3" s="48"/>
      <c r="K3" s="48"/>
    </row>
    <row r="4" spans="1:18" ht="18.75" x14ac:dyDescent="0.3">
      <c r="A4" s="54" t="s">
        <v>320</v>
      </c>
      <c r="B4" s="55"/>
      <c r="C4" s="56"/>
      <c r="D4" s="56"/>
      <c r="E4" s="57"/>
      <c r="F4" s="58"/>
      <c r="G4" s="55"/>
      <c r="H4" s="56"/>
      <c r="I4" s="56"/>
      <c r="J4" s="57"/>
      <c r="K4" s="48"/>
      <c r="L4" s="156"/>
      <c r="M4" s="157"/>
      <c r="N4" s="158"/>
      <c r="O4" s="157"/>
    </row>
    <row r="5" spans="1:18" ht="22.5" x14ac:dyDescent="0.3">
      <c r="A5" s="60"/>
      <c r="B5" s="773" t="s">
        <v>75</v>
      </c>
      <c r="C5" s="774"/>
      <c r="D5" s="774"/>
      <c r="E5" s="775"/>
      <c r="F5" s="62"/>
      <c r="G5" s="773" t="s">
        <v>414</v>
      </c>
      <c r="H5" s="774"/>
      <c r="I5" s="774"/>
      <c r="J5" s="775"/>
      <c r="K5" s="61"/>
      <c r="L5" s="776" t="s">
        <v>125</v>
      </c>
      <c r="M5" s="771"/>
      <c r="N5" s="770" t="s">
        <v>126</v>
      </c>
      <c r="O5" s="771"/>
    </row>
    <row r="6" spans="1:18" ht="18.75" x14ac:dyDescent="0.3">
      <c r="A6" s="63"/>
      <c r="B6" s="64"/>
      <c r="C6" s="65"/>
      <c r="D6" s="65" t="s">
        <v>76</v>
      </c>
      <c r="E6" s="66" t="s">
        <v>29</v>
      </c>
      <c r="F6" s="67"/>
      <c r="G6" s="64"/>
      <c r="H6" s="65"/>
      <c r="I6" s="65" t="s">
        <v>76</v>
      </c>
      <c r="J6" s="66" t="s">
        <v>29</v>
      </c>
      <c r="K6" s="72"/>
      <c r="L6" s="159"/>
      <c r="M6" s="160"/>
      <c r="N6" s="161"/>
      <c r="O6" s="160"/>
    </row>
    <row r="7" spans="1:18" ht="15.75" x14ac:dyDescent="0.25">
      <c r="A7" s="68" t="s">
        <v>77</v>
      </c>
      <c r="B7" s="69">
        <v>2023</v>
      </c>
      <c r="C7" s="69">
        <v>2024</v>
      </c>
      <c r="D7" s="70" t="s">
        <v>78</v>
      </c>
      <c r="E7" s="71" t="s">
        <v>30</v>
      </c>
      <c r="F7" s="67"/>
      <c r="G7" s="69">
        <v>2023</v>
      </c>
      <c r="H7" s="69">
        <v>2024</v>
      </c>
      <c r="I7" s="70" t="s">
        <v>78</v>
      </c>
      <c r="J7" s="71" t="s">
        <v>30</v>
      </c>
      <c r="K7" s="72"/>
      <c r="L7" s="162">
        <v>2015</v>
      </c>
      <c r="M7" s="163">
        <v>2016</v>
      </c>
      <c r="N7" s="164">
        <v>2015</v>
      </c>
      <c r="O7" s="163">
        <v>2016</v>
      </c>
      <c r="P7" s="59" t="s">
        <v>129</v>
      </c>
    </row>
    <row r="8" spans="1:18" ht="18.75" x14ac:dyDescent="0.3">
      <c r="A8" s="73" t="s">
        <v>0</v>
      </c>
      <c r="B8" s="97"/>
      <c r="C8" s="75"/>
      <c r="D8" s="76"/>
      <c r="E8" s="324"/>
      <c r="F8" s="130"/>
      <c r="G8" s="97"/>
      <c r="H8" s="97"/>
      <c r="I8" s="75"/>
      <c r="J8" s="324"/>
      <c r="K8" s="51"/>
      <c r="L8" s="165" t="s">
        <v>0</v>
      </c>
      <c r="M8" s="166"/>
      <c r="N8" s="167"/>
      <c r="O8" s="166"/>
      <c r="P8" s="59" t="s">
        <v>134</v>
      </c>
    </row>
    <row r="9" spans="1:18" ht="18.75" x14ac:dyDescent="0.3">
      <c r="A9" s="77" t="s">
        <v>79</v>
      </c>
      <c r="B9" s="130">
        <f>'DNB Livsforsikring'!B7+'DNB Livsforsikring'!B22+'DNB Livsforsikring'!B36+'DNB Livsforsikring'!B47+'DNB Livsforsikring'!B66+'DNB Livsforsikring'!B134</f>
        <v>3324348</v>
      </c>
      <c r="C9" s="130">
        <f>'DNB Livsforsikring'!C7+'DNB Livsforsikring'!C22+'DNB Livsforsikring'!C36+'DNB Livsforsikring'!C47+'DNB Livsforsikring'!C66+'DNB Livsforsikring'!C134</f>
        <v>3461953</v>
      </c>
      <c r="D9" s="76">
        <f t="shared" ref="D9:D30" si="0">IF(B9=0, "    ---- ", IF(ABS(ROUND(100/B9*C9-100,1))&lt;999,ROUND(100/B9*C9-100,1),IF(ROUND(100/B9*C9-100,1)&gt;999,999,-999)))</f>
        <v>4.0999999999999996</v>
      </c>
      <c r="E9" s="324">
        <f t="shared" ref="E9:E31" si="1">100/C$32*C9</f>
        <v>3.6771437040050614</v>
      </c>
      <c r="F9" s="75"/>
      <c r="G9" s="130">
        <f>'DNB Livsforsikring'!B10+'DNB Livsforsikring'!B29+'DNB Livsforsikring'!B37+'DNB Livsforsikring'!B87+'DNB Livsforsikring'!B135</f>
        <v>182150338</v>
      </c>
      <c r="H9" s="130">
        <f>'DNB Livsforsikring'!C10+'DNB Livsforsikring'!C29+'DNB Livsforsikring'!C37+'DNB Livsforsikring'!C87+'DNB Livsforsikring'!C135</f>
        <v>180833727.40624002</v>
      </c>
      <c r="I9" s="76">
        <f t="shared" ref="I9:I27" si="2">IF(G9=0, "    ---- ", IF(ABS(ROUND(100/G9*H9-100,1))&lt;999,ROUND(100/G9*H9-100,1),IF(ROUND(100/G9*H9-100,1)&gt;999,999,-999)))</f>
        <v>-0.7</v>
      </c>
      <c r="J9" s="324">
        <f t="shared" ref="J9:J31" si="3">100/H$32*H9</f>
        <v>12.726665268009141</v>
      </c>
      <c r="K9" s="155" t="s">
        <v>131</v>
      </c>
      <c r="L9" s="168" t="e">
        <f ca="1">INDIRECT("'" &amp;#REF! &amp; "'!" &amp; $P$7)</f>
        <v>#REF!</v>
      </c>
      <c r="M9" s="166" t="e">
        <f ca="1">INDIRECT("'" &amp;#REF! &amp; "'!" &amp; $P$8)</f>
        <v>#REF!</v>
      </c>
      <c r="N9" s="168" t="e">
        <f ca="1">INDIRECT("'" &amp;#REF! &amp; "'!" &amp;#REF!)</f>
        <v>#REF!</v>
      </c>
      <c r="O9" s="166" t="e">
        <f ca="1">INDIRECT("'" &amp;#REF! &amp; "'!" &amp; $P$9)</f>
        <v>#REF!</v>
      </c>
      <c r="P9" s="59" t="s">
        <v>139</v>
      </c>
    </row>
    <row r="10" spans="1:18" ht="18.75" x14ac:dyDescent="0.3">
      <c r="A10" s="77" t="s">
        <v>80</v>
      </c>
      <c r="B10" s="130">
        <f>'Eika Forsikring AS'!B7+'Eika Forsikring AS'!B22+'Eika Forsikring AS'!B36+'Eika Forsikring AS'!B47+'Eika Forsikring AS'!B66+'Eika Forsikring AS'!B134</f>
        <v>458948</v>
      </c>
      <c r="C10" s="130">
        <f>'Eika Forsikring AS'!C7+'Eika Forsikring AS'!C22+'Eika Forsikring AS'!C36+'Eika Forsikring AS'!C47+'Eika Forsikring AS'!C66+'Eika Forsikring AS'!C134</f>
        <v>0</v>
      </c>
      <c r="D10" s="76">
        <f t="shared" si="0"/>
        <v>-100</v>
      </c>
      <c r="E10" s="324">
        <f t="shared" si="1"/>
        <v>0</v>
      </c>
      <c r="F10" s="75"/>
      <c r="G10" s="130">
        <f>'Eika Forsikring AS'!B10+'Eika Forsikring AS'!B29+'Eika Forsikring AS'!B37+'Eika Forsikring AS'!B87+'Eika Forsikring AS'!B135</f>
        <v>689960</v>
      </c>
      <c r="H10" s="130">
        <f>'Eika Forsikring AS'!C10+'Eika Forsikring AS'!C29+'Eika Forsikring AS'!C37+'Eika Forsikring AS'!C87+'Eika Forsikring AS'!C135</f>
        <v>0</v>
      </c>
      <c r="I10" s="76">
        <f t="shared" si="2"/>
        <v>-100</v>
      </c>
      <c r="J10" s="324">
        <f t="shared" si="3"/>
        <v>0</v>
      </c>
      <c r="K10" s="59" t="s">
        <v>127</v>
      </c>
      <c r="L10" s="168">
        <f ca="1">INDIRECT("'" &amp; $A9 &amp; "'!" &amp; $P$7)</f>
        <v>0</v>
      </c>
      <c r="M10" s="166">
        <f ca="1">INDIRECT("'" &amp; $A9 &amp; "'!" &amp; $P$8)</f>
        <v>0</v>
      </c>
      <c r="N10" s="168" t="e">
        <f ca="1">INDIRECT("'" &amp; $A9 &amp; "'!" &amp;#REF!)</f>
        <v>#REF!</v>
      </c>
      <c r="O10" s="166">
        <f ca="1">INDIRECT("'" &amp; $A9 &amp; "'!" &amp; $P$9)</f>
        <v>0</v>
      </c>
    </row>
    <row r="11" spans="1:18" ht="18.75" x14ac:dyDescent="0.3">
      <c r="A11" s="77" t="s">
        <v>428</v>
      </c>
      <c r="B11" s="130">
        <f>'Euro Accident'!B7+'Euro Accident'!B22+'Euro Accident'!B36+'Euro Accident'!B47+'Euro Accident'!B66+'Euro Accident'!B134</f>
        <v>45333</v>
      </c>
      <c r="C11" s="130">
        <f>'Euro Accident'!C7+'Euro Accident'!C22+'Euro Accident'!C36+'Euro Accident'!C47+'Euro Accident'!C66+'Euro Accident'!C134</f>
        <v>57607</v>
      </c>
      <c r="D11" s="76">
        <f t="shared" ref="D11" si="4">IF(B11=0, "    ---- ", IF(ABS(ROUND(100/B11*C11-100,1))&lt;999,ROUND(100/B11*C11-100,1),IF(ROUND(100/B11*C11-100,1)&gt;999,999,-999)))</f>
        <v>27.1</v>
      </c>
      <c r="E11" s="324">
        <f t="shared" si="1"/>
        <v>6.1187779659810392E-2</v>
      </c>
      <c r="F11" s="75"/>
      <c r="G11" s="130">
        <f>'Euro Accident'!B10+'Euro Accident'!B29+'Euro Accident'!B37+'Euro Accident'!B87+'Euro Accident'!B135</f>
        <v>0</v>
      </c>
      <c r="H11" s="130">
        <f>'Euro Accident'!C10+'Euro Accident'!C29+'Euro Accident'!C37+'Euro Accident'!C87+'Euro Accident'!C135</f>
        <v>0</v>
      </c>
      <c r="I11" s="76"/>
      <c r="J11" s="324">
        <f t="shared" si="3"/>
        <v>0</v>
      </c>
      <c r="L11" s="168"/>
      <c r="M11" s="166"/>
      <c r="N11" s="168"/>
      <c r="O11" s="166"/>
    </row>
    <row r="12" spans="1:18" ht="18.75" x14ac:dyDescent="0.3">
      <c r="A12" s="77" t="s">
        <v>417</v>
      </c>
      <c r="B12" s="130">
        <f>'Fremtind Livsforsikring'!B7+'Fremtind Livsforsikring'!B22+'Fremtind Livsforsikring'!B36+'Fremtind Livsforsikring'!B47+'Fremtind Livsforsikring'!B66+'Fremtind Livsforsikring'!B134</f>
        <v>3522711.4512299998</v>
      </c>
      <c r="C12" s="130">
        <f>'Fremtind Livsforsikring'!C7+'Fremtind Livsforsikring'!C22+'Fremtind Livsforsikring'!C36+'Fremtind Livsforsikring'!C47+'Fremtind Livsforsikring'!C66+'Fremtind Livsforsikring'!C134</f>
        <v>4225621.7292200001</v>
      </c>
      <c r="D12" s="76">
        <f t="shared" si="0"/>
        <v>20</v>
      </c>
      <c r="E12" s="324">
        <f t="shared" si="1"/>
        <v>4.4882811341194708</v>
      </c>
      <c r="F12" s="75"/>
      <c r="G12" s="130">
        <f>'Fremtind Livsforsikring'!B10+'Fremtind Livsforsikring'!B29+'Fremtind Livsforsikring'!B37+'Fremtind Livsforsikring'!B87+'Fremtind Livsforsikring'!B135</f>
        <v>5358000.0491800001</v>
      </c>
      <c r="H12" s="130">
        <f>'Fremtind Livsforsikring'!C10+'Fremtind Livsforsikring'!C29+'Fremtind Livsforsikring'!C37+'Fremtind Livsforsikring'!C87+'Fremtind Livsforsikring'!C135</f>
        <v>6584967.8127199998</v>
      </c>
      <c r="I12" s="76">
        <f t="shared" si="2"/>
        <v>22.9</v>
      </c>
      <c r="J12" s="324">
        <f t="shared" si="3"/>
        <v>0.46343501488987116</v>
      </c>
      <c r="K12" s="59" t="s">
        <v>132</v>
      </c>
      <c r="L12" s="168">
        <f ca="1">INDIRECT("'" &amp; $A10 &amp; "'!" &amp; $P$7)</f>
        <v>0</v>
      </c>
      <c r="M12" s="166">
        <f ca="1">INDIRECT("'" &amp; $A10 &amp; "'!" &amp; $P$8)</f>
        <v>0</v>
      </c>
      <c r="N12" s="168" t="e">
        <f ca="1">INDIRECT("'" &amp; $A10 &amp; "'!" &amp;#REF!)</f>
        <v>#REF!</v>
      </c>
      <c r="O12" s="166">
        <f ca="1">INDIRECT("'" &amp; $A10 &amp; "'!" &amp; $P$9)</f>
        <v>0</v>
      </c>
      <c r="R12" s="420"/>
    </row>
    <row r="13" spans="1:18" ht="18.75" x14ac:dyDescent="0.3">
      <c r="A13" s="77" t="s">
        <v>81</v>
      </c>
      <c r="B13" s="130">
        <f>'Frende Livsforsikring'!B7+'Frende Livsforsikring'!B22+'Frende Livsforsikring'!B36+'Frende Livsforsikring'!B47+'Frende Livsforsikring'!B66+'Frende Livsforsikring'!B134</f>
        <v>555601</v>
      </c>
      <c r="C13" s="130">
        <f>'Frende Livsforsikring'!C7+'Frende Livsforsikring'!C22+'Frende Livsforsikring'!C36+'Frende Livsforsikring'!C47+'Frende Livsforsikring'!C66+'Frende Livsforsikring'!C134</f>
        <v>630989</v>
      </c>
      <c r="D13" s="76">
        <f t="shared" si="0"/>
        <v>13.6</v>
      </c>
      <c r="E13" s="324">
        <f t="shared" si="1"/>
        <v>0.67021049351231798</v>
      </c>
      <c r="F13" s="75"/>
      <c r="G13" s="130">
        <f>'Frende Livsforsikring'!B10+'Frende Livsforsikring'!B29+'Frende Livsforsikring'!B37+'Frende Livsforsikring'!B87+'Frende Livsforsikring'!B135</f>
        <v>1571862</v>
      </c>
      <c r="H13" s="130">
        <f>'Frende Livsforsikring'!C10+'Frende Livsforsikring'!C29+'Frende Livsforsikring'!C37+'Frende Livsforsikring'!C87+'Frende Livsforsikring'!C135</f>
        <v>1788691</v>
      </c>
      <c r="I13" s="76">
        <f t="shared" si="2"/>
        <v>13.8</v>
      </c>
      <c r="J13" s="324">
        <f t="shared" si="3"/>
        <v>0.12588399272311313</v>
      </c>
      <c r="L13" s="168"/>
      <c r="M13" s="166"/>
      <c r="N13" s="168"/>
      <c r="O13" s="166"/>
    </row>
    <row r="14" spans="1:18" ht="18.75" x14ac:dyDescent="0.3">
      <c r="A14" s="77" t="s">
        <v>82</v>
      </c>
      <c r="B14" s="130">
        <f>'Frende Skadeforsikring'!B7+'Frende Skadeforsikring'!B22+'Frende Skadeforsikring'!B36+'Frende Skadeforsikring'!B47+'Frende Skadeforsikring'!B66+'Frende Skadeforsikring'!B134</f>
        <v>9340.8760000000002</v>
      </c>
      <c r="C14" s="130">
        <f>'Frende Skadeforsikring'!C7+'Frende Skadeforsikring'!C22+'Frende Skadeforsikring'!C36+'Frende Skadeforsikring'!C47+'Frende Skadeforsikring'!C66+'Frende Skadeforsikring'!C134</f>
        <v>2550.2539999999999</v>
      </c>
      <c r="D14" s="76">
        <f t="shared" si="0"/>
        <v>-72.7</v>
      </c>
      <c r="E14" s="324">
        <f t="shared" si="1"/>
        <v>2.7087746251071932E-3</v>
      </c>
      <c r="F14" s="75"/>
      <c r="G14" s="130">
        <f>'Frende Skadeforsikring'!B10+'Frende Skadeforsikring'!B29+'Frende Skadeforsikring'!B37+'Frende Skadeforsikring'!B87+'Frende Skadeforsikring'!B135</f>
        <v>0</v>
      </c>
      <c r="H14" s="130">
        <f>'Frende Skadeforsikring'!C10+'Frende Skadeforsikring'!C29+'Frende Skadeforsikring'!C37+'Frende Skadeforsikring'!C87+'Frende Skadeforsikring'!C135</f>
        <v>0</v>
      </c>
      <c r="I14" s="76"/>
      <c r="J14" s="324">
        <f t="shared" si="3"/>
        <v>0</v>
      </c>
      <c r="K14" s="59" t="s">
        <v>128</v>
      </c>
      <c r="L14" s="168">
        <f t="shared" ref="L14:L30" ca="1" si="5">INDIRECT("'" &amp; $A13 &amp; "'!" &amp; $P$7)</f>
        <v>0</v>
      </c>
      <c r="M14" s="166">
        <f t="shared" ref="M14:M30" ca="1" si="6">INDIRECT("'" &amp; $A13 &amp; "'!" &amp; $P$8)</f>
        <v>0</v>
      </c>
      <c r="N14" s="168" t="e">
        <f ca="1">INDIRECT("'" &amp; $A13 &amp; "'!" &amp;#REF!)</f>
        <v>#REF!</v>
      </c>
      <c r="O14" s="166">
        <f t="shared" ref="O14:O30" ca="1" si="7">INDIRECT("'" &amp; $A13 &amp; "'!" &amp; $P$9)</f>
        <v>0</v>
      </c>
    </row>
    <row r="15" spans="1:18" ht="18.75" x14ac:dyDescent="0.3">
      <c r="A15" s="77" t="s">
        <v>83</v>
      </c>
      <c r="B15" s="130">
        <f>'Gjensidige Forsikring'!B7+'Gjensidige Forsikring'!B22+'Gjensidige Forsikring'!B36+'Gjensidige Forsikring'!B47+'Gjensidige Forsikring'!B66+'Gjensidige Forsikring'!B134</f>
        <v>2207185.0870000003</v>
      </c>
      <c r="C15" s="130">
        <f>'Gjensidige Forsikring'!C7+'Gjensidige Forsikring'!C22+'Gjensidige Forsikring'!C36+'Gjensidige Forsikring'!C47+'Gjensidige Forsikring'!C66+'Gjensidige Forsikring'!C134</f>
        <v>2307390.4688399998</v>
      </c>
      <c r="D15" s="76">
        <f t="shared" si="0"/>
        <v>4.5</v>
      </c>
      <c r="E15" s="324">
        <f t="shared" si="1"/>
        <v>2.4508149981170431</v>
      </c>
      <c r="F15" s="75"/>
      <c r="G15" s="130">
        <f>'Gjensidige Forsikring'!B10+'Gjensidige Forsikring'!B29+'Gjensidige Forsikring'!B37+'Gjensidige Forsikring'!B87+'Gjensidige Forsikring'!B135</f>
        <v>1244975.0162699199</v>
      </c>
      <c r="H15" s="130">
        <f>'Gjensidige Forsikring'!C10+'Gjensidige Forsikring'!C29+'Gjensidige Forsikring'!C37+'Gjensidige Forsikring'!C87+'Gjensidige Forsikring'!C135</f>
        <v>1203252.1255999999</v>
      </c>
      <c r="I15" s="76">
        <f t="shared" si="2"/>
        <v>-3.4</v>
      </c>
      <c r="J15" s="324">
        <f t="shared" si="3"/>
        <v>8.4682140080707499E-2</v>
      </c>
      <c r="K15" s="59" t="s">
        <v>133</v>
      </c>
      <c r="L15" s="168">
        <f t="shared" ca="1" si="5"/>
        <v>0</v>
      </c>
      <c r="M15" s="166">
        <f t="shared" ca="1" si="6"/>
        <v>0</v>
      </c>
      <c r="N15" s="168" t="e">
        <f ca="1">INDIRECT("'" &amp; $A14 &amp; "'!" &amp;#REF!)</f>
        <v>#REF!</v>
      </c>
      <c r="O15" s="166">
        <f t="shared" ca="1" si="7"/>
        <v>0</v>
      </c>
    </row>
    <row r="16" spans="1:18" ht="18.75" x14ac:dyDescent="0.3">
      <c r="A16" s="77" t="s">
        <v>84</v>
      </c>
      <c r="B16" s="130">
        <f>'Gjensidige Pensjon'!B7+'Gjensidige Pensjon'!B22+'Gjensidige Pensjon'!B36+'Gjensidige Pensjon'!B47+'Gjensidige Pensjon'!B66+'Gjensidige Pensjon'!B134</f>
        <v>933569</v>
      </c>
      <c r="C16" s="130">
        <f>'Gjensidige Pensjon'!C7+'Gjensidige Pensjon'!C22+'Gjensidige Pensjon'!C36+'Gjensidige Pensjon'!C47+'Gjensidige Pensjon'!C66+'Gjensidige Pensjon'!C134</f>
        <v>1077042</v>
      </c>
      <c r="D16" s="76">
        <f t="shared" si="0"/>
        <v>15.4</v>
      </c>
      <c r="E16" s="324">
        <f t="shared" si="1"/>
        <v>1.1439895946735901</v>
      </c>
      <c r="F16" s="75"/>
      <c r="G16" s="130">
        <f>'Gjensidige Pensjon'!B10+'Gjensidige Pensjon'!B29+'Gjensidige Pensjon'!B37+'Gjensidige Pensjon'!B87+'Gjensidige Pensjon'!B135</f>
        <v>9863248</v>
      </c>
      <c r="H16" s="130">
        <f>'Gjensidige Pensjon'!C10+'Gjensidige Pensjon'!C29+'Gjensidige Pensjon'!C37+'Gjensidige Pensjon'!C87+'Gjensidige Pensjon'!C135</f>
        <v>10849100</v>
      </c>
      <c r="I16" s="76">
        <f t="shared" si="2"/>
        <v>10</v>
      </c>
      <c r="J16" s="324">
        <f t="shared" si="3"/>
        <v>0.76353491209623492</v>
      </c>
      <c r="K16" s="59" t="s">
        <v>129</v>
      </c>
      <c r="L16" s="168">
        <f t="shared" ca="1" si="5"/>
        <v>0</v>
      </c>
      <c r="M16" s="166">
        <f t="shared" ca="1" si="6"/>
        <v>0</v>
      </c>
      <c r="N16" s="168" t="e">
        <f ca="1">INDIRECT("'" &amp; $A15 &amp; "'!" &amp;#REF!)</f>
        <v>#REF!</v>
      </c>
      <c r="O16" s="166">
        <f t="shared" ca="1" si="7"/>
        <v>0</v>
      </c>
    </row>
    <row r="17" spans="1:21" ht="18.75" x14ac:dyDescent="0.3">
      <c r="A17" s="77" t="s">
        <v>85</v>
      </c>
      <c r="B17" s="130">
        <f>'If Skadeforsikring NUF'!B7+'If Skadeforsikring NUF'!B22+'If Skadeforsikring NUF'!B36+'If Skadeforsikring NUF'!B47+'If Skadeforsikring NUF'!B66+'If Skadeforsikring NUF'!B134</f>
        <v>655938.89034121204</v>
      </c>
      <c r="C17" s="130">
        <f>'If Skadeforsikring NUF'!C7+'If Skadeforsikring NUF'!C22+'If Skadeforsikring NUF'!C36+'If Skadeforsikring NUF'!C47+'If Skadeforsikring NUF'!C66+'If Skadeforsikring NUF'!C134</f>
        <v>733957.59109304007</v>
      </c>
      <c r="D17" s="76">
        <f t="shared" si="0"/>
        <v>11.9</v>
      </c>
      <c r="E17" s="324">
        <f t="shared" si="1"/>
        <v>0.77957948449747694</v>
      </c>
      <c r="F17" s="75"/>
      <c r="G17" s="130">
        <f>'If Skadeforsikring NUF'!B10+'If Skadeforsikring NUF'!B29+'If Skadeforsikring NUF'!B37+'If Skadeforsikring NUF'!B87+'If Skadeforsikring NUF'!B135</f>
        <v>576634.80327407003</v>
      </c>
      <c r="H17" s="130">
        <f>'If Skadeforsikring NUF'!C10+'If Skadeforsikring NUF'!C29+'If Skadeforsikring NUF'!C37+'If Skadeforsikring NUF'!C87+'If Skadeforsikring NUF'!C135</f>
        <v>629850.56915</v>
      </c>
      <c r="I17" s="76">
        <f t="shared" si="2"/>
        <v>9.1999999999999993</v>
      </c>
      <c r="J17" s="324">
        <f t="shared" si="3"/>
        <v>4.4327446419491823E-2</v>
      </c>
      <c r="K17" s="51"/>
      <c r="L17" s="168" t="e">
        <f ca="1">INDIRECT("'" &amp;#REF! &amp; "'!" &amp; $P$7)</f>
        <v>#REF!</v>
      </c>
      <c r="M17" s="166" t="e">
        <f ca="1">INDIRECT("'" &amp;#REF! &amp; "'!" &amp; $P$8)</f>
        <v>#REF!</v>
      </c>
      <c r="N17" s="168" t="e">
        <f ca="1">INDIRECT("'" &amp;#REF! &amp; "'!" &amp;#REF!)</f>
        <v>#REF!</v>
      </c>
      <c r="O17" s="166" t="e">
        <f ca="1">INDIRECT("'" &amp;#REF! &amp; "'!" &amp; $P$9)</f>
        <v>#REF!</v>
      </c>
    </row>
    <row r="18" spans="1:21" ht="18.75" x14ac:dyDescent="0.3">
      <c r="A18" s="77" t="s">
        <v>61</v>
      </c>
      <c r="B18" s="130">
        <f>KLP!B7+KLP!B22+KLP!B36+KLP!B47+KLP!B66+KLP!B134</f>
        <v>69993489.364010006</v>
      </c>
      <c r="C18" s="130">
        <f>KLP!C7+KLP!C22+KLP!C36+KLP!C47+KLP!C66+KLP!C134</f>
        <v>60669623.227650002</v>
      </c>
      <c r="D18" s="76">
        <f t="shared" si="0"/>
        <v>-13.3</v>
      </c>
      <c r="E18" s="324">
        <f t="shared" si="1"/>
        <v>64.440771748175791</v>
      </c>
      <c r="F18" s="75"/>
      <c r="G18" s="130">
        <f>KLP!B10+KLP!B29+KLP!B37+KLP!B87+KLP!B135</f>
        <v>684665855.72836995</v>
      </c>
      <c r="H18" s="130">
        <f>KLP!C10+KLP!C29+KLP!C37+KLP!C87+KLP!C135</f>
        <v>799889817.73760998</v>
      </c>
      <c r="I18" s="76">
        <f t="shared" si="2"/>
        <v>16.8</v>
      </c>
      <c r="J18" s="324">
        <f t="shared" si="3"/>
        <v>56.294420889563135</v>
      </c>
      <c r="K18" s="51"/>
      <c r="L18" s="168" t="e">
        <f ca="1">INDIRECT("'" &amp;#REF! &amp; "'!" &amp; $P$7)</f>
        <v>#REF!</v>
      </c>
      <c r="M18" s="166" t="e">
        <f ca="1">INDIRECT("'" &amp;#REF! &amp; "'!" &amp; $P$8)</f>
        <v>#REF!</v>
      </c>
      <c r="N18" s="168" t="e">
        <f ca="1">INDIRECT("'" &amp;#REF! &amp; "'!" &amp;#REF!)</f>
        <v>#REF!</v>
      </c>
      <c r="O18" s="166" t="e">
        <f ca="1">INDIRECT("'" &amp;#REF! &amp; "'!" &amp; $P$9)</f>
        <v>#REF!</v>
      </c>
    </row>
    <row r="19" spans="1:21" ht="18.75" x14ac:dyDescent="0.3">
      <c r="A19" s="77" t="s">
        <v>86</v>
      </c>
      <c r="B19" s="130">
        <f>'KLP Skadeforsikring AS'!B7+'KLP Skadeforsikring AS'!B22+'KLP Skadeforsikring AS'!B36+'KLP Skadeforsikring AS'!B47+'KLP Skadeforsikring AS'!B66+'KLP Skadeforsikring AS'!B134</f>
        <v>343058.73300000001</v>
      </c>
      <c r="C19" s="130">
        <f>'KLP Skadeforsikring AS'!C7+'KLP Skadeforsikring AS'!C22+'KLP Skadeforsikring AS'!C36+'KLP Skadeforsikring AS'!C47+'KLP Skadeforsikring AS'!C66+'KLP Skadeforsikring AS'!C134</f>
        <v>390022.27399999998</v>
      </c>
      <c r="D19" s="76">
        <f t="shared" si="0"/>
        <v>13.7</v>
      </c>
      <c r="E19" s="324">
        <f t="shared" si="1"/>
        <v>0.41426557473796927</v>
      </c>
      <c r="F19" s="75"/>
      <c r="G19" s="130">
        <f>'KLP Skadeforsikring AS'!B10+'KLP Skadeforsikring AS'!B29+'KLP Skadeforsikring AS'!B37+'KLP Skadeforsikring AS'!B87+'KLP Skadeforsikring AS'!B135</f>
        <v>135144.10499999998</v>
      </c>
      <c r="H19" s="130">
        <f>'KLP Skadeforsikring AS'!C10+'KLP Skadeforsikring AS'!C29+'KLP Skadeforsikring AS'!C37+'KLP Skadeforsikring AS'!C87+'KLP Skadeforsikring AS'!C135</f>
        <v>170090.69199999998</v>
      </c>
      <c r="I19" s="76">
        <f t="shared" si="2"/>
        <v>25.9</v>
      </c>
      <c r="J19" s="324">
        <f t="shared" si="3"/>
        <v>1.1970594940097128E-2</v>
      </c>
      <c r="K19" s="51"/>
      <c r="L19" s="168">
        <f ca="1">INDIRECT("'" &amp; $A31 &amp; "'!" &amp; $P$7)</f>
        <v>0</v>
      </c>
      <c r="M19" s="166">
        <f ca="1">INDIRECT("'" &amp; $A31 &amp; "'!" &amp; $P$8)</f>
        <v>0</v>
      </c>
      <c r="N19" s="168" t="e">
        <f ca="1">INDIRECT("'" &amp; $A31 &amp; "'!" &amp;#REF!)</f>
        <v>#REF!</v>
      </c>
      <c r="O19" s="166">
        <f ca="1">INDIRECT("'" &amp; $A31 &amp; "'!" &amp; $P$9)</f>
        <v>0</v>
      </c>
    </row>
    <row r="20" spans="1:21" ht="18.75" x14ac:dyDescent="0.3">
      <c r="A20" s="77" t="s">
        <v>423</v>
      </c>
      <c r="B20" s="130">
        <f>'Landkreditt Forsikring'!B7+'Landkreditt Forsikring'!B22+'Landkreditt Forsikring'!B36+'Landkreditt Forsikring'!B47+'Landkreditt Forsikring'!B66+'Landkreditt Forsikring'!B134</f>
        <v>106120</v>
      </c>
      <c r="C20" s="130">
        <f>'Landkreditt Forsikring'!C7+'Landkreditt Forsikring'!C22+'Landkreditt Forsikring'!C36+'Landkreditt Forsikring'!C47+'Landkreditt Forsikring'!C66+'Landkreditt Forsikring'!C134</f>
        <v>112297</v>
      </c>
      <c r="D20" s="76">
        <f t="shared" si="0"/>
        <v>5.8</v>
      </c>
      <c r="E20" s="324">
        <f t="shared" si="1"/>
        <v>0.11927724221809377</v>
      </c>
      <c r="F20" s="75"/>
      <c r="G20" s="130">
        <f>'Landkreditt Forsikring'!B10+'Landkreditt Forsikring'!B29+'Landkreditt Forsikring'!B37+'Landkreditt Forsikring'!B87+'Landkreditt Forsikring'!B135</f>
        <v>0</v>
      </c>
      <c r="H20" s="130">
        <f>'Landkreditt Forsikring'!C10+'Landkreditt Forsikring'!C29+'Landkreditt Forsikring'!C37+'Landkreditt Forsikring'!C87+'Landkreditt Forsikring'!C135</f>
        <v>0</v>
      </c>
      <c r="I20" s="76"/>
      <c r="J20" s="324">
        <f t="shared" si="3"/>
        <v>0</v>
      </c>
      <c r="K20" s="51"/>
      <c r="L20" s="168">
        <f t="shared" ca="1" si="5"/>
        <v>0</v>
      </c>
      <c r="M20" s="166">
        <f t="shared" ca="1" si="6"/>
        <v>0</v>
      </c>
      <c r="N20" s="168" t="e">
        <f ca="1">INDIRECT("'" &amp; $A19 &amp; "'!" &amp;#REF!)</f>
        <v>#REF!</v>
      </c>
      <c r="O20" s="166">
        <f t="shared" ca="1" si="7"/>
        <v>0</v>
      </c>
    </row>
    <row r="21" spans="1:21" ht="18.75" x14ac:dyDescent="0.3">
      <c r="A21" s="77" t="s">
        <v>432</v>
      </c>
      <c r="B21" s="130">
        <f>'Ly Forsikring'!B7+'Ly Forsikring'!B22+'Ly Forsikring'!B36+'Ly Forsikring'!B47+'Ly Forsikring'!B66+'Ly Forsikring'!B134</f>
        <v>27118</v>
      </c>
      <c r="C21" s="130">
        <f>'Ly Forsikring'!C7+'Ly Forsikring'!C22+'Ly Forsikring'!C36+'Ly Forsikring'!C47+'Ly Forsikring'!C66+'Ly Forsikring'!C134</f>
        <v>32229.312999999998</v>
      </c>
      <c r="D21" s="76">
        <f t="shared" ref="D21" si="8">IF(B21=0, "    ---- ", IF(ABS(ROUND(100/B21*C21-100,1))&lt;999,ROUND(100/B21*C21-100,1),IF(ROUND(100/B21*C21-100,1)&gt;999,999,-999)))</f>
        <v>18.8</v>
      </c>
      <c r="E21" s="324">
        <f t="shared" si="1"/>
        <v>3.4232647116341115E-2</v>
      </c>
      <c r="F21" s="75"/>
      <c r="G21" s="130">
        <f>'Ly Forsikring'!B10+'Ly Forsikring'!B29+'Ly Forsikring'!B37+'Ly Forsikring'!B87+'Ly Forsikring'!B135</f>
        <v>0</v>
      </c>
      <c r="H21" s="130">
        <f>'Ly Forsikring'!C10+'Ly Forsikring'!C29+'Ly Forsikring'!C37+'Ly Forsikring'!C87+'Ly Forsikring'!C135</f>
        <v>0</v>
      </c>
      <c r="I21" s="76"/>
      <c r="J21" s="324">
        <f t="shared" si="3"/>
        <v>0</v>
      </c>
      <c r="K21" s="51"/>
      <c r="L21" s="168"/>
      <c r="M21" s="166"/>
      <c r="N21" s="168"/>
      <c r="O21" s="166"/>
    </row>
    <row r="22" spans="1:21" ht="18.75" x14ac:dyDescent="0.3">
      <c r="A22" s="77" t="s">
        <v>87</v>
      </c>
      <c r="B22" s="130">
        <f>'Nordea Liv '!B7+'Nordea Liv '!B22+'Nordea Liv '!B36+'Nordea Liv '!B47+'Nordea Liv '!B66+'Nordea Liv '!B134</f>
        <v>1776249.505460812</v>
      </c>
      <c r="C22" s="130">
        <f>'Nordea Liv '!C7+'Nordea Liv '!C22+'Nordea Liv '!C36+'Nordea Liv '!C47+'Nordea Liv '!C66+'Nordea Liv '!C134</f>
        <v>1799637.4678502949</v>
      </c>
      <c r="D22" s="76">
        <f t="shared" si="0"/>
        <v>1.3</v>
      </c>
      <c r="E22" s="324">
        <f t="shared" si="1"/>
        <v>1.9115007004420115</v>
      </c>
      <c r="F22" s="75"/>
      <c r="G22" s="130">
        <f>'Nordea Liv '!B10+'Nordea Liv '!B29+'Nordea Liv '!B37+'Nordea Liv '!B87+'Nordea Liv '!B135</f>
        <v>54065629.99999816</v>
      </c>
      <c r="H22" s="130">
        <f>'Nordea Liv '!C10+'Nordea Liv '!C29+'Nordea Liv '!C37+'Nordea Liv '!C87+'Nordea Liv '!C135</f>
        <v>54748349.999999203</v>
      </c>
      <c r="I22" s="76">
        <f t="shared" si="2"/>
        <v>1.3</v>
      </c>
      <c r="J22" s="324">
        <f t="shared" si="3"/>
        <v>3.8530639965216738</v>
      </c>
      <c r="K22" s="51"/>
      <c r="L22" s="168">
        <f ca="1">INDIRECT("'" &amp; $A20 &amp; "'!" &amp; $P$7)</f>
        <v>0</v>
      </c>
      <c r="M22" s="166">
        <f ca="1">INDIRECT("'" &amp; $A20 &amp; "'!" &amp; $P$8)</f>
        <v>0</v>
      </c>
      <c r="N22" s="168" t="e">
        <f ca="1">INDIRECT("'" &amp; $A20 &amp; "'!" &amp;#REF!)</f>
        <v>#REF!</v>
      </c>
      <c r="O22" s="166">
        <f ca="1">INDIRECT("'" &amp; $A20 &amp; "'!" &amp; $P$9)</f>
        <v>0</v>
      </c>
    </row>
    <row r="23" spans="1:21" ht="18.75" x14ac:dyDescent="0.3">
      <c r="A23" s="77" t="s">
        <v>468</v>
      </c>
      <c r="B23" s="130">
        <f>'Oslo Forsikring'!B7+'Oslo Forsikring'!B22+'Oslo Forsikring'!B36+'Oslo Forsikring'!B47+'Oslo Forsikring'!B66+'Oslo Forsikring'!B134</f>
        <v>0</v>
      </c>
      <c r="C23" s="130">
        <f>'Oslo Forsikring'!C7+'Oslo Forsikring'!C22+'Oslo Forsikring'!C36+'Oslo Forsikring'!C47+'Oslo Forsikring'!C66+'Oslo Forsikring'!C134</f>
        <v>33970</v>
      </c>
      <c r="D23" s="76" t="str">
        <f t="shared" ref="D23" si="9">IF(B23=0, "    ---- ", IF(ABS(ROUND(100/B23*C23-100,1))&lt;999,ROUND(100/B23*C23-100,1),IF(ROUND(100/B23*C23-100,1)&gt;999,999,-999)))</f>
        <v xml:space="preserve">    ---- </v>
      </c>
      <c r="E23" s="324">
        <f t="shared" si="1"/>
        <v>3.6081533060977992E-2</v>
      </c>
      <c r="F23" s="75"/>
      <c r="G23" s="130">
        <f>'Oslo Forsikring'!B10+'Oslo Forsikring'!B29+'Oslo Forsikring'!B37+'Oslo Forsikring'!B87+'Oslo Forsikring'!B135</f>
        <v>0</v>
      </c>
      <c r="H23" s="130">
        <f>'Oslo Forsikring'!C10+'Oslo Forsikring'!C29+'Oslo Forsikring'!C37+'Oslo Forsikring'!C87+'Oslo Forsikring'!C135</f>
        <v>0</v>
      </c>
      <c r="I23" s="76"/>
      <c r="J23" s="324">
        <f t="shared" si="3"/>
        <v>0</v>
      </c>
      <c r="K23" s="51"/>
      <c r="L23" s="168"/>
      <c r="M23" s="166"/>
      <c r="N23" s="168"/>
      <c r="O23" s="166"/>
    </row>
    <row r="24" spans="1:21" ht="18.75" x14ac:dyDescent="0.3">
      <c r="A24" s="77" t="s">
        <v>88</v>
      </c>
      <c r="B24" s="130">
        <f>'Oslo Pensjonsforsikring'!B7+'Oslo Pensjonsforsikring'!B22+'Oslo Pensjonsforsikring'!B36+'Oslo Pensjonsforsikring'!B47+'Oslo Pensjonsforsikring'!B66+'Oslo Pensjonsforsikring'!B134</f>
        <v>10450981</v>
      </c>
      <c r="C24" s="130">
        <f>'Oslo Pensjonsforsikring'!C7+'Oslo Pensjonsforsikring'!C22+'Oslo Pensjonsforsikring'!C36+'Oslo Pensjonsforsikring'!C47+'Oslo Pensjonsforsikring'!C66+'Oslo Pensjonsforsikring'!C134</f>
        <v>8288469.449</v>
      </c>
      <c r="D24" s="76">
        <f t="shared" si="0"/>
        <v>-20.7</v>
      </c>
      <c r="E24" s="324">
        <f t="shared" si="1"/>
        <v>8.803670428289653</v>
      </c>
      <c r="F24" s="75"/>
      <c r="G24" s="130">
        <f>'Oslo Pensjonsforsikring'!B10+'Oslo Pensjonsforsikring'!B29+'Oslo Pensjonsforsikring'!B37+'Oslo Pensjonsforsikring'!B87+'Oslo Pensjonsforsikring'!B135</f>
        <v>121634234</v>
      </c>
      <c r="H24" s="130">
        <f>'Oslo Pensjonsforsikring'!C10+'Oslo Pensjonsforsikring'!C29+'Oslo Pensjonsforsikring'!C37+'Oslo Pensjonsforsikring'!C87+'Oslo Pensjonsforsikring'!C135</f>
        <v>130120437</v>
      </c>
      <c r="I24" s="76">
        <f t="shared" si="2"/>
        <v>7</v>
      </c>
      <c r="J24" s="324">
        <f t="shared" si="3"/>
        <v>9.1575795620575597</v>
      </c>
      <c r="K24" s="51"/>
      <c r="L24" s="168">
        <f ca="1">INDIRECT("'" &amp; $A22 &amp; "'!" &amp; $P$7)</f>
        <v>0</v>
      </c>
      <c r="M24" s="166">
        <f ca="1">INDIRECT("'" &amp; $A22 &amp; "'!" &amp; $P$8)</f>
        <v>0</v>
      </c>
      <c r="N24" s="168" t="e">
        <f ca="1">INDIRECT("'" &amp; $A22 &amp; "'!" &amp;#REF!)</f>
        <v>#REF!</v>
      </c>
      <c r="O24" s="166">
        <f ca="1">INDIRECT("'" &amp; $A22 &amp; "'!" &amp; $P$9)</f>
        <v>0</v>
      </c>
    </row>
    <row r="25" spans="1:21" ht="18.75" x14ac:dyDescent="0.3">
      <c r="A25" s="77" t="s">
        <v>385</v>
      </c>
      <c r="B25" s="130">
        <f>'Protector Forsikring'!B7+'Protector Forsikring'!B22+'Protector Forsikring'!B36+'Protector Forsikring'!B47+'Protector Forsikring'!B66+'Protector Forsikring'!B134</f>
        <v>379744</v>
      </c>
      <c r="C25" s="130">
        <f>'Protector Forsikring'!C7+'Protector Forsikring'!C22+'Protector Forsikring'!C36+'Protector Forsikring'!C47+'Protector Forsikring'!C66+'Protector Forsikring'!C134</f>
        <v>398078</v>
      </c>
      <c r="D25" s="76">
        <f t="shared" si="0"/>
        <v>4.8</v>
      </c>
      <c r="E25" s="324">
        <f t="shared" si="1"/>
        <v>0.42282203467318213</v>
      </c>
      <c r="F25" s="75"/>
      <c r="G25" s="130">
        <f>'Protector Forsikring'!B10+'Protector Forsikring'!B29+'Protector Forsikring'!B37+'Protector Forsikring'!B87+'Protector Forsikring'!B135</f>
        <v>0</v>
      </c>
      <c r="H25" s="130">
        <f>'Protector Forsikring'!C10+'Protector Forsikring'!C29+'Protector Forsikring'!C37+'Protector Forsikring'!C87+'Protector Forsikring'!C135</f>
        <v>0</v>
      </c>
      <c r="I25" s="76"/>
      <c r="J25" s="324">
        <f t="shared" si="3"/>
        <v>0</v>
      </c>
      <c r="K25" s="51"/>
      <c r="L25" s="168">
        <f t="shared" ca="1" si="5"/>
        <v>0</v>
      </c>
      <c r="M25" s="166">
        <f t="shared" ca="1" si="6"/>
        <v>0</v>
      </c>
      <c r="N25" s="168" t="e">
        <f ca="1">INDIRECT("'" &amp; $A24 &amp; "'!" &amp;#REF!)</f>
        <v>#REF!</v>
      </c>
      <c r="O25" s="166">
        <f t="shared" ca="1" si="7"/>
        <v>0</v>
      </c>
    </row>
    <row r="26" spans="1:21" ht="18.75" x14ac:dyDescent="0.3">
      <c r="A26" s="77" t="s">
        <v>431</v>
      </c>
      <c r="B26" s="130">
        <f>'Sparebank 1 Forsikring'!B7+'Sparebank 1 Forsikring'!B22+'Sparebank 1 Forsikring'!B36+'Sparebank 1 Forsikring'!B47+'Sparebank 1 Forsikring'!B66+'Sparebank 1 Forsikring'!B134</f>
        <v>873185.76884000003</v>
      </c>
      <c r="C26" s="130">
        <f>'Sparebank 1 Forsikring'!C7+'Sparebank 1 Forsikring'!C22+'Sparebank 1 Forsikring'!C36+'Sparebank 1 Forsikring'!C47+'Sparebank 1 Forsikring'!C66+'Sparebank 1 Forsikring'!C134</f>
        <v>917537.71678000002</v>
      </c>
      <c r="D26" s="76">
        <f t="shared" si="0"/>
        <v>5.0999999999999996</v>
      </c>
      <c r="E26" s="324">
        <f t="shared" si="1"/>
        <v>0.97457072307011572</v>
      </c>
      <c r="F26" s="75"/>
      <c r="G26" s="130">
        <f>'Sparebank 1 Forsikring'!B10+'Sparebank 1 Forsikring'!B29+'Sparebank 1 Forsikring'!B37+'Sparebank 1 Forsikring'!B87+'Sparebank 1 Forsikring'!B135</f>
        <v>19205680.644109998</v>
      </c>
      <c r="H26" s="130">
        <f>'Sparebank 1 Forsikring'!C10+'Sparebank 1 Forsikring'!C29+'Sparebank 1 Forsikring'!C37+'Sparebank 1 Forsikring'!C87+'Sparebank 1 Forsikring'!C135</f>
        <v>22598085.538499996</v>
      </c>
      <c r="I26" s="76">
        <f t="shared" si="2"/>
        <v>17.7</v>
      </c>
      <c r="J26" s="324">
        <f t="shared" si="3"/>
        <v>1.5904017158272845</v>
      </c>
      <c r="K26" s="51"/>
      <c r="L26" s="168">
        <f t="shared" ca="1" si="5"/>
        <v>0</v>
      </c>
      <c r="M26" s="166">
        <f t="shared" ca="1" si="6"/>
        <v>0</v>
      </c>
      <c r="N26" s="168" t="e">
        <f ca="1">INDIRECT("'" &amp; $A25 &amp; "'!" &amp;#REF!)</f>
        <v>#REF!</v>
      </c>
      <c r="O26" s="166">
        <f t="shared" ca="1" si="7"/>
        <v>0</v>
      </c>
    </row>
    <row r="27" spans="1:21" ht="18.75" x14ac:dyDescent="0.3">
      <c r="A27" s="77" t="s">
        <v>89</v>
      </c>
      <c r="B27" s="130">
        <f>'Storebrand Livsforsikring'!B7+'Storebrand Livsforsikring'!B22+'Storebrand Livsforsikring'!B36+'Storebrand Livsforsikring'!B47+'Storebrand Livsforsikring'!B66+'Storebrand Livsforsikring'!B134</f>
        <v>8256559.4979499998</v>
      </c>
      <c r="C27" s="130">
        <f>'Storebrand Livsforsikring'!C7+'Storebrand Livsforsikring'!C22+'Storebrand Livsforsikring'!C36+'Storebrand Livsforsikring'!C47+'Storebrand Livsforsikring'!C66+'Storebrand Livsforsikring'!C134</f>
        <v>8057784.6228</v>
      </c>
      <c r="D27" s="76">
        <f t="shared" si="0"/>
        <v>-2.4</v>
      </c>
      <c r="E27" s="324">
        <f t="shared" si="1"/>
        <v>8.5586465194524077</v>
      </c>
      <c r="F27" s="75"/>
      <c r="G27" s="130">
        <f>'Storebrand Livsforsikring'!B10+'Storebrand Livsforsikring'!B29+'Storebrand Livsforsikring'!B37+'Storebrand Livsforsikring'!B87+'Storebrand Livsforsikring'!B135</f>
        <v>201901381.48558003</v>
      </c>
      <c r="H27" s="130">
        <f>'Storebrand Livsforsikring'!C10+'Storebrand Livsforsikring'!C29+'Storebrand Livsforsikring'!C37+'Storebrand Livsforsikring'!C87+'Storebrand Livsforsikring'!C135</f>
        <v>211434057.99526995</v>
      </c>
      <c r="I27" s="76">
        <f t="shared" si="2"/>
        <v>4.7</v>
      </c>
      <c r="J27" s="324">
        <f t="shared" si="3"/>
        <v>14.880246738030682</v>
      </c>
      <c r="K27" s="51"/>
      <c r="L27" s="168">
        <f t="shared" ca="1" si="5"/>
        <v>0</v>
      </c>
      <c r="M27" s="166">
        <f t="shared" ca="1" si="6"/>
        <v>0</v>
      </c>
      <c r="N27" s="168" t="e">
        <f ca="1">INDIRECT("'" &amp; $A26 &amp; "'!" &amp;#REF!)</f>
        <v>#REF!</v>
      </c>
      <c r="O27" s="166">
        <f t="shared" ca="1" si="7"/>
        <v>0</v>
      </c>
    </row>
    <row r="28" spans="1:21" ht="18.75" x14ac:dyDescent="0.3">
      <c r="A28" s="77" t="s">
        <v>90</v>
      </c>
      <c r="B28" s="130">
        <f>'Telenor Forsikring'!B7+'Telenor Forsikring'!B22+'Telenor Forsikring'!B36+'Telenor Forsikring'!B47+'Telenor Forsikring'!B66+'Telenor Forsikring'!B134</f>
        <v>8896</v>
      </c>
      <c r="C28" s="130">
        <f>'Telenor Forsikring'!C7+'Telenor Forsikring'!C22+'Telenor Forsikring'!C36+'Telenor Forsikring'!C47+'Telenor Forsikring'!C66+'Telenor Forsikring'!C134</f>
        <v>9397</v>
      </c>
      <c r="D28" s="76">
        <f t="shared" si="0"/>
        <v>5.6</v>
      </c>
      <c r="E28" s="324">
        <f t="shared" si="1"/>
        <v>9.9811058632325624E-3</v>
      </c>
      <c r="F28" s="75"/>
      <c r="G28" s="130">
        <f>'Telenor Forsikring'!B10+'Telenor Forsikring'!B29+'Telenor Forsikring'!B37+'Telenor Forsikring'!B87+'Telenor Forsikring'!B135</f>
        <v>0</v>
      </c>
      <c r="H28" s="130">
        <f>'Telenor Forsikring'!C10+'Telenor Forsikring'!C29+'Telenor Forsikring'!C37+'Telenor Forsikring'!C87+'Telenor Forsikring'!C135</f>
        <v>0</v>
      </c>
      <c r="I28" s="76"/>
      <c r="J28" s="324">
        <f t="shared" si="3"/>
        <v>0</v>
      </c>
      <c r="K28" s="51"/>
      <c r="L28" s="168">
        <f t="shared" ca="1" si="5"/>
        <v>0</v>
      </c>
      <c r="M28" s="166">
        <f t="shared" ca="1" si="6"/>
        <v>0</v>
      </c>
      <c r="N28" s="168" t="e">
        <f ca="1">INDIRECT("'" &amp; $A27 &amp; "'!" &amp;#REF!)</f>
        <v>#REF!</v>
      </c>
      <c r="O28" s="166">
        <f t="shared" ca="1" si="7"/>
        <v>0</v>
      </c>
      <c r="R28" s="420"/>
    </row>
    <row r="29" spans="1:21" ht="18.75" x14ac:dyDescent="0.3">
      <c r="A29" s="77" t="s">
        <v>91</v>
      </c>
      <c r="B29" s="130">
        <f>'Tryg Forsikring'!B7+'Tryg Forsikring'!B22+'Tryg Forsikring'!B36+'Tryg Forsikring'!B47+'Tryg Forsikring'!B66+'Tryg Forsikring'!B134</f>
        <v>809012.68200000003</v>
      </c>
      <c r="C29" s="130">
        <f>'Tryg Forsikring'!C7+'Tryg Forsikring'!C22+'Tryg Forsikring'!C36+'Tryg Forsikring'!C47+'Tryg Forsikring'!C66+'Tryg Forsikring'!C134</f>
        <v>876213.18599999999</v>
      </c>
      <c r="D29" s="76">
        <f t="shared" si="0"/>
        <v>8.3000000000000007</v>
      </c>
      <c r="E29" s="324">
        <f t="shared" si="1"/>
        <v>0.93067751071898308</v>
      </c>
      <c r="F29" s="75"/>
      <c r="G29" s="130"/>
      <c r="I29" s="76"/>
      <c r="J29" s="324">
        <f t="shared" si="3"/>
        <v>0</v>
      </c>
      <c r="K29" s="155"/>
      <c r="L29" s="168">
        <f t="shared" ca="1" si="5"/>
        <v>0</v>
      </c>
      <c r="M29" s="166">
        <f t="shared" ca="1" si="6"/>
        <v>0</v>
      </c>
      <c r="N29" s="168" t="e">
        <f ca="1">INDIRECT("'" &amp; $A28 &amp; "'!" &amp;#REF!)</f>
        <v>#REF!</v>
      </c>
      <c r="O29" s="166">
        <f t="shared" ca="1" si="7"/>
        <v>0</v>
      </c>
    </row>
    <row r="30" spans="1:21" ht="18.75" x14ac:dyDescent="0.3">
      <c r="A30" s="77" t="s">
        <v>426</v>
      </c>
      <c r="B30" s="130">
        <f>'WaterCircles F'!B7+'WaterCircles F'!B22+'WaterCircles F'!B36+'WaterCircles F'!B47+'WaterCircles F'!B66+'WaterCircles F'!B136</f>
        <v>1704.4290000000001</v>
      </c>
      <c r="C30" s="130">
        <f>'WaterCircles F'!C7+'WaterCircles F'!C22+'WaterCircles F'!C36+'WaterCircles F'!C47+'WaterCircles F'!C66+'WaterCircles F'!C136</f>
        <v>1705</v>
      </c>
      <c r="D30" s="76">
        <f t="shared" si="0"/>
        <v>0</v>
      </c>
      <c r="E30" s="324">
        <f t="shared" si="1"/>
        <v>1.8109806849857955E-3</v>
      </c>
      <c r="F30" s="77"/>
      <c r="G30" s="75">
        <f>'WaterCircles F'!B10+'WaterCircles F'!B29+'WaterCircles F'!B37+'WaterCircles F'!B87+'WaterCircles F'!B135</f>
        <v>0</v>
      </c>
      <c r="H30" s="75">
        <f>'WaterCircles F'!C10+'WaterCircles F'!C29+'WaterCircles F'!C37+'WaterCircles F'!C87+'WaterCircles F'!C135</f>
        <v>0</v>
      </c>
      <c r="I30" s="76"/>
      <c r="J30" s="324">
        <f t="shared" si="3"/>
        <v>0</v>
      </c>
      <c r="K30" s="155"/>
      <c r="L30" s="168">
        <f t="shared" ca="1" si="5"/>
        <v>0</v>
      </c>
      <c r="M30" s="166">
        <f t="shared" ca="1" si="6"/>
        <v>0</v>
      </c>
      <c r="N30" s="168" t="e">
        <f ca="1">INDIRECT("'" &amp; $A29 &amp; "'!" &amp;#REF!)</f>
        <v>#REF!</v>
      </c>
      <c r="O30" s="166">
        <f t="shared" ca="1" si="7"/>
        <v>0</v>
      </c>
    </row>
    <row r="31" spans="1:21" ht="18.75" x14ac:dyDescent="0.3">
      <c r="A31" s="77" t="s">
        <v>433</v>
      </c>
      <c r="B31" s="130">
        <f>'Youplus Livsforsikring'!B7+'Youplus Livsforsikring'!B22+'Youplus Livsforsikring'!B36+'Youplus Livsforsikring'!B47+'Youplus Livsforsikring'!B66+'Youplus Livsforsikring'!B134</f>
        <v>24294</v>
      </c>
      <c r="C31" s="130">
        <f>'Youplus Livsforsikring'!C7+'Youplus Livsforsikring'!C22+'Youplus Livsforsikring'!C36+'Youplus Livsforsikring'!C47+'Youplus Livsforsikring'!C66+'Youplus Livsforsikring'!C134</f>
        <v>63809</v>
      </c>
      <c r="D31" s="76">
        <f>IF(B31=0, "    ---- ", IF(ABS(ROUND(100/B31*C31-100,1))&lt;999,ROUND(100/B31*C31-100,1),IF(ROUND(100/B31*C31-100,1)&gt;999,999,-999)))</f>
        <v>162.69999999999999</v>
      </c>
      <c r="E31" s="324">
        <f t="shared" si="1"/>
        <v>6.7775288286368696E-2</v>
      </c>
      <c r="F31" s="75"/>
      <c r="G31" s="130">
        <f>'Youplus Livsforsikring'!B10+'Youplus Livsforsikring'!B29+'Youplus Livsforsikring'!B37+'Youplus Livsforsikring'!B87+'Youplus Livsforsikring'!B135</f>
        <v>27371</v>
      </c>
      <c r="H31" s="130">
        <f>'Youplus Livsforsikring'!C10+'Youplus Livsforsikring'!C29+'Youplus Livsforsikring'!C37+'Youplus Livsforsikring'!C87+'Youplus Livsforsikring'!C135</f>
        <v>53820</v>
      </c>
      <c r="I31" s="76">
        <f>IF(G31=0, "    ---- ", IF(ABS(ROUND(100/G31*H31-100,1))&lt;999,ROUND(100/G31*H31-100,1),IF(ROUND(100/G31*H31-100,1)&gt;999,999,-999)))</f>
        <v>96.6</v>
      </c>
      <c r="J31" s="324">
        <f t="shared" si="3"/>
        <v>3.7877288410116381E-3</v>
      </c>
      <c r="K31" s="51"/>
      <c r="L31" s="168">
        <f ca="1">INDIRECT("'" &amp; $A18 &amp; "'!" &amp; $P$7)</f>
        <v>0</v>
      </c>
      <c r="M31" s="166">
        <f ca="1">INDIRECT("'" &amp; $A18 &amp; "'!" &amp; $P$8)</f>
        <v>0</v>
      </c>
      <c r="N31" s="168" t="e">
        <f ca="1">INDIRECT("'" &amp; $A18 &amp; "'!" &amp;#REF!)</f>
        <v>#REF!</v>
      </c>
      <c r="O31" s="166">
        <f ca="1">INDIRECT("'" &amp; $A18 &amp; "'!" &amp; $P$9)</f>
        <v>0</v>
      </c>
    </row>
    <row r="32" spans="1:21" s="80" customFormat="1" ht="18.75" x14ac:dyDescent="0.3">
      <c r="A32" s="103" t="s">
        <v>92</v>
      </c>
      <c r="B32" s="63">
        <f>SUM(B9:B31)</f>
        <v>104763388.28483203</v>
      </c>
      <c r="C32" s="186">
        <f>SUM(C9:C31)</f>
        <v>94147884.300233349</v>
      </c>
      <c r="D32" s="76">
        <f t="shared" ref="D32" si="10">IF(B32=0, "    ---- ", IF(ABS(ROUND(100/B32*C32-100,1))&lt;999,ROUND(100/B32*C32-100,1),IF(ROUND(100/B32*C32-100,1)&gt;999,999,-999)))</f>
        <v>-10.1</v>
      </c>
      <c r="E32" s="325">
        <f>SUM(E9:E31)</f>
        <v>99.999999999999972</v>
      </c>
      <c r="F32" s="78"/>
      <c r="G32" s="63">
        <f>SUM(G9:G31)</f>
        <v>1283090314.8317821</v>
      </c>
      <c r="H32" s="63">
        <f>SUM(H9:H31)</f>
        <v>1420904247.8770893</v>
      </c>
      <c r="I32" s="76">
        <f t="shared" ref="I32" si="11">IF(G32=0, "    ---- ", IF(ABS(ROUND(100/G32*H32-100,1))&lt;999,ROUND(100/G32*H32-100,1),IF(ROUND(100/G32*H32-100,1)&gt;999,999,-999)))</f>
        <v>10.7</v>
      </c>
      <c r="J32" s="325">
        <f>SUM(J9:J31)</f>
        <v>100</v>
      </c>
      <c r="K32" s="153"/>
      <c r="L32" s="168" t="e">
        <f ca="1">SUM(L9:L30)</f>
        <v>#REF!</v>
      </c>
      <c r="M32" s="166" t="e">
        <f ca="1">SUM(M9:M30)</f>
        <v>#REF!</v>
      </c>
      <c r="N32" s="168" t="e">
        <f ca="1">SUM(N9:N30)</f>
        <v>#REF!</v>
      </c>
      <c r="O32" s="166" t="e">
        <f ca="1">SUM(O9:O30)</f>
        <v>#REF!</v>
      </c>
      <c r="U32" s="153"/>
    </row>
    <row r="33" spans="1:20" ht="18.75" x14ac:dyDescent="0.3">
      <c r="A33" s="58"/>
      <c r="B33" s="130"/>
      <c r="C33" s="51"/>
      <c r="D33" s="76"/>
      <c r="E33" s="324"/>
      <c r="F33" s="75"/>
      <c r="G33" s="130"/>
      <c r="H33" s="75"/>
      <c r="I33" s="76"/>
      <c r="J33" s="324"/>
      <c r="K33" s="155"/>
      <c r="L33" s="165" t="s">
        <v>1</v>
      </c>
      <c r="M33" s="166"/>
      <c r="N33" s="168"/>
      <c r="O33" s="166"/>
    </row>
    <row r="34" spans="1:20" ht="18.75" x14ac:dyDescent="0.3">
      <c r="A34" s="73" t="s">
        <v>1</v>
      </c>
      <c r="B34" s="130"/>
      <c r="C34" s="51"/>
      <c r="D34" s="76"/>
      <c r="E34" s="324"/>
      <c r="F34" s="75"/>
      <c r="G34" s="130"/>
      <c r="H34" s="75"/>
      <c r="I34" s="76"/>
      <c r="J34" s="324"/>
      <c r="K34" s="155"/>
      <c r="L34" s="169">
        <v>2015</v>
      </c>
      <c r="M34" s="170">
        <v>2016</v>
      </c>
      <c r="N34" s="169">
        <v>2015</v>
      </c>
      <c r="O34" s="170">
        <v>2016</v>
      </c>
      <c r="P34" s="59" t="s">
        <v>137</v>
      </c>
    </row>
    <row r="35" spans="1:20" ht="18.75" x14ac:dyDescent="0.3">
      <c r="A35" s="58" t="s">
        <v>79</v>
      </c>
      <c r="B35" s="98">
        <f>'DNB Livsforsikring'!F7+'DNB Livsforsikring'!F22+'DNB Livsforsikring'!F66+'DNB Livsforsikring'!F134</f>
        <v>15081666</v>
      </c>
      <c r="C35" s="98">
        <f>'DNB Livsforsikring'!G7+'DNB Livsforsikring'!G22+'DNB Livsforsikring'!G66+'DNB Livsforsikring'!G134</f>
        <v>16859368.662</v>
      </c>
      <c r="D35" s="76">
        <f t="shared" ref="D35:D41" si="12">IF(B35=0, "    ---- ", IF(ABS(ROUND(100/B35*C35-100,1))&lt;999,ROUND(100/B35*C35-100,1),IF(ROUND(100/B35*C35-100,1)&gt;999,999,-999)))</f>
        <v>11.8</v>
      </c>
      <c r="E35" s="324">
        <f t="shared" ref="E35:E40" si="13">100/C$41*C35</f>
        <v>24.027885197196177</v>
      </c>
      <c r="F35" s="75"/>
      <c r="G35" s="130">
        <f>'DNB Livsforsikring'!F10+'DNB Livsforsikring'!F29+'DNB Livsforsikring'!F87+'DNB Livsforsikring'!F135</f>
        <v>166722259.954</v>
      </c>
      <c r="H35" s="130">
        <f>'DNB Livsforsikring'!G10+'DNB Livsforsikring'!G29+'DNB Livsforsikring'!G87+'DNB Livsforsikring'!G135</f>
        <v>202254881.60222104</v>
      </c>
      <c r="I35" s="76">
        <f t="shared" ref="I35:I41" si="14">IF(G35=0, "    ---- ", IF(ABS(ROUND(100/G35*H35-100,1))&lt;999,ROUND(100/G35*H35-100,1),IF(ROUND(100/G35*H35-100,1)&gt;999,999,-999)))</f>
        <v>21.3</v>
      </c>
      <c r="J35" s="324">
        <f t="shared" ref="J35:J40" si="15">100/H$41*H35</f>
        <v>25.292765559194422</v>
      </c>
      <c r="K35" s="59" t="s">
        <v>135</v>
      </c>
      <c r="L35" s="168">
        <f t="shared" ref="L35:L40" ca="1" si="16">INDIRECT("'" &amp; $A35 &amp; "'!" &amp; $P$34)</f>
        <v>0</v>
      </c>
      <c r="M35" s="166" t="e">
        <f ca="1">INDIRECT("'" &amp; $A35 &amp; "'!" &amp;#REF!)</f>
        <v>#REF!</v>
      </c>
      <c r="N35" s="168">
        <f t="shared" ref="N35:N40" ca="1" si="17">INDIRECT("'" &amp; $A35 &amp; "'!" &amp; $P$35)</f>
        <v>0</v>
      </c>
      <c r="O35" s="166" t="e">
        <f ca="1">INDIRECT("'"&amp;$A35&amp;"'!"&amp;#REF!)</f>
        <v>#REF!</v>
      </c>
      <c r="P35" s="59" t="s">
        <v>138</v>
      </c>
    </row>
    <row r="36" spans="1:20" ht="18.75" x14ac:dyDescent="0.3">
      <c r="A36" s="58" t="s">
        <v>84</v>
      </c>
      <c r="B36" s="98">
        <f>'Gjensidige Pensjon'!F7+'Gjensidige Pensjon'!F22+'Gjensidige Pensjon'!F66+'Gjensidige Pensjon'!F134</f>
        <v>5504730</v>
      </c>
      <c r="C36" s="98">
        <f>'Gjensidige Pensjon'!G7+'Gjensidige Pensjon'!G22+'Gjensidige Pensjon'!G66+'Gjensidige Pensjon'!G134</f>
        <v>6679158</v>
      </c>
      <c r="D36" s="76">
        <f t="shared" si="12"/>
        <v>21.3</v>
      </c>
      <c r="E36" s="324">
        <f t="shared" si="13"/>
        <v>9.5191015070250096</v>
      </c>
      <c r="F36" s="75"/>
      <c r="G36" s="130">
        <f>'Gjensidige Pensjon'!F10+'Gjensidige Pensjon'!F29+'Gjensidige Pensjon'!F87+'Gjensidige Pensjon'!F135</f>
        <v>59855898</v>
      </c>
      <c r="H36" s="130">
        <f>'Gjensidige Pensjon'!G10+'Gjensidige Pensjon'!G29+'Gjensidige Pensjon'!G87+'Gjensidige Pensjon'!G135</f>
        <v>76891950</v>
      </c>
      <c r="I36" s="76">
        <f t="shared" si="14"/>
        <v>28.5</v>
      </c>
      <c r="J36" s="324">
        <f t="shared" si="15"/>
        <v>9.6156396786713838</v>
      </c>
      <c r="K36" s="59" t="s">
        <v>136</v>
      </c>
      <c r="L36" s="168">
        <f t="shared" ca="1" si="16"/>
        <v>0</v>
      </c>
      <c r="M36" s="166" t="e">
        <f ca="1">INDIRECT("'" &amp; $A36 &amp; "'!" &amp;#REF!)</f>
        <v>#REF!</v>
      </c>
      <c r="N36" s="168">
        <f t="shared" ca="1" si="17"/>
        <v>0</v>
      </c>
      <c r="O36" s="166" t="e">
        <f ca="1">INDIRECT("'"&amp;$A36&amp;"'!"&amp;#REF!)</f>
        <v>#REF!</v>
      </c>
    </row>
    <row r="37" spans="1:20" ht="18.75" x14ac:dyDescent="0.3">
      <c r="A37" s="58" t="s">
        <v>61</v>
      </c>
      <c r="B37" s="98">
        <f>KLP!F7+KLP!F22+KLP!F66+KLP!F134</f>
        <v>240816.17</v>
      </c>
      <c r="C37" s="98">
        <f>KLP!G7+KLP!G22+KLP!G66+KLP!G134</f>
        <v>212249.59526999999</v>
      </c>
      <c r="D37" s="76">
        <f t="shared" si="12"/>
        <v>-11.9</v>
      </c>
      <c r="E37" s="324">
        <f t="shared" si="13"/>
        <v>0.3024970276493093</v>
      </c>
      <c r="F37" s="75"/>
      <c r="G37" s="130">
        <f>KLP!F10+KLP!F29+KLP!F87+KLP!F135</f>
        <v>2769122.9589300002</v>
      </c>
      <c r="H37" s="130">
        <f>KLP!G10+KLP!G29+KLP!G87+KLP!G135</f>
        <v>2886767.1387900002</v>
      </c>
      <c r="I37" s="76">
        <f t="shared" si="14"/>
        <v>4.2</v>
      </c>
      <c r="J37" s="324">
        <f t="shared" si="15"/>
        <v>0.36100154363146975</v>
      </c>
      <c r="K37" s="59" t="s">
        <v>130</v>
      </c>
      <c r="L37" s="168">
        <f t="shared" ca="1" si="16"/>
        <v>0</v>
      </c>
      <c r="M37" s="166" t="e">
        <f ca="1">INDIRECT("'" &amp; $A37 &amp; "'!" &amp;#REF!)</f>
        <v>#REF!</v>
      </c>
      <c r="N37" s="168">
        <f t="shared" ca="1" si="17"/>
        <v>0</v>
      </c>
      <c r="O37" s="166" t="e">
        <f ca="1">INDIRECT("'"&amp;$A37&amp;"'!"&amp;#REF!)</f>
        <v>#REF!</v>
      </c>
    </row>
    <row r="38" spans="1:20" ht="18.75" x14ac:dyDescent="0.3">
      <c r="A38" s="58" t="s">
        <v>87</v>
      </c>
      <c r="B38" s="98">
        <f>'Nordea Liv '!F7+'Nordea Liv '!F22+'Nordea Liv '!F66+'Nordea Liv '!F134</f>
        <v>16814989.588855878</v>
      </c>
      <c r="C38" s="98">
        <f>'Nordea Liv '!G7+'Nordea Liv '!G22+'Nordea Liv '!G66+'Nordea Liv '!G134</f>
        <v>20423874.86053</v>
      </c>
      <c r="D38" s="76">
        <f t="shared" si="12"/>
        <v>21.5</v>
      </c>
      <c r="E38" s="324">
        <f t="shared" si="13"/>
        <v>29.108001033088502</v>
      </c>
      <c r="F38" s="75"/>
      <c r="G38" s="130">
        <f>'Nordea Liv '!F10+'Nordea Liv '!F29+'Nordea Liv '!F87+'Nordea Liv '!F135</f>
        <v>147002430.00000003</v>
      </c>
      <c r="H38" s="130">
        <f>'Nordea Liv '!G10+'Nordea Liv '!G29+'Nordea Liv '!G87+'Nordea Liv '!G135</f>
        <v>184044040</v>
      </c>
      <c r="I38" s="76">
        <f t="shared" si="14"/>
        <v>25.2</v>
      </c>
      <c r="J38" s="324">
        <f t="shared" si="15"/>
        <v>23.015428450533292</v>
      </c>
      <c r="K38" s="155"/>
      <c r="L38" s="168">
        <f t="shared" ca="1" si="16"/>
        <v>0</v>
      </c>
      <c r="M38" s="166" t="e">
        <f ca="1">INDIRECT("'" &amp; $A38 &amp; "'!" &amp;#REF!)</f>
        <v>#REF!</v>
      </c>
      <c r="N38" s="168">
        <f t="shared" ca="1" si="17"/>
        <v>0</v>
      </c>
      <c r="O38" s="166" t="e">
        <f ca="1">INDIRECT("'"&amp;$A38&amp;"'!"&amp;#REF!)</f>
        <v>#REF!</v>
      </c>
    </row>
    <row r="39" spans="1:20" ht="18.75" x14ac:dyDescent="0.3">
      <c r="A39" s="58" t="s">
        <v>431</v>
      </c>
      <c r="B39" s="98">
        <f>'Sparebank 1 Forsikring'!F7+'Sparebank 1 Forsikring'!F22+'Sparebank 1 Forsikring'!F66+'Sparebank 1 Forsikring'!F134</f>
        <v>6904691.0594800003</v>
      </c>
      <c r="C39" s="98">
        <f>'Sparebank 1 Forsikring'!G7+'Sparebank 1 Forsikring'!G22+'Sparebank 1 Forsikring'!G66+'Sparebank 1 Forsikring'!G134</f>
        <v>7740231.3276799992</v>
      </c>
      <c r="D39" s="76">
        <f t="shared" si="12"/>
        <v>12.1</v>
      </c>
      <c r="E39" s="324">
        <f t="shared" si="13"/>
        <v>11.031337736888522</v>
      </c>
      <c r="F39" s="75"/>
      <c r="G39" s="130">
        <f>'Sparebank 1 Forsikring'!F10+'Sparebank 1 Forsikring'!F29+'Sparebank 1 Forsikring'!F87+'Sparebank 1 Forsikring'!F135</f>
        <v>69619506.7468099</v>
      </c>
      <c r="H39" s="130">
        <f>'Sparebank 1 Forsikring'!G10+'Sparebank 1 Forsikring'!G29+'Sparebank 1 Forsikring'!G87+'Sparebank 1 Forsikring'!G135</f>
        <v>85361398.641639888</v>
      </c>
      <c r="I39" s="76">
        <f t="shared" si="14"/>
        <v>22.6</v>
      </c>
      <c r="J39" s="324">
        <f t="shared" si="15"/>
        <v>10.67477742215457</v>
      </c>
      <c r="K39" s="51"/>
      <c r="L39" s="168">
        <f t="shared" ca="1" si="16"/>
        <v>0</v>
      </c>
      <c r="M39" s="166" t="e">
        <f ca="1">INDIRECT("'" &amp; $A39 &amp; "'!" &amp;#REF!)</f>
        <v>#REF!</v>
      </c>
      <c r="N39" s="168">
        <f t="shared" ca="1" si="17"/>
        <v>0</v>
      </c>
      <c r="O39" s="166" t="e">
        <f ca="1">INDIRECT("'"&amp;$A39&amp;"'!"&amp;#REF!)</f>
        <v>#REF!</v>
      </c>
    </row>
    <row r="40" spans="1:20" ht="18.75" x14ac:dyDescent="0.3">
      <c r="A40" s="58" t="s">
        <v>89</v>
      </c>
      <c r="B40" s="98">
        <f>'Storebrand Livsforsikring'!F7+'Storebrand Livsforsikring'!F22+'Storebrand Livsforsikring'!F66+'Storebrand Livsforsikring'!F134</f>
        <v>17350621.189339999</v>
      </c>
      <c r="C40" s="98">
        <f>'Storebrand Livsforsikring'!G7+'Storebrand Livsforsikring'!G22+'Storebrand Livsforsikring'!G66+'Storebrand Livsforsikring'!G134</f>
        <v>18250962.46195</v>
      </c>
      <c r="D40" s="76">
        <f t="shared" si="12"/>
        <v>5.2</v>
      </c>
      <c r="E40" s="324">
        <f t="shared" si="13"/>
        <v>26.011177498152481</v>
      </c>
      <c r="F40" s="75"/>
      <c r="G40" s="130">
        <f>'Storebrand Livsforsikring'!F10+'Storebrand Livsforsikring'!F29+'Storebrand Livsforsikring'!F87+'Storebrand Livsforsikring'!F135</f>
        <v>209344698.42835</v>
      </c>
      <c r="H40" s="130">
        <f>'Storebrand Livsforsikring'!G10+'Storebrand Livsforsikring'!G29+'Storebrand Livsforsikring'!G87+'Storebrand Livsforsikring'!G135</f>
        <v>248216030.50176004</v>
      </c>
      <c r="I40" s="76">
        <f t="shared" si="14"/>
        <v>18.600000000000001</v>
      </c>
      <c r="J40" s="324">
        <f t="shared" si="15"/>
        <v>31.040387345814878</v>
      </c>
      <c r="K40" s="51"/>
      <c r="L40" s="168">
        <f t="shared" ca="1" si="16"/>
        <v>0</v>
      </c>
      <c r="M40" s="166" t="e">
        <f ca="1">INDIRECT("'" &amp; $A40 &amp; "'!" &amp;#REF!)</f>
        <v>#REF!</v>
      </c>
      <c r="N40" s="168">
        <f t="shared" ca="1" si="17"/>
        <v>0</v>
      </c>
      <c r="O40" s="166" t="e">
        <f ca="1">INDIRECT("'"&amp;$A40&amp;"'!"&amp;#REF!)</f>
        <v>#REF!</v>
      </c>
    </row>
    <row r="41" spans="1:20" s="80" customFormat="1" ht="18.75" x14ac:dyDescent="0.3">
      <c r="A41" s="73" t="s">
        <v>93</v>
      </c>
      <c r="B41" s="186">
        <f>SUM(B35:B40)</f>
        <v>61897514.007675871</v>
      </c>
      <c r="C41" s="186">
        <f>SUM(C35:C40)</f>
        <v>70165844.907429993</v>
      </c>
      <c r="D41" s="76">
        <f t="shared" si="12"/>
        <v>13.4</v>
      </c>
      <c r="E41" s="325">
        <f>SUM(E35:E40)</f>
        <v>99.999999999999986</v>
      </c>
      <c r="F41" s="78"/>
      <c r="G41" s="63">
        <f>SUM(G35:G40)</f>
        <v>655313916.08808994</v>
      </c>
      <c r="H41" s="63">
        <f>SUM(H35:H40)</f>
        <v>799655067.88441086</v>
      </c>
      <c r="I41" s="76">
        <f t="shared" si="14"/>
        <v>22</v>
      </c>
      <c r="J41" s="325">
        <f>SUM(J35:J40)</f>
        <v>100.00000000000001</v>
      </c>
      <c r="K41" s="51"/>
      <c r="L41" s="168">
        <f ca="1">SUM(L35:L40)</f>
        <v>0</v>
      </c>
      <c r="M41" s="166" t="e">
        <f ca="1">SUM(M35:M40)</f>
        <v>#REF!</v>
      </c>
      <c r="N41" s="168">
        <f ca="1">SUM(N35:N40)</f>
        <v>0</v>
      </c>
      <c r="O41" s="166" t="e">
        <f ca="1">SUM(O35:O40)</f>
        <v>#REF!</v>
      </c>
    </row>
    <row r="42" spans="1:20" ht="18.75" x14ac:dyDescent="0.3">
      <c r="A42" s="73"/>
      <c r="B42" s="98"/>
      <c r="C42" s="78"/>
      <c r="D42" s="79"/>
      <c r="E42" s="324"/>
      <c r="F42" s="78"/>
      <c r="G42" s="63"/>
      <c r="H42" s="78"/>
      <c r="I42" s="79"/>
      <c r="J42" s="325"/>
      <c r="K42" s="51"/>
      <c r="L42" s="165" t="s">
        <v>94</v>
      </c>
      <c r="M42" s="171"/>
      <c r="N42" s="172"/>
      <c r="O42" s="171"/>
    </row>
    <row r="43" spans="1:20" ht="18.75" x14ac:dyDescent="0.3">
      <c r="A43" s="58"/>
      <c r="B43" s="98"/>
      <c r="C43" s="75"/>
      <c r="D43" s="76"/>
      <c r="E43" s="324"/>
      <c r="F43" s="75"/>
      <c r="G43" s="130"/>
      <c r="H43" s="75"/>
      <c r="I43" s="76"/>
      <c r="J43" s="324"/>
      <c r="K43" s="51"/>
      <c r="L43" s="169">
        <v>2015</v>
      </c>
      <c r="M43" s="170">
        <v>2016</v>
      </c>
      <c r="N43" s="169">
        <v>2015</v>
      </c>
      <c r="O43" s="170">
        <v>2016</v>
      </c>
    </row>
    <row r="44" spans="1:20" ht="18.75" x14ac:dyDescent="0.3">
      <c r="A44" s="73" t="s">
        <v>94</v>
      </c>
      <c r="B44" s="98"/>
      <c r="C44" s="75"/>
      <c r="D44" s="76"/>
      <c r="E44" s="324"/>
      <c r="F44" s="75"/>
      <c r="G44" s="130"/>
      <c r="H44" s="75"/>
      <c r="I44" s="76"/>
      <c r="J44" s="324"/>
      <c r="K44" s="51"/>
      <c r="L44" s="168"/>
      <c r="M44" s="166"/>
      <c r="N44" s="168"/>
      <c r="O44" s="166"/>
      <c r="P44" s="155"/>
      <c r="Q44" s="155"/>
      <c r="R44" s="155"/>
      <c r="S44" s="133"/>
      <c r="T44" s="51"/>
    </row>
    <row r="45" spans="1:20" ht="18.75" x14ac:dyDescent="0.3">
      <c r="A45" s="58" t="s">
        <v>79</v>
      </c>
      <c r="B45" s="98">
        <f>B9+B35</f>
        <v>18406014</v>
      </c>
      <c r="C45" s="75">
        <f>+C9+C35</f>
        <v>20321321.662</v>
      </c>
      <c r="D45" s="76">
        <f t="shared" ref="D45:D66" si="18">IF(B45=0, "    ---- ", IF(ABS(ROUND(100/B45*C45-100,1))&lt;999,ROUND(100/B45*C45-100,1),IF(ROUND(100/B45*C45-100,1)&gt;999,999,-999)))</f>
        <v>10.4</v>
      </c>
      <c r="E45" s="324">
        <f t="shared" ref="E45:E65" si="19">100/C$68*C45</f>
        <v>12.367391185137953</v>
      </c>
      <c r="F45" s="75"/>
      <c r="G45" s="130">
        <f>+G9+G35</f>
        <v>348872597.954</v>
      </c>
      <c r="H45" s="130">
        <f>+H9+H35</f>
        <v>383088609.00846106</v>
      </c>
      <c r="I45" s="76">
        <f t="shared" ref="I45:I63" si="20">IF(G45=0, "    ---- ", IF(ABS(ROUND(100/G45*H45-100,1))&lt;999,ROUND(100/G45*H45-100,1),IF(ROUND(100/G45*H45-100,1)&gt;999,999,-999)))</f>
        <v>9.8000000000000007</v>
      </c>
      <c r="J45" s="324">
        <f t="shared" ref="J45:J63" si="21">100/H$68*H45</f>
        <v>17.25189713642429</v>
      </c>
      <c r="K45" s="51"/>
      <c r="L45" s="168">
        <f ca="1">L10+L35</f>
        <v>0</v>
      </c>
      <c r="M45" s="166" t="e">
        <f ca="1">+M10+M35</f>
        <v>#REF!</v>
      </c>
      <c r="N45" s="168" t="e">
        <f ca="1">+N10+N35</f>
        <v>#REF!</v>
      </c>
      <c r="O45" s="166" t="e">
        <f ca="1">+O10+O35</f>
        <v>#REF!</v>
      </c>
      <c r="P45" s="155"/>
      <c r="Q45" s="155"/>
      <c r="R45" s="155"/>
      <c r="S45" s="133"/>
      <c r="T45" s="51"/>
    </row>
    <row r="46" spans="1:20" ht="18.75" x14ac:dyDescent="0.3">
      <c r="A46" s="58" t="s">
        <v>80</v>
      </c>
      <c r="B46" s="98">
        <f t="shared" ref="B46:C50" si="22">B10</f>
        <v>458948</v>
      </c>
      <c r="C46" s="75">
        <f t="shared" si="22"/>
        <v>0</v>
      </c>
      <c r="D46" s="76">
        <f t="shared" si="18"/>
        <v>-100</v>
      </c>
      <c r="E46" s="324">
        <f t="shared" si="19"/>
        <v>0</v>
      </c>
      <c r="F46" s="75"/>
      <c r="G46" s="130">
        <f>+G10</f>
        <v>689960</v>
      </c>
      <c r="H46" s="130">
        <f t="shared" ref="H46:H50" si="23">H10</f>
        <v>0</v>
      </c>
      <c r="I46" s="76">
        <f t="shared" si="20"/>
        <v>-100</v>
      </c>
      <c r="J46" s="324">
        <f t="shared" si="21"/>
        <v>0</v>
      </c>
      <c r="K46" s="51"/>
      <c r="L46" s="168">
        <f ca="1">L12</f>
        <v>0</v>
      </c>
      <c r="M46" s="166">
        <f ca="1">M12</f>
        <v>0</v>
      </c>
      <c r="N46" s="168" t="e">
        <f ca="1">N12</f>
        <v>#REF!</v>
      </c>
      <c r="O46" s="166" t="e">
        <f ca="1">+O12+#REF!</f>
        <v>#REF!</v>
      </c>
      <c r="P46" s="155"/>
      <c r="Q46" s="155"/>
      <c r="R46" s="155"/>
      <c r="S46" s="133"/>
      <c r="T46" s="51"/>
    </row>
    <row r="47" spans="1:20" ht="18.75" x14ac:dyDescent="0.3">
      <c r="A47" s="58" t="s">
        <v>428</v>
      </c>
      <c r="B47" s="98">
        <f t="shared" si="22"/>
        <v>45333</v>
      </c>
      <c r="C47" s="98">
        <f t="shared" si="22"/>
        <v>57607</v>
      </c>
      <c r="D47" s="76">
        <f t="shared" ref="D47" si="24">IF(B47=0, "    ---- ", IF(ABS(ROUND(100/B47*C47-100,1))&lt;999,ROUND(100/B47*C47-100,1),IF(ROUND(100/B47*C47-100,1)&gt;999,999,-999)))</f>
        <v>27.1</v>
      </c>
      <c r="E47" s="324">
        <f t="shared" si="19"/>
        <v>3.5059151951444663E-2</v>
      </c>
      <c r="F47" s="75"/>
      <c r="G47" s="130">
        <f>+G11</f>
        <v>0</v>
      </c>
      <c r="H47" s="130">
        <f t="shared" si="23"/>
        <v>0</v>
      </c>
      <c r="I47" s="76"/>
      <c r="J47" s="324">
        <f t="shared" si="21"/>
        <v>0</v>
      </c>
      <c r="K47" s="51"/>
      <c r="L47" s="168"/>
      <c r="M47" s="166"/>
      <c r="N47" s="168"/>
      <c r="O47" s="166"/>
      <c r="P47" s="155"/>
      <c r="Q47" s="155"/>
      <c r="R47" s="155"/>
      <c r="S47" s="133"/>
      <c r="T47" s="51"/>
    </row>
    <row r="48" spans="1:20" ht="18.75" x14ac:dyDescent="0.3">
      <c r="A48" s="58" t="s">
        <v>417</v>
      </c>
      <c r="B48" s="98">
        <f t="shared" si="22"/>
        <v>3522711.4512299998</v>
      </c>
      <c r="C48" s="98">
        <f t="shared" si="22"/>
        <v>4225621.7292200001</v>
      </c>
      <c r="D48" s="76">
        <f t="shared" ref="D48" si="25">IF(B48=0, "    ---- ", IF(ABS(ROUND(100/B48*C48-100,1))&lt;999,ROUND(100/B48*C48-100,1),IF(ROUND(100/B48*C48-100,1)&gt;999,999,-999)))</f>
        <v>20</v>
      </c>
      <c r="E48" s="324">
        <f t="shared" si="19"/>
        <v>2.5716790371664962</v>
      </c>
      <c r="F48" s="75"/>
      <c r="G48" s="130">
        <f t="shared" ref="G48:G50" si="26">G12</f>
        <v>5358000.0491800001</v>
      </c>
      <c r="H48" s="130">
        <f t="shared" si="23"/>
        <v>6584967.8127199998</v>
      </c>
      <c r="I48" s="76">
        <f t="shared" ref="I48" si="27">IF(G48=0, "    ---- ", IF(ABS(ROUND(100/G48*H48-100,1))&lt;999,ROUND(100/G48*H48-100,1),IF(ROUND(100/G48*H48-100,1)&gt;999,999,-999)))</f>
        <v>22.9</v>
      </c>
      <c r="J48" s="324">
        <f t="shared" si="21"/>
        <v>0.29654545888416428</v>
      </c>
      <c r="K48" s="51"/>
      <c r="L48" s="168"/>
      <c r="M48" s="166"/>
      <c r="N48" s="168"/>
      <c r="O48" s="166"/>
      <c r="P48" s="155"/>
      <c r="Q48" s="155"/>
      <c r="R48" s="155"/>
      <c r="S48" s="133"/>
      <c r="T48" s="51"/>
    </row>
    <row r="49" spans="1:20" ht="18.75" x14ac:dyDescent="0.3">
      <c r="A49" s="58" t="s">
        <v>81</v>
      </c>
      <c r="B49" s="98">
        <f t="shared" si="22"/>
        <v>555601</v>
      </c>
      <c r="C49" s="75">
        <f t="shared" si="22"/>
        <v>630989</v>
      </c>
      <c r="D49" s="76">
        <f t="shared" si="18"/>
        <v>13.6</v>
      </c>
      <c r="E49" s="324">
        <f t="shared" si="19"/>
        <v>0.38401477651483529</v>
      </c>
      <c r="F49" s="75"/>
      <c r="G49" s="130">
        <f t="shared" si="26"/>
        <v>1571862</v>
      </c>
      <c r="H49" s="130">
        <f t="shared" si="23"/>
        <v>1788691</v>
      </c>
      <c r="I49" s="76">
        <f t="shared" si="20"/>
        <v>13.8</v>
      </c>
      <c r="J49" s="324">
        <f t="shared" si="21"/>
        <v>8.0551372228784668E-2</v>
      </c>
      <c r="K49" s="51"/>
      <c r="L49" s="168" t="e">
        <f ca="1">L14+#REF!</f>
        <v>#REF!</v>
      </c>
      <c r="M49" s="166" t="e">
        <f ca="1">M14+#REF!</f>
        <v>#REF!</v>
      </c>
      <c r="N49" s="168" t="e">
        <f ca="1">N14+#REF!</f>
        <v>#REF!</v>
      </c>
      <c r="O49" s="166" t="e">
        <f ca="1">O14+#REF!</f>
        <v>#REF!</v>
      </c>
      <c r="P49" s="155"/>
      <c r="Q49" s="155"/>
      <c r="R49" s="155"/>
      <c r="S49" s="133"/>
      <c r="T49" s="51"/>
    </row>
    <row r="50" spans="1:20" ht="18.75" x14ac:dyDescent="0.3">
      <c r="A50" s="58" t="s">
        <v>82</v>
      </c>
      <c r="B50" s="98">
        <f t="shared" si="22"/>
        <v>9340.8760000000002</v>
      </c>
      <c r="C50" s="75">
        <f t="shared" si="22"/>
        <v>2550.2539999999999</v>
      </c>
      <c r="D50" s="76">
        <f t="shared" si="18"/>
        <v>-72.7</v>
      </c>
      <c r="E50" s="324">
        <f t="shared" si="19"/>
        <v>1.5520638551005878E-3</v>
      </c>
      <c r="F50" s="75"/>
      <c r="G50" s="130">
        <f t="shared" si="26"/>
        <v>0</v>
      </c>
      <c r="H50" s="130">
        <f t="shared" si="23"/>
        <v>0</v>
      </c>
      <c r="I50" s="76"/>
      <c r="J50" s="324">
        <f t="shared" si="21"/>
        <v>0</v>
      </c>
      <c r="K50" s="51"/>
      <c r="L50" s="168">
        <f ca="1">L15</f>
        <v>0</v>
      </c>
      <c r="M50" s="166">
        <f ca="1">M15</f>
        <v>0</v>
      </c>
      <c r="N50" s="168" t="e">
        <f ca="1">N15</f>
        <v>#REF!</v>
      </c>
      <c r="O50" s="166">
        <f ca="1">O15</f>
        <v>0</v>
      </c>
      <c r="P50" s="155"/>
      <c r="Q50" s="155"/>
      <c r="R50" s="155"/>
      <c r="S50" s="133"/>
      <c r="T50" s="51"/>
    </row>
    <row r="51" spans="1:20" ht="18.75" x14ac:dyDescent="0.3">
      <c r="A51" s="58" t="s">
        <v>83</v>
      </c>
      <c r="B51" s="75">
        <f>B15</f>
        <v>2207185.0870000003</v>
      </c>
      <c r="C51" s="75">
        <f>+C15</f>
        <v>2307390.4688399998</v>
      </c>
      <c r="D51" s="76">
        <f t="shared" si="18"/>
        <v>4.5</v>
      </c>
      <c r="E51" s="324">
        <f t="shared" si="19"/>
        <v>1.4042590841109013</v>
      </c>
      <c r="F51" s="75"/>
      <c r="G51" s="130">
        <f>+G15</f>
        <v>1244975.0162699199</v>
      </c>
      <c r="H51" s="130">
        <f>+H15</f>
        <v>1203252.1255999999</v>
      </c>
      <c r="I51" s="76">
        <f t="shared" si="20"/>
        <v>-3.4</v>
      </c>
      <c r="J51" s="324">
        <f t="shared" si="21"/>
        <v>5.4186894133353362E-2</v>
      </c>
      <c r="K51" s="51"/>
      <c r="L51" s="168">
        <f ca="1">L16</f>
        <v>0</v>
      </c>
      <c r="M51" s="166">
        <f ca="1">+M16</f>
        <v>0</v>
      </c>
      <c r="N51" s="168" t="e">
        <f ca="1">+N16</f>
        <v>#REF!</v>
      </c>
      <c r="O51" s="166">
        <f ca="1">+O16</f>
        <v>0</v>
      </c>
      <c r="P51" s="155"/>
      <c r="Q51" s="155"/>
      <c r="R51" s="155"/>
      <c r="S51" s="133"/>
      <c r="T51" s="51"/>
    </row>
    <row r="52" spans="1:20" ht="18.75" x14ac:dyDescent="0.3">
      <c r="A52" s="58" t="s">
        <v>84</v>
      </c>
      <c r="B52" s="75">
        <f>B16+B36</f>
        <v>6438299</v>
      </c>
      <c r="C52" s="75">
        <f>C16+C36</f>
        <v>7756200</v>
      </c>
      <c r="D52" s="76">
        <f t="shared" si="18"/>
        <v>20.5</v>
      </c>
      <c r="E52" s="324">
        <f t="shared" si="19"/>
        <v>4.7203602750671809</v>
      </c>
      <c r="F52" s="75"/>
      <c r="G52" s="130">
        <f>G16+G36</f>
        <v>69719146</v>
      </c>
      <c r="H52" s="130">
        <f>H16+H36</f>
        <v>87741050</v>
      </c>
      <c r="I52" s="76">
        <f t="shared" si="20"/>
        <v>25.8</v>
      </c>
      <c r="J52" s="324">
        <f t="shared" si="21"/>
        <v>3.9513040420589176</v>
      </c>
      <c r="K52" s="51"/>
      <c r="L52" s="168" t="e">
        <f ca="1">#REF!+L36</f>
        <v>#REF!</v>
      </c>
      <c r="M52" s="166" t="e">
        <f ca="1">#REF!+M36</f>
        <v>#REF!</v>
      </c>
      <c r="N52" s="168" t="e">
        <f ca="1">#REF!+N36</f>
        <v>#REF!</v>
      </c>
      <c r="O52" s="166" t="e">
        <f ca="1">#REF!+O36</f>
        <v>#REF!</v>
      </c>
      <c r="P52" s="155"/>
      <c r="Q52" s="155"/>
      <c r="R52" s="155"/>
      <c r="S52" s="133"/>
      <c r="T52" s="51"/>
    </row>
    <row r="53" spans="1:20" ht="18.75" x14ac:dyDescent="0.3">
      <c r="A53" s="58" t="s">
        <v>85</v>
      </c>
      <c r="B53" s="75">
        <f>B17</f>
        <v>655938.89034121204</v>
      </c>
      <c r="C53" s="75">
        <f>+C17</f>
        <v>733957.59109304007</v>
      </c>
      <c r="D53" s="76">
        <f t="shared" si="18"/>
        <v>11.9</v>
      </c>
      <c r="E53" s="324">
        <f t="shared" si="19"/>
        <v>0.44668062409164128</v>
      </c>
      <c r="F53" s="75"/>
      <c r="G53" s="130">
        <f>+G17</f>
        <v>576634.80327407003</v>
      </c>
      <c r="H53" s="130">
        <f>+H17</f>
        <v>629850.56915</v>
      </c>
      <c r="I53" s="76">
        <f t="shared" si="20"/>
        <v>9.1999999999999993</v>
      </c>
      <c r="J53" s="324">
        <f t="shared" si="21"/>
        <v>2.8364500992129737E-2</v>
      </c>
      <c r="K53" s="51"/>
      <c r="L53" s="168" t="e">
        <f>#REF!</f>
        <v>#REF!</v>
      </c>
      <c r="M53" s="166" t="e">
        <f>+#REF!</f>
        <v>#REF!</v>
      </c>
      <c r="N53" s="168" t="e">
        <f>+#REF!</f>
        <v>#REF!</v>
      </c>
      <c r="O53" s="166" t="e">
        <f>+#REF!</f>
        <v>#REF!</v>
      </c>
      <c r="P53" s="155"/>
      <c r="Q53" s="155"/>
      <c r="R53" s="155"/>
      <c r="S53" s="133"/>
      <c r="T53" s="51"/>
    </row>
    <row r="54" spans="1:20" ht="18.75" x14ac:dyDescent="0.3">
      <c r="A54" s="58" t="s">
        <v>61</v>
      </c>
      <c r="B54" s="75">
        <f>B18+B37</f>
        <v>70234305.534010008</v>
      </c>
      <c r="C54" s="75">
        <f>C18+C37</f>
        <v>60881872.822920002</v>
      </c>
      <c r="D54" s="76">
        <f t="shared" si="18"/>
        <v>-13.3</v>
      </c>
      <c r="E54" s="324">
        <f t="shared" si="19"/>
        <v>37.052212932235349</v>
      </c>
      <c r="F54" s="75"/>
      <c r="G54" s="130">
        <f>G18+G37</f>
        <v>687434978.68729997</v>
      </c>
      <c r="H54" s="130">
        <f>H18+H37</f>
        <v>802776584.87639999</v>
      </c>
      <c r="I54" s="76">
        <f t="shared" si="20"/>
        <v>16.8</v>
      </c>
      <c r="J54" s="324">
        <f t="shared" si="21"/>
        <v>36.15199914626475</v>
      </c>
      <c r="K54" s="51"/>
      <c r="L54" s="168">
        <f ca="1">L31+L37</f>
        <v>0</v>
      </c>
      <c r="M54" s="166" t="e">
        <f ca="1">M31+M37</f>
        <v>#REF!</v>
      </c>
      <c r="N54" s="168" t="e">
        <f ca="1">N31+N37</f>
        <v>#REF!</v>
      </c>
      <c r="O54" s="166" t="e">
        <f ca="1">O31+O37</f>
        <v>#REF!</v>
      </c>
      <c r="P54" s="155"/>
      <c r="Q54" s="155"/>
      <c r="R54" s="155"/>
      <c r="S54" s="133"/>
      <c r="T54" s="51"/>
    </row>
    <row r="55" spans="1:20" ht="18.75" x14ac:dyDescent="0.3">
      <c r="A55" s="58" t="s">
        <v>86</v>
      </c>
      <c r="B55" s="75">
        <f t="shared" ref="B55:C57" si="28">B19</f>
        <v>343058.73300000001</v>
      </c>
      <c r="C55" s="75">
        <f t="shared" si="28"/>
        <v>390022.27399999998</v>
      </c>
      <c r="D55" s="76">
        <f t="shared" si="18"/>
        <v>13.7</v>
      </c>
      <c r="E55" s="324">
        <f t="shared" si="19"/>
        <v>0.23736438572767171</v>
      </c>
      <c r="F55" s="75"/>
      <c r="G55" s="130">
        <f t="shared" ref="G55:G57" si="29">G19</f>
        <v>135144.10499999998</v>
      </c>
      <c r="H55" s="130">
        <f t="shared" ref="H55:H57" si="30">H19</f>
        <v>170090.69199999998</v>
      </c>
      <c r="I55" s="76">
        <f t="shared" si="20"/>
        <v>25.9</v>
      </c>
      <c r="J55" s="324">
        <f t="shared" si="21"/>
        <v>7.6598130386654629E-3</v>
      </c>
      <c r="K55" s="51"/>
      <c r="L55" s="168">
        <f ca="1">L20</f>
        <v>0</v>
      </c>
      <c r="M55" s="166">
        <f ca="1">M20</f>
        <v>0</v>
      </c>
      <c r="N55" s="168" t="e">
        <f ca="1">N20</f>
        <v>#REF!</v>
      </c>
      <c r="O55" s="166">
        <f ca="1">O20</f>
        <v>0</v>
      </c>
      <c r="P55" s="155"/>
      <c r="Q55" s="155"/>
      <c r="R55" s="155"/>
      <c r="S55" s="133"/>
      <c r="T55" s="51"/>
    </row>
    <row r="56" spans="1:20" ht="18.75" x14ac:dyDescent="0.3">
      <c r="A56" s="77" t="s">
        <v>423</v>
      </c>
      <c r="B56" s="75">
        <f t="shared" si="28"/>
        <v>106120</v>
      </c>
      <c r="C56" s="75">
        <f t="shared" si="28"/>
        <v>112297</v>
      </c>
      <c r="D56" s="76">
        <f t="shared" si="18"/>
        <v>5.8</v>
      </c>
      <c r="E56" s="324">
        <f t="shared" si="19"/>
        <v>6.8343041413220298E-2</v>
      </c>
      <c r="F56" s="75"/>
      <c r="G56" s="130">
        <f t="shared" si="29"/>
        <v>0</v>
      </c>
      <c r="H56" s="130">
        <f t="shared" si="30"/>
        <v>0</v>
      </c>
      <c r="I56" s="76"/>
      <c r="J56" s="324">
        <f t="shared" si="21"/>
        <v>0</v>
      </c>
      <c r="K56" s="51"/>
      <c r="L56" s="168">
        <f ca="1">L22</f>
        <v>0</v>
      </c>
      <c r="M56" s="166">
        <f ca="1">M22</f>
        <v>0</v>
      </c>
      <c r="N56" s="168" t="e">
        <f ca="1">N22</f>
        <v>#REF!</v>
      </c>
      <c r="O56" s="166">
        <f ca="1">O22</f>
        <v>0</v>
      </c>
      <c r="P56" s="155"/>
      <c r="Q56" s="155"/>
      <c r="R56" s="155"/>
      <c r="S56" s="133"/>
      <c r="T56" s="51"/>
    </row>
    <row r="57" spans="1:20" ht="18.75" x14ac:dyDescent="0.3">
      <c r="A57" s="77" t="s">
        <v>432</v>
      </c>
      <c r="B57" s="75">
        <f t="shared" si="28"/>
        <v>27118</v>
      </c>
      <c r="C57" s="75">
        <f t="shared" si="28"/>
        <v>32229.312999999998</v>
      </c>
      <c r="D57" s="76">
        <f t="shared" ref="D57" si="31">IF(B57=0, "    ---- ", IF(ABS(ROUND(100/B57*C57-100,1))&lt;999,ROUND(100/B57*C57-100,1),IF(ROUND(100/B57*C57-100,1)&gt;999,999,-999)))</f>
        <v>18.8</v>
      </c>
      <c r="E57" s="324">
        <f t="shared" si="19"/>
        <v>1.9614497921392728E-2</v>
      </c>
      <c r="F57" s="75"/>
      <c r="G57" s="130">
        <f t="shared" si="29"/>
        <v>0</v>
      </c>
      <c r="H57" s="130">
        <f t="shared" si="30"/>
        <v>0</v>
      </c>
      <c r="I57" s="76"/>
      <c r="J57" s="324">
        <f t="shared" si="21"/>
        <v>0</v>
      </c>
      <c r="K57" s="51"/>
      <c r="L57" s="168"/>
      <c r="M57" s="166"/>
      <c r="N57" s="168"/>
      <c r="O57" s="166"/>
      <c r="P57" s="155"/>
      <c r="Q57" s="155"/>
      <c r="R57" s="155"/>
      <c r="S57" s="133"/>
      <c r="T57" s="51"/>
    </row>
    <row r="58" spans="1:20" ht="18.75" x14ac:dyDescent="0.3">
      <c r="A58" s="58" t="s">
        <v>63</v>
      </c>
      <c r="B58" s="75">
        <f>B22+B38</f>
        <v>18591239.094316691</v>
      </c>
      <c r="C58" s="75">
        <f>+C22+C38</f>
        <v>22223512.328380294</v>
      </c>
      <c r="D58" s="76">
        <f t="shared" si="18"/>
        <v>19.5</v>
      </c>
      <c r="E58" s="324">
        <f t="shared" si="19"/>
        <v>13.525048963068524</v>
      </c>
      <c r="F58" s="75"/>
      <c r="G58" s="130">
        <f>+G22+G38</f>
        <v>201068059.99999818</v>
      </c>
      <c r="H58" s="130">
        <f>+H22+H38</f>
        <v>238792389.9999992</v>
      </c>
      <c r="I58" s="76">
        <f t="shared" si="20"/>
        <v>18.8</v>
      </c>
      <c r="J58" s="324">
        <f t="shared" si="21"/>
        <v>10.753704632209283</v>
      </c>
      <c r="K58" s="51"/>
      <c r="L58" s="168">
        <f ca="1">L24+L38</f>
        <v>0</v>
      </c>
      <c r="M58" s="166" t="e">
        <f ca="1">+M24+M38</f>
        <v>#REF!</v>
      </c>
      <c r="N58" s="168" t="e">
        <f ca="1">+N24+N38</f>
        <v>#REF!</v>
      </c>
      <c r="O58" s="166" t="e">
        <f ca="1">+O24+O38</f>
        <v>#REF!</v>
      </c>
      <c r="P58" s="155"/>
      <c r="Q58" s="155"/>
      <c r="R58" s="155"/>
      <c r="S58" s="133"/>
      <c r="T58" s="51"/>
    </row>
    <row r="59" spans="1:20" ht="18.75" x14ac:dyDescent="0.3">
      <c r="A59" s="58" t="s">
        <v>468</v>
      </c>
      <c r="B59" s="75">
        <f t="shared" ref="B59:C61" si="32">B23</f>
        <v>0</v>
      </c>
      <c r="C59" s="75">
        <f t="shared" si="32"/>
        <v>33970</v>
      </c>
      <c r="D59" s="76" t="str">
        <f t="shared" ref="D59" si="33">IF(B59=0, "    ---- ", IF(ABS(ROUND(100/B59*C59-100,1))&lt;999,ROUND(100/B59*C59-100,1),IF(ROUND(100/B59*C59-100,1)&gt;999,999,-999)))</f>
        <v xml:space="preserve">    ---- </v>
      </c>
      <c r="E59" s="324">
        <f t="shared" si="19"/>
        <v>2.0673865880718928E-2</v>
      </c>
      <c r="F59" s="75"/>
      <c r="G59" s="130">
        <f t="shared" ref="G59:G61" si="34">G23</f>
        <v>0</v>
      </c>
      <c r="H59" s="130">
        <f t="shared" ref="H59:H61" si="35">H23</f>
        <v>0</v>
      </c>
      <c r="I59" s="76"/>
      <c r="J59" s="324">
        <f t="shared" si="21"/>
        <v>0</v>
      </c>
      <c r="K59" s="51"/>
      <c r="L59" s="168"/>
      <c r="M59" s="166"/>
      <c r="N59" s="168"/>
      <c r="O59" s="166"/>
      <c r="P59" s="155"/>
      <c r="Q59" s="155"/>
      <c r="R59" s="155"/>
      <c r="S59" s="133"/>
      <c r="T59" s="51"/>
    </row>
    <row r="60" spans="1:20" ht="18.75" customHeight="1" x14ac:dyDescent="0.3">
      <c r="A60" s="58" t="s">
        <v>88</v>
      </c>
      <c r="B60" s="75">
        <f t="shared" si="32"/>
        <v>10450981</v>
      </c>
      <c r="C60" s="75">
        <f t="shared" si="32"/>
        <v>8288469.449</v>
      </c>
      <c r="D60" s="76">
        <f t="shared" si="18"/>
        <v>-20.7</v>
      </c>
      <c r="E60" s="324">
        <f t="shared" si="19"/>
        <v>5.0442951352682455</v>
      </c>
      <c r="F60" s="75"/>
      <c r="G60" s="130">
        <f t="shared" si="34"/>
        <v>121634234</v>
      </c>
      <c r="H60" s="130">
        <f t="shared" si="35"/>
        <v>130120437</v>
      </c>
      <c r="I60" s="76">
        <f t="shared" si="20"/>
        <v>7</v>
      </c>
      <c r="J60" s="324">
        <f t="shared" si="21"/>
        <v>5.8598046031198932</v>
      </c>
      <c r="K60" s="51"/>
      <c r="L60" s="168">
        <f ca="1">L25</f>
        <v>0</v>
      </c>
      <c r="M60" s="166">
        <f ca="1">M25</f>
        <v>0</v>
      </c>
      <c r="N60" s="168" t="e">
        <f ca="1">N25</f>
        <v>#REF!</v>
      </c>
      <c r="O60" s="166">
        <f ca="1">O25</f>
        <v>0</v>
      </c>
      <c r="P60" s="155"/>
      <c r="Q60" s="155"/>
      <c r="R60" s="155"/>
      <c r="S60" s="133"/>
      <c r="T60" s="51"/>
    </row>
    <row r="61" spans="1:20" ht="18.75" customHeight="1" x14ac:dyDescent="0.3">
      <c r="A61" s="58" t="s">
        <v>385</v>
      </c>
      <c r="B61" s="75">
        <f t="shared" si="32"/>
        <v>379744</v>
      </c>
      <c r="C61" s="75">
        <f t="shared" si="32"/>
        <v>398078</v>
      </c>
      <c r="D61" s="76">
        <f t="shared" ref="D61" si="36">IF(B61=0, "    ---- ", IF(ABS(ROUND(100/B61*C61-100,1))&lt;999,ROUND(100/B61*C61-100,1),IF(ROUND(100/B61*C61-100,1)&gt;999,999,-999)))</f>
        <v>4.8</v>
      </c>
      <c r="E61" s="324">
        <f t="shared" si="19"/>
        <v>0.24226703509169353</v>
      </c>
      <c r="F61" s="75"/>
      <c r="G61" s="130">
        <f t="shared" si="34"/>
        <v>0</v>
      </c>
      <c r="H61" s="130">
        <f t="shared" si="35"/>
        <v>0</v>
      </c>
      <c r="I61" s="76"/>
      <c r="J61" s="324">
        <f t="shared" si="21"/>
        <v>0</v>
      </c>
      <c r="K61" s="51"/>
      <c r="L61" s="168"/>
      <c r="M61" s="166"/>
      <c r="N61" s="168"/>
      <c r="O61" s="166"/>
      <c r="P61" s="155"/>
      <c r="Q61" s="155"/>
      <c r="R61" s="155"/>
      <c r="S61" s="133"/>
      <c r="T61" s="51"/>
    </row>
    <row r="62" spans="1:20" ht="18.75" customHeight="1" x14ac:dyDescent="0.3">
      <c r="A62" s="58" t="s">
        <v>431</v>
      </c>
      <c r="B62" s="75">
        <f>B26+B39</f>
        <v>7777876.8283200003</v>
      </c>
      <c r="C62" s="75">
        <f>+C26+C39</f>
        <v>8657769.0444599986</v>
      </c>
      <c r="D62" s="76">
        <f t="shared" si="18"/>
        <v>11.3</v>
      </c>
      <c r="E62" s="324">
        <f t="shared" si="19"/>
        <v>5.2690478672771874</v>
      </c>
      <c r="F62" s="75"/>
      <c r="G62" s="130">
        <f>+G26+G39</f>
        <v>88825187.390919894</v>
      </c>
      <c r="H62" s="130">
        <f>+H26+H39</f>
        <v>107959484.18013988</v>
      </c>
      <c r="I62" s="76">
        <f t="shared" si="20"/>
        <v>21.5</v>
      </c>
      <c r="J62" s="324">
        <f t="shared" si="21"/>
        <v>4.861814922656869</v>
      </c>
      <c r="K62" s="51"/>
      <c r="L62" s="168">
        <f ca="1">L27+L39</f>
        <v>0</v>
      </c>
      <c r="M62" s="166" t="e">
        <f t="shared" ref="M62:O63" ca="1" si="37">+M27+M39</f>
        <v>#REF!</v>
      </c>
      <c r="N62" s="168" t="e">
        <f t="shared" ca="1" si="37"/>
        <v>#REF!</v>
      </c>
      <c r="O62" s="166" t="e">
        <f t="shared" ca="1" si="37"/>
        <v>#REF!</v>
      </c>
      <c r="P62" s="155"/>
      <c r="Q62" s="155"/>
      <c r="R62" s="155"/>
      <c r="S62" s="133"/>
      <c r="T62" s="51"/>
    </row>
    <row r="63" spans="1:20" ht="18.75" customHeight="1" x14ac:dyDescent="0.3">
      <c r="A63" s="58" t="s">
        <v>89</v>
      </c>
      <c r="B63" s="75">
        <f>B40+B27</f>
        <v>25607180.687289998</v>
      </c>
      <c r="C63" s="75">
        <f>+C27+C40</f>
        <v>26308747.08475</v>
      </c>
      <c r="D63" s="76">
        <f t="shared" si="18"/>
        <v>2.7</v>
      </c>
      <c r="E63" s="324">
        <f t="shared" si="19"/>
        <v>16.011289629669609</v>
      </c>
      <c r="F63" s="75"/>
      <c r="G63" s="130">
        <f>+G27+G40</f>
        <v>411246079.91393006</v>
      </c>
      <c r="H63" s="130">
        <f>+H27+H40</f>
        <v>459650088.49703002</v>
      </c>
      <c r="I63" s="76">
        <f t="shared" si="20"/>
        <v>11.8</v>
      </c>
      <c r="J63" s="324">
        <f t="shared" si="21"/>
        <v>20.699743764304781</v>
      </c>
      <c r="K63" s="51"/>
      <c r="L63" s="168">
        <f ca="1">L40+L28</f>
        <v>0</v>
      </c>
      <c r="M63" s="166" t="e">
        <f t="shared" ca="1" si="37"/>
        <v>#REF!</v>
      </c>
      <c r="N63" s="168" t="e">
        <f t="shared" ca="1" si="37"/>
        <v>#REF!</v>
      </c>
      <c r="O63" s="166" t="e">
        <f t="shared" ca="1" si="37"/>
        <v>#REF!</v>
      </c>
      <c r="P63" s="155"/>
      <c r="Q63" s="155"/>
      <c r="R63" s="155"/>
      <c r="S63" s="133"/>
      <c r="T63" s="51"/>
    </row>
    <row r="64" spans="1:20" ht="18.75" customHeight="1" x14ac:dyDescent="0.3">
      <c r="A64" s="58" t="s">
        <v>90</v>
      </c>
      <c r="B64" s="75">
        <f>B28</f>
        <v>8896</v>
      </c>
      <c r="C64" s="75">
        <f>+C28</f>
        <v>9397</v>
      </c>
      <c r="D64" s="76">
        <f t="shared" si="18"/>
        <v>5.6</v>
      </c>
      <c r="E64" s="324">
        <f t="shared" si="19"/>
        <v>5.7189378181076176E-3</v>
      </c>
      <c r="F64" s="75"/>
      <c r="G64" s="130">
        <f>+G28</f>
        <v>0</v>
      </c>
      <c r="H64" s="130">
        <f t="shared" ref="H64:H66" si="38">+H28</f>
        <v>0</v>
      </c>
      <c r="I64" s="76"/>
      <c r="J64" s="324"/>
      <c r="K64" s="51"/>
      <c r="L64" s="168">
        <f ca="1">L29</f>
        <v>0</v>
      </c>
      <c r="M64" s="166">
        <f t="shared" ref="M64:O65" ca="1" si="39">+M29</f>
        <v>0</v>
      </c>
      <c r="N64" s="168" t="e">
        <f t="shared" ca="1" si="39"/>
        <v>#REF!</v>
      </c>
      <c r="O64" s="166">
        <f t="shared" ca="1" si="39"/>
        <v>0</v>
      </c>
      <c r="P64" s="155"/>
      <c r="Q64" s="155"/>
      <c r="R64" s="155"/>
      <c r="S64" s="133"/>
      <c r="T64" s="51"/>
    </row>
    <row r="65" spans="1:240" ht="18.75" customHeight="1" x14ac:dyDescent="0.3">
      <c r="A65" s="58" t="s">
        <v>91</v>
      </c>
      <c r="B65" s="75">
        <f>B29</f>
        <v>809012.68200000003</v>
      </c>
      <c r="C65" s="75">
        <f>+C29</f>
        <v>876213.18599999999</v>
      </c>
      <c r="D65" s="76">
        <f t="shared" si="18"/>
        <v>8.3000000000000007</v>
      </c>
      <c r="E65" s="324">
        <f t="shared" si="19"/>
        <v>0.53325622285197016</v>
      </c>
      <c r="F65" s="75"/>
      <c r="G65" s="130">
        <f>+G29</f>
        <v>0</v>
      </c>
      <c r="H65" s="130">
        <f t="shared" si="38"/>
        <v>0</v>
      </c>
      <c r="I65" s="76"/>
      <c r="J65" s="324"/>
      <c r="K65" s="51"/>
      <c r="L65" s="168">
        <f ca="1">L30</f>
        <v>0</v>
      </c>
      <c r="M65" s="166">
        <f t="shared" ca="1" si="39"/>
        <v>0</v>
      </c>
      <c r="N65" s="168" t="e">
        <f t="shared" ca="1" si="39"/>
        <v>#REF!</v>
      </c>
      <c r="O65" s="166">
        <f t="shared" ca="1" si="39"/>
        <v>0</v>
      </c>
      <c r="P65" s="155"/>
      <c r="Q65" s="155"/>
      <c r="R65" s="155"/>
      <c r="S65" s="133"/>
      <c r="T65" s="51"/>
    </row>
    <row r="66" spans="1:240" ht="18.75" x14ac:dyDescent="0.3">
      <c r="A66" s="77" t="s">
        <v>426</v>
      </c>
      <c r="B66" s="75">
        <f>B30</f>
        <v>1704.4290000000001</v>
      </c>
      <c r="C66" s="75">
        <f>C30</f>
        <v>1705</v>
      </c>
      <c r="D66" s="76">
        <f t="shared" si="18"/>
        <v>0</v>
      </c>
      <c r="E66" s="324">
        <f t="shared" ref="E66" si="40">100/C$32*C66</f>
        <v>1.8109806849857955E-3</v>
      </c>
      <c r="F66" s="77"/>
      <c r="G66" s="130">
        <f>+G30</f>
        <v>0</v>
      </c>
      <c r="H66" s="130">
        <f t="shared" si="38"/>
        <v>0</v>
      </c>
      <c r="I66" s="77"/>
      <c r="J66" s="324"/>
      <c r="K66" s="155"/>
      <c r="L66" s="168">
        <f t="shared" ref="L66" ca="1" si="41">INDIRECT("'" &amp; $A65 &amp; "'!" &amp; $P$7)</f>
        <v>0</v>
      </c>
      <c r="M66" s="166">
        <f t="shared" ref="M66" ca="1" si="42">INDIRECT("'" &amp; $A65 &amp; "'!" &amp; $P$8)</f>
        <v>0</v>
      </c>
      <c r="N66" s="168" t="e">
        <f ca="1">INDIRECT("'" &amp; $A65 &amp; "'!" &amp;#REF!)</f>
        <v>#REF!</v>
      </c>
      <c r="O66" s="166">
        <f t="shared" ref="O66" ca="1" si="43">INDIRECT("'" &amp; $A65 &amp; "'!" &amp; $P$9)</f>
        <v>0</v>
      </c>
    </row>
    <row r="67" spans="1:240" ht="18.75" x14ac:dyDescent="0.3">
      <c r="A67" s="58" t="s">
        <v>433</v>
      </c>
      <c r="B67" s="75">
        <f>B31</f>
        <v>24294</v>
      </c>
      <c r="C67" s="75">
        <f>+C31</f>
        <v>63809</v>
      </c>
      <c r="D67" s="76">
        <f>IF(B67=0, "    ---- ", IF(ABS(ROUND(100/B67*C67-100,1))&lt;999,ROUND(100/B67*C67-100,1),IF(ROUND(100/B67*C67-100,1)&gt;999,999,-999)))</f>
        <v>162.69999999999999</v>
      </c>
      <c r="E67" s="324">
        <f>100/C$68*C67</f>
        <v>3.8833638739558259E-2</v>
      </c>
      <c r="F67" s="75"/>
      <c r="G67" s="130">
        <f>G31</f>
        <v>27371</v>
      </c>
      <c r="H67" s="130">
        <f>H31</f>
        <v>53820</v>
      </c>
      <c r="I67" s="76">
        <f>IF(G67=0, "    ---- ", IF(ABS(ROUND(100/G67*H67-100,1))&lt;999,ROUND(100/G67*H67-100,1),IF(ROUND(100/G67*H67-100,1)&gt;999,999,-999)))</f>
        <v>96.6</v>
      </c>
      <c r="J67" s="324">
        <f>100/H$68*H67</f>
        <v>2.423713684114915E-3</v>
      </c>
      <c r="K67" s="51"/>
      <c r="L67" s="168" t="e">
        <f ca="1">L19+#REF!</f>
        <v>#REF!</v>
      </c>
      <c r="M67" s="166" t="e">
        <f ca="1">+M19+#REF!</f>
        <v>#REF!</v>
      </c>
      <c r="N67" s="168" t="e">
        <f ca="1">N19+#REF!</f>
        <v>#REF!</v>
      </c>
      <c r="O67" s="166" t="e">
        <f ca="1">O19+#REF!</f>
        <v>#REF!</v>
      </c>
      <c r="P67" s="155"/>
      <c r="Q67" s="155"/>
      <c r="R67" s="155"/>
      <c r="S67" s="133"/>
      <c r="T67" s="51"/>
    </row>
    <row r="68" spans="1:240" s="80" customFormat="1" ht="18.75" customHeight="1" x14ac:dyDescent="0.3">
      <c r="A68" s="81" t="s">
        <v>2</v>
      </c>
      <c r="B68" s="82">
        <f>SUM(B45:B67)</f>
        <v>166660902.29250789</v>
      </c>
      <c r="C68" s="82">
        <f>SUM(C45:C67)</f>
        <v>164313729.20766333</v>
      </c>
      <c r="D68" s="83">
        <f>IF(B68=0, "    ---- ", IF(ABS(ROUND(100/B68*C68-100,1))&lt;999,ROUND(100/B68*C68-100,1),IF(ROUND(100/B68*C68-100,1)&gt;999,999,-999)))</f>
        <v>-1.4</v>
      </c>
      <c r="E68" s="326">
        <f>SUM(E45:E67)</f>
        <v>100.00077333154378</v>
      </c>
      <c r="F68" s="78"/>
      <c r="G68" s="132">
        <f>SUM(G45:G67)</f>
        <v>1938404230.9198723</v>
      </c>
      <c r="H68" s="132">
        <f>SUM(H45:H67)</f>
        <v>2220559315.7615004</v>
      </c>
      <c r="I68" s="83">
        <f>IF(G68=0, "    ---- ", IF(ABS(ROUND(100/G68*H68-100,1))&lt;999,ROUND(100/G68*H68-100,1),IF(ROUND(100/G68*H68-100,1)&gt;999,999,-999)))</f>
        <v>14.6</v>
      </c>
      <c r="J68" s="326">
        <f>SUM(J45:J67)</f>
        <v>100</v>
      </c>
      <c r="K68" s="131"/>
      <c r="L68" s="173" t="e">
        <f ca="1">SUM(L45:L65)</f>
        <v>#REF!</v>
      </c>
      <c r="M68" s="174" t="e">
        <f ca="1">SUM(M45:M65)</f>
        <v>#REF!</v>
      </c>
      <c r="N68" s="173" t="e">
        <f ca="1">SUM(N45:N65)</f>
        <v>#REF!</v>
      </c>
      <c r="O68" s="174" t="e">
        <f ca="1">SUM(O45:O65)</f>
        <v>#REF!</v>
      </c>
      <c r="P68" s="153"/>
      <c r="Q68" s="153"/>
      <c r="R68" s="153"/>
      <c r="S68" s="104"/>
      <c r="T68" s="131"/>
    </row>
    <row r="69" spans="1:240" ht="18.75" customHeight="1" x14ac:dyDescent="0.3">
      <c r="A69" s="48" t="s">
        <v>95</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row>
    <row r="70" spans="1:240" ht="18.75" customHeight="1" x14ac:dyDescent="0.3">
      <c r="A70" s="48"/>
      <c r="B70" s="48"/>
      <c r="C70" s="48"/>
      <c r="D70" s="48"/>
      <c r="E70" s="48"/>
      <c r="F70" s="48"/>
      <c r="G70" s="48"/>
      <c r="H70" s="48"/>
      <c r="I70" s="48"/>
      <c r="J70" s="48"/>
      <c r="K70" s="48"/>
    </row>
    <row r="71" spans="1:240" ht="18.75" customHeight="1" x14ac:dyDescent="0.3">
      <c r="A71" s="48"/>
      <c r="B71" s="48"/>
      <c r="C71" s="48"/>
      <c r="D71" s="48"/>
      <c r="E71" s="48"/>
      <c r="F71" s="48"/>
      <c r="G71" s="48"/>
      <c r="H71" s="48"/>
      <c r="I71" s="48"/>
      <c r="J71" s="48"/>
      <c r="K71" s="48"/>
    </row>
    <row r="72" spans="1:240" ht="18.75" customHeight="1" x14ac:dyDescent="0.3">
      <c r="A72" s="48"/>
      <c r="B72" s="51"/>
      <c r="C72" s="51"/>
      <c r="D72" s="48"/>
      <c r="E72" s="48"/>
      <c r="F72" s="48"/>
      <c r="G72" s="51"/>
      <c r="H72" s="51"/>
      <c r="I72" s="48"/>
      <c r="J72" s="48"/>
      <c r="K72" s="48"/>
    </row>
    <row r="73" spans="1:240" ht="18.75" customHeight="1" x14ac:dyDescent="0.3">
      <c r="A73" s="48"/>
      <c r="B73" s="48"/>
      <c r="C73" s="48"/>
      <c r="D73" s="48"/>
      <c r="E73" s="48"/>
      <c r="F73" s="48"/>
      <c r="G73" s="48"/>
      <c r="H73" s="48"/>
      <c r="I73" s="48"/>
      <c r="J73" s="48"/>
      <c r="K73" s="48"/>
    </row>
    <row r="74" spans="1:240" ht="18.75" customHeight="1" x14ac:dyDescent="0.3">
      <c r="A74" s="48"/>
      <c r="B74" s="48"/>
      <c r="C74" s="48"/>
      <c r="D74" s="48"/>
      <c r="E74" s="48"/>
      <c r="F74" s="48"/>
      <c r="G74" s="48"/>
      <c r="H74" s="48"/>
      <c r="I74" s="48"/>
      <c r="J74" s="48"/>
      <c r="K74" s="48"/>
    </row>
    <row r="75" spans="1:240" ht="18.75" customHeight="1" x14ac:dyDescent="0.3">
      <c r="A75" s="48"/>
      <c r="B75" s="48"/>
      <c r="C75" s="48"/>
      <c r="D75" s="48"/>
      <c r="E75" s="48"/>
      <c r="F75" s="48"/>
      <c r="G75" s="48"/>
      <c r="H75" s="48"/>
      <c r="I75" s="48"/>
      <c r="J75" s="48"/>
      <c r="K75" s="48"/>
    </row>
    <row r="76" spans="1:240" ht="18.75" customHeight="1" x14ac:dyDescent="0.3">
      <c r="A76" s="48"/>
      <c r="B76" s="48"/>
      <c r="C76" s="48"/>
      <c r="D76" s="48"/>
      <c r="E76" s="48"/>
      <c r="F76" s="48"/>
      <c r="G76" s="48"/>
      <c r="H76" s="48"/>
      <c r="I76" s="48"/>
      <c r="J76" s="48"/>
      <c r="K76" s="48"/>
    </row>
    <row r="77" spans="1:240" ht="18.75" x14ac:dyDescent="0.3">
      <c r="A77" s="48"/>
      <c r="B77" s="48"/>
      <c r="C77" s="48"/>
      <c r="D77" s="48"/>
      <c r="E77" s="48"/>
      <c r="F77" s="48"/>
      <c r="G77" s="48"/>
      <c r="H77" s="48"/>
      <c r="I77" s="48"/>
      <c r="J77" s="48"/>
      <c r="K77" s="48"/>
    </row>
    <row r="78" spans="1:240" ht="18.75" x14ac:dyDescent="0.3">
      <c r="A78" s="48"/>
      <c r="B78" s="48"/>
      <c r="C78" s="48"/>
      <c r="D78" s="48"/>
      <c r="E78" s="48"/>
      <c r="F78" s="48"/>
      <c r="G78" s="48"/>
      <c r="H78" s="48"/>
      <c r="I78" s="48"/>
      <c r="J78" s="48"/>
      <c r="K78" s="48"/>
    </row>
    <row r="79" spans="1:240" ht="18.75" x14ac:dyDescent="0.3">
      <c r="A79" s="48"/>
      <c r="B79" s="48"/>
      <c r="C79" s="48"/>
      <c r="D79" s="48"/>
      <c r="E79" s="48"/>
      <c r="F79" s="48"/>
      <c r="G79" s="48"/>
      <c r="H79" s="48"/>
      <c r="I79" s="48"/>
      <c r="J79" s="48"/>
      <c r="K79" s="48"/>
    </row>
    <row r="80" spans="1:240" ht="18.75" x14ac:dyDescent="0.3">
      <c r="A80" s="48"/>
      <c r="B80" s="48"/>
      <c r="C80" s="48"/>
      <c r="D80" s="48"/>
      <c r="E80" s="48"/>
      <c r="F80" s="48"/>
      <c r="G80" s="48"/>
      <c r="H80" s="48"/>
      <c r="I80" s="48"/>
      <c r="J80" s="48"/>
      <c r="K80" s="48"/>
    </row>
    <row r="81" spans="1:11" ht="18.75" x14ac:dyDescent="0.3">
      <c r="A81" s="48"/>
      <c r="B81" s="48"/>
      <c r="C81" s="48"/>
      <c r="D81" s="48"/>
      <c r="E81" s="48"/>
      <c r="F81" s="48"/>
      <c r="G81" s="48"/>
      <c r="H81" s="48"/>
      <c r="I81" s="48"/>
      <c r="J81" s="48"/>
      <c r="K81" s="48"/>
    </row>
    <row r="82" spans="1:11" ht="18.75" x14ac:dyDescent="0.3">
      <c r="A82" s="48"/>
      <c r="B82" s="48"/>
      <c r="C82" s="48"/>
      <c r="D82" s="48"/>
      <c r="E82" s="48"/>
      <c r="F82" s="48"/>
      <c r="G82" s="48"/>
      <c r="H82" s="48"/>
      <c r="I82" s="48"/>
      <c r="J82" s="48"/>
      <c r="K82" s="48"/>
    </row>
    <row r="83" spans="1:11" ht="18.75" x14ac:dyDescent="0.3">
      <c r="A83" s="48"/>
      <c r="B83" s="48"/>
      <c r="C83" s="48"/>
      <c r="D83" s="48"/>
      <c r="E83" s="48"/>
      <c r="F83" s="48"/>
      <c r="G83" s="48"/>
      <c r="H83" s="48"/>
      <c r="I83" s="48"/>
      <c r="J83" s="48"/>
      <c r="K83" s="48"/>
    </row>
    <row r="84" spans="1:11" ht="18.75" x14ac:dyDescent="0.3">
      <c r="A84" s="48"/>
      <c r="B84" s="48"/>
      <c r="C84" s="48"/>
      <c r="D84" s="48"/>
      <c r="E84" s="48"/>
      <c r="F84" s="48"/>
      <c r="G84" s="48"/>
      <c r="H84" s="48"/>
      <c r="I84" s="48"/>
      <c r="J84" s="48"/>
      <c r="K84" s="48"/>
    </row>
    <row r="85" spans="1:11" ht="18.75" x14ac:dyDescent="0.3">
      <c r="A85" s="48"/>
      <c r="B85" s="48"/>
      <c r="C85" s="48"/>
      <c r="D85" s="48"/>
      <c r="E85" s="48"/>
      <c r="F85" s="48"/>
      <c r="G85" s="48"/>
      <c r="H85" s="48"/>
      <c r="I85" s="48"/>
      <c r="J85" s="48"/>
      <c r="K85" s="48"/>
    </row>
    <row r="86" spans="1:11" ht="18.75" x14ac:dyDescent="0.3">
      <c r="A86" s="48"/>
      <c r="B86" s="48"/>
      <c r="C86" s="48"/>
      <c r="D86" s="48"/>
      <c r="E86" s="48"/>
      <c r="F86" s="48"/>
      <c r="G86" s="48"/>
      <c r="H86" s="48"/>
      <c r="I86" s="48"/>
      <c r="J86" s="48"/>
      <c r="K86" s="48"/>
    </row>
    <row r="87" spans="1:11" ht="18.75" x14ac:dyDescent="0.3">
      <c r="A87" s="48"/>
      <c r="B87" s="48"/>
      <c r="C87" s="48"/>
      <c r="D87" s="48"/>
      <c r="E87" s="48"/>
      <c r="F87" s="48"/>
      <c r="G87" s="48"/>
      <c r="H87" s="48"/>
      <c r="I87" s="48"/>
      <c r="J87" s="48"/>
      <c r="K87" s="48"/>
    </row>
    <row r="88" spans="1:11" ht="18.75" x14ac:dyDescent="0.3">
      <c r="A88" s="48"/>
      <c r="B88" s="48"/>
      <c r="C88" s="48"/>
      <c r="D88" s="48"/>
      <c r="E88" s="48"/>
      <c r="F88" s="48"/>
      <c r="G88" s="48"/>
      <c r="H88" s="48"/>
      <c r="I88" s="48"/>
      <c r="J88" s="48"/>
      <c r="K88" s="48"/>
    </row>
    <row r="89" spans="1:11" ht="18.75" x14ac:dyDescent="0.3">
      <c r="A89" s="48"/>
      <c r="B89" s="48"/>
      <c r="C89" s="48"/>
      <c r="D89" s="48"/>
      <c r="E89" s="48"/>
      <c r="F89" s="48"/>
      <c r="G89" s="48"/>
      <c r="H89" s="48"/>
      <c r="I89" s="48"/>
      <c r="J89" s="48"/>
      <c r="K89" s="48"/>
    </row>
    <row r="90" spans="1:11" ht="18.75" x14ac:dyDescent="0.3">
      <c r="A90" s="48"/>
      <c r="B90" s="48"/>
      <c r="C90" s="48"/>
      <c r="D90" s="48"/>
      <c r="E90" s="48"/>
      <c r="F90" s="48"/>
      <c r="G90" s="48"/>
      <c r="H90" s="48"/>
      <c r="I90" s="48"/>
      <c r="J90" s="48"/>
      <c r="K90" s="48"/>
    </row>
    <row r="91" spans="1:11" ht="18.75" x14ac:dyDescent="0.3">
      <c r="A91" s="48"/>
      <c r="B91" s="48"/>
      <c r="C91" s="48"/>
      <c r="D91" s="48"/>
      <c r="E91" s="48"/>
      <c r="F91" s="48"/>
      <c r="G91" s="48"/>
      <c r="H91" s="48"/>
      <c r="I91" s="48"/>
      <c r="J91" s="48"/>
      <c r="K91" s="48"/>
    </row>
    <row r="92" spans="1:11" ht="18.75" x14ac:dyDescent="0.3">
      <c r="A92" s="48"/>
      <c r="B92" s="48"/>
      <c r="C92" s="48"/>
      <c r="D92" s="48"/>
      <c r="E92" s="48"/>
      <c r="F92" s="48"/>
      <c r="G92" s="48"/>
      <c r="H92" s="48"/>
      <c r="I92" s="48"/>
      <c r="J92" s="48"/>
      <c r="K92" s="48"/>
    </row>
    <row r="93" spans="1:11" ht="18.75" x14ac:dyDescent="0.3">
      <c r="A93" s="48"/>
      <c r="B93" s="48"/>
      <c r="C93" s="48"/>
      <c r="D93" s="48"/>
      <c r="E93" s="48"/>
      <c r="F93" s="48"/>
      <c r="G93" s="48"/>
      <c r="H93" s="48"/>
      <c r="I93" s="48"/>
      <c r="J93" s="48"/>
      <c r="K93" s="48"/>
    </row>
    <row r="94" spans="1:11" ht="18.75" x14ac:dyDescent="0.3">
      <c r="A94" s="48"/>
      <c r="B94" s="48"/>
      <c r="C94" s="48"/>
      <c r="D94" s="48"/>
      <c r="E94" s="48"/>
      <c r="F94" s="48"/>
      <c r="G94" s="48"/>
      <c r="H94" s="48"/>
      <c r="I94" s="48"/>
      <c r="J94" s="48"/>
      <c r="K94" s="48"/>
    </row>
    <row r="95" spans="1:11" ht="18.75" x14ac:dyDescent="0.3">
      <c r="A95" s="84"/>
      <c r="B95" s="85"/>
      <c r="C95" s="85"/>
      <c r="D95" s="85"/>
      <c r="E95" s="48"/>
      <c r="F95" s="48"/>
      <c r="G95" s="48"/>
      <c r="H95" s="48"/>
      <c r="I95" s="48"/>
      <c r="J95" s="49"/>
      <c r="K95" s="49"/>
    </row>
    <row r="96" spans="1:11" ht="18.75" x14ac:dyDescent="0.3">
      <c r="A96" s="48"/>
      <c r="B96" s="48"/>
      <c r="C96" s="48"/>
      <c r="D96" s="48"/>
      <c r="E96" s="48"/>
      <c r="F96" s="48"/>
      <c r="G96" s="48"/>
      <c r="H96" s="48"/>
      <c r="I96" s="48"/>
      <c r="J96" s="48"/>
      <c r="K96" s="48"/>
    </row>
    <row r="97" spans="1:11" ht="18.75" x14ac:dyDescent="0.3">
      <c r="A97" s="48"/>
      <c r="B97" s="48"/>
      <c r="C97" s="48"/>
      <c r="D97" s="48"/>
      <c r="E97" s="48"/>
      <c r="F97" s="48"/>
      <c r="G97" s="48"/>
      <c r="H97" s="48"/>
      <c r="I97" s="48"/>
      <c r="J97" s="48"/>
      <c r="K97" s="48"/>
    </row>
    <row r="98" spans="1:11" ht="18.75" x14ac:dyDescent="0.3">
      <c r="A98" s="48"/>
      <c r="B98" s="48"/>
      <c r="C98" s="48"/>
      <c r="D98" s="48"/>
      <c r="E98" s="48"/>
      <c r="F98" s="48"/>
      <c r="G98" s="48"/>
      <c r="H98" s="48"/>
      <c r="I98" s="48"/>
      <c r="J98" s="48"/>
      <c r="K98" s="48"/>
    </row>
    <row r="99" spans="1:11" ht="18.75" x14ac:dyDescent="0.3">
      <c r="A99" s="48"/>
      <c r="B99" s="48"/>
      <c r="C99" s="48"/>
      <c r="D99" s="48"/>
      <c r="E99" s="48"/>
      <c r="F99" s="48"/>
      <c r="G99" s="48"/>
      <c r="H99" s="48"/>
      <c r="I99" s="48"/>
      <c r="J99" s="48"/>
      <c r="K99" s="48"/>
    </row>
    <row r="100" spans="1:11" ht="18.75" x14ac:dyDescent="0.3">
      <c r="A100" s="48"/>
      <c r="B100" s="48"/>
      <c r="C100" s="48"/>
      <c r="D100" s="48"/>
      <c r="E100" s="48"/>
      <c r="F100" s="48"/>
      <c r="G100" s="48"/>
      <c r="H100" s="48"/>
      <c r="I100" s="48"/>
      <c r="J100" s="48"/>
      <c r="K100" s="48"/>
    </row>
    <row r="101" spans="1:11" ht="18.75" x14ac:dyDescent="0.3">
      <c r="A101" s="48"/>
      <c r="B101" s="48"/>
      <c r="C101" s="48"/>
      <c r="D101" s="48"/>
      <c r="E101" s="48"/>
      <c r="F101" s="48"/>
      <c r="G101" s="48"/>
      <c r="H101" s="48"/>
      <c r="I101" s="48"/>
      <c r="J101" s="48"/>
      <c r="K101" s="48"/>
    </row>
    <row r="102" spans="1:11" ht="18.75" x14ac:dyDescent="0.3">
      <c r="A102" s="48"/>
      <c r="B102" s="48"/>
      <c r="C102" s="48"/>
      <c r="D102" s="48"/>
      <c r="E102" s="48"/>
      <c r="F102" s="48"/>
      <c r="G102" s="48"/>
      <c r="H102" s="48"/>
      <c r="I102" s="48"/>
      <c r="J102" s="48"/>
      <c r="K102" s="48"/>
    </row>
    <row r="103" spans="1:11" ht="18.75" x14ac:dyDescent="0.3">
      <c r="A103" s="48"/>
      <c r="B103" s="48"/>
      <c r="C103" s="48"/>
      <c r="D103" s="48"/>
      <c r="E103" s="48"/>
      <c r="F103" s="48"/>
      <c r="G103" s="48"/>
      <c r="H103" s="48"/>
      <c r="I103" s="48"/>
      <c r="J103" s="48"/>
      <c r="K103" s="48"/>
    </row>
    <row r="104" spans="1:11" ht="18.75" x14ac:dyDescent="0.3">
      <c r="A104" s="48"/>
      <c r="B104" s="48"/>
      <c r="C104" s="48"/>
      <c r="D104" s="48"/>
      <c r="E104" s="48"/>
      <c r="F104" s="48"/>
      <c r="G104" s="48"/>
      <c r="H104" s="48"/>
      <c r="I104" s="48"/>
      <c r="J104" s="48"/>
      <c r="K104" s="48"/>
    </row>
    <row r="105" spans="1:11" ht="18.75" x14ac:dyDescent="0.3">
      <c r="A105" s="48"/>
      <c r="B105" s="48"/>
      <c r="C105" s="48"/>
      <c r="D105" s="48"/>
      <c r="E105" s="48"/>
      <c r="F105" s="48"/>
      <c r="G105" s="48"/>
      <c r="H105" s="48"/>
      <c r="I105" s="48"/>
      <c r="J105" s="48"/>
      <c r="K105" s="48"/>
    </row>
    <row r="106" spans="1:11" ht="18.75" x14ac:dyDescent="0.3">
      <c r="A106" s="48"/>
      <c r="B106" s="48"/>
      <c r="C106" s="48"/>
      <c r="D106" s="48"/>
      <c r="E106" s="48"/>
      <c r="F106" s="48"/>
      <c r="G106" s="48"/>
      <c r="H106" s="48"/>
      <c r="I106" s="48"/>
      <c r="J106" s="48"/>
      <c r="K106" s="48"/>
    </row>
    <row r="107" spans="1:11" ht="18.75" x14ac:dyDescent="0.3">
      <c r="A107" s="48"/>
      <c r="B107" s="48"/>
      <c r="C107" s="48"/>
      <c r="D107" s="48"/>
      <c r="E107" s="48"/>
      <c r="F107" s="48"/>
      <c r="G107" s="48"/>
      <c r="H107" s="48"/>
      <c r="I107" s="48"/>
      <c r="J107" s="48"/>
      <c r="K107" s="4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45"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O115"/>
  <sheetViews>
    <sheetView showGridLines="0" showZeros="0" zoomScale="70" zoomScaleNormal="70" workbookViewId="0">
      <pane xSplit="1" ySplit="7" topLeftCell="B8" activePane="bottomRight" state="frozen"/>
      <selection activeCell="B8" sqref="B8"/>
      <selection pane="topRight" activeCell="B8" sqref="B8"/>
      <selection pane="bottomLeft" activeCell="B8" sqref="B8"/>
      <selection pane="bottomRight" activeCell="A4" sqref="A4"/>
    </sheetView>
  </sheetViews>
  <sheetFormatPr baseColWidth="10" defaultColWidth="11.42578125" defaultRowHeight="18" x14ac:dyDescent="0.25"/>
  <cols>
    <col min="1" max="1" width="51" style="53" customWidth="1"/>
    <col min="2" max="3" width="17.85546875" style="53" bestFit="1" customWidth="1"/>
    <col min="4" max="4" width="9.28515625" style="53" bestFit="1" customWidth="1"/>
    <col min="5" max="5" width="4.7109375" style="53" customWidth="1"/>
    <col min="6" max="7" width="16.7109375" style="53" customWidth="1"/>
    <col min="8" max="8" width="9.28515625" style="53" bestFit="1" customWidth="1"/>
    <col min="9" max="9" width="4.7109375" style="53" customWidth="1"/>
    <col min="10" max="10" width="18.7109375" style="53" customWidth="1"/>
    <col min="11" max="11" width="18" style="53" bestFit="1" customWidth="1"/>
    <col min="12" max="12" width="9.28515625" style="53" bestFit="1" customWidth="1"/>
    <col min="13" max="13" width="11.42578125" style="53"/>
    <col min="14" max="15" width="17.28515625" style="53" bestFit="1" customWidth="1"/>
    <col min="16" max="16384" width="11.42578125" style="53"/>
  </cols>
  <sheetData>
    <row r="1" spans="1:13" ht="20.25" x14ac:dyDescent="0.3">
      <c r="A1" s="52" t="s">
        <v>72</v>
      </c>
      <c r="B1" s="47" t="s">
        <v>52</v>
      </c>
      <c r="C1" s="48"/>
      <c r="D1" s="48"/>
      <c r="E1" s="48"/>
      <c r="F1" s="48"/>
      <c r="G1" s="48"/>
      <c r="H1" s="48"/>
      <c r="I1" s="48"/>
      <c r="J1" s="48"/>
      <c r="K1" s="48"/>
      <c r="L1" s="48"/>
      <c r="M1" s="48"/>
    </row>
    <row r="2" spans="1:13" ht="20.25" x14ac:dyDescent="0.3">
      <c r="A2" s="52" t="s">
        <v>96</v>
      </c>
      <c r="B2" s="47"/>
      <c r="C2" s="48"/>
      <c r="D2" s="48"/>
      <c r="E2" s="48"/>
      <c r="F2" s="48"/>
      <c r="G2" s="48"/>
      <c r="H2" s="48"/>
      <c r="I2" s="48"/>
      <c r="J2" s="48"/>
      <c r="K2" s="48"/>
      <c r="L2" s="48"/>
      <c r="M2" s="48"/>
    </row>
    <row r="3" spans="1:13" ht="18.75" x14ac:dyDescent="0.3">
      <c r="A3" s="49" t="s">
        <v>97</v>
      </c>
      <c r="B3" s="48"/>
      <c r="C3" s="48"/>
      <c r="D3" s="48"/>
      <c r="E3" s="48"/>
      <c r="F3" s="48"/>
      <c r="G3" s="48"/>
      <c r="H3" s="48"/>
      <c r="I3" s="48"/>
      <c r="J3" s="48"/>
      <c r="K3" s="48"/>
      <c r="L3" s="48"/>
      <c r="M3" s="48"/>
    </row>
    <row r="4" spans="1:13" ht="18.75" x14ac:dyDescent="0.3">
      <c r="A4" s="54" t="s">
        <v>320</v>
      </c>
      <c r="B4" s="74"/>
      <c r="C4" s="86"/>
      <c r="D4" s="87"/>
      <c r="E4" s="48"/>
      <c r="F4" s="55"/>
      <c r="G4" s="56"/>
      <c r="H4" s="57"/>
      <c r="I4" s="48"/>
      <c r="J4" s="55"/>
      <c r="K4" s="56"/>
      <c r="L4" s="57"/>
      <c r="M4" s="48"/>
    </row>
    <row r="5" spans="1:13" ht="18.75" x14ac:dyDescent="0.3">
      <c r="A5" s="88"/>
      <c r="B5" s="773" t="s">
        <v>0</v>
      </c>
      <c r="C5" s="774"/>
      <c r="D5" s="775"/>
      <c r="E5" s="61"/>
      <c r="F5" s="773" t="s">
        <v>1</v>
      </c>
      <c r="G5" s="774"/>
      <c r="H5" s="775"/>
      <c r="I5" s="89"/>
      <c r="J5" s="773" t="s">
        <v>98</v>
      </c>
      <c r="K5" s="774"/>
      <c r="L5" s="775"/>
      <c r="M5" s="48"/>
    </row>
    <row r="6" spans="1:13" ht="18.75" x14ac:dyDescent="0.3">
      <c r="A6" s="90"/>
      <c r="B6" s="91"/>
      <c r="C6" s="92"/>
      <c r="D6" s="66" t="s">
        <v>99</v>
      </c>
      <c r="E6" s="72"/>
      <c r="F6" s="91"/>
      <c r="G6" s="92"/>
      <c r="H6" s="66" t="s">
        <v>99</v>
      </c>
      <c r="I6" s="93"/>
      <c r="J6" s="91"/>
      <c r="K6" s="92"/>
      <c r="L6" s="66" t="s">
        <v>99</v>
      </c>
      <c r="M6" s="48"/>
    </row>
    <row r="7" spans="1:13" ht="18.75" x14ac:dyDescent="0.3">
      <c r="A7" s="94" t="s">
        <v>100</v>
      </c>
      <c r="B7" s="95">
        <v>2023</v>
      </c>
      <c r="C7" s="136">
        <v>2024</v>
      </c>
      <c r="D7" s="71" t="s">
        <v>78</v>
      </c>
      <c r="E7" s="72"/>
      <c r="F7" s="69">
        <v>2023</v>
      </c>
      <c r="G7" s="95">
        <v>2024</v>
      </c>
      <c r="H7" s="71" t="s">
        <v>78</v>
      </c>
      <c r="I7" s="96"/>
      <c r="J7" s="135">
        <v>2023</v>
      </c>
      <c r="K7" s="136">
        <v>2024</v>
      </c>
      <c r="L7" s="71" t="s">
        <v>78</v>
      </c>
      <c r="M7" s="48"/>
    </row>
    <row r="8" spans="1:13" ht="22.5" x14ac:dyDescent="0.3">
      <c r="A8" s="141" t="s">
        <v>101</v>
      </c>
      <c r="B8" s="176"/>
      <c r="C8" s="149"/>
      <c r="D8" s="149"/>
      <c r="E8" s="133"/>
      <c r="F8" s="149"/>
      <c r="G8" s="149"/>
      <c r="H8" s="149"/>
      <c r="I8" s="150"/>
      <c r="J8" s="149"/>
      <c r="K8" s="149"/>
      <c r="L8" s="149"/>
      <c r="M8" s="48"/>
    </row>
    <row r="9" spans="1:13" ht="18.75" x14ac:dyDescent="0.3">
      <c r="A9" s="77" t="s">
        <v>102</v>
      </c>
      <c r="B9" s="76">
        <f>'Skjema total MA'!B7</f>
        <v>5419764.5364713911</v>
      </c>
      <c r="C9" s="76">
        <f>'Skjema total MA'!C7</f>
        <v>5523998.3509786185</v>
      </c>
      <c r="D9" s="177">
        <f>IF(B9=0, "    ---- ", IF(ABS(ROUND(100/B9*C9-100,1))&lt;999,ROUND(100/B9*C9-100,1),IF(ROUND(100/B9*C9-100,1)&gt;999,999,-999)))</f>
        <v>1.9</v>
      </c>
      <c r="E9" s="133"/>
      <c r="F9" s="144">
        <f>'Skjema total MA'!E7</f>
        <v>10938001.22459</v>
      </c>
      <c r="G9" s="144">
        <f>'Skjema total MA'!F7</f>
        <v>14213362.53359</v>
      </c>
      <c r="H9" s="177">
        <f>IF(F9=0, "    ---- ", IF(ABS(ROUND(100/F9*G9-100,1))&lt;999,ROUND(100/F9*G9-100,1),IF(ROUND(100/F9*G9-100,1)&gt;999,999,-999)))</f>
        <v>29.9</v>
      </c>
      <c r="I9" s="133"/>
      <c r="J9" s="144">
        <f t="shared" ref="J9:K60" si="0">SUM(B9+F9)</f>
        <v>16357765.761061391</v>
      </c>
      <c r="K9" s="144">
        <f t="shared" si="0"/>
        <v>19737360.884568617</v>
      </c>
      <c r="L9" s="175">
        <f>IF(J9=0, "    ---- ", IF(ABS(ROUND(100/J9*K9-100,1))&lt;999,ROUND(100/J9*K9-100,1),IF(ROUND(100/J9*K9-100,1)&gt;999,999,-999)))</f>
        <v>20.7</v>
      </c>
      <c r="M9" s="48"/>
    </row>
    <row r="10" spans="1:13" ht="18.75" x14ac:dyDescent="0.3">
      <c r="A10" s="77" t="s">
        <v>103</v>
      </c>
      <c r="B10" s="76">
        <f>'Skjema total MA'!B22</f>
        <v>2247584.2824306325</v>
      </c>
      <c r="C10" s="76">
        <f>'Skjema total MA'!C22</f>
        <v>2435385.2719447161</v>
      </c>
      <c r="D10" s="177">
        <f t="shared" ref="D10:D17" si="1">IF(B10=0, "    ---- ", IF(ABS(ROUND(100/B10*C10-100,1))&lt;999,ROUND(100/B10*C10-100,1),IF(ROUND(100/B10*C10-100,1)&gt;999,999,-999)))</f>
        <v>8.4</v>
      </c>
      <c r="E10" s="133"/>
      <c r="F10" s="144">
        <f>'Skjema total MA'!E22</f>
        <v>926122.45217000006</v>
      </c>
      <c r="G10" s="144">
        <f>'Skjema total MA'!F22</f>
        <v>1020142.8224500001</v>
      </c>
      <c r="H10" s="177">
        <f t="shared" ref="H10:H57" si="2">IF(F10=0, "    ---- ", IF(ABS(ROUND(100/F10*G10-100,1))&lt;999,ROUND(100/F10*G10-100,1),IF(ROUND(100/F10*G10-100,1)&gt;999,999,-999)))</f>
        <v>10.199999999999999</v>
      </c>
      <c r="I10" s="133"/>
      <c r="J10" s="144">
        <f t="shared" si="0"/>
        <v>3173706.7346006325</v>
      </c>
      <c r="K10" s="144">
        <f t="shared" si="0"/>
        <v>3455528.0943947164</v>
      </c>
      <c r="L10" s="175">
        <f t="shared" ref="L10:L60" si="3">IF(J10=0, "    ---- ", IF(ABS(ROUND(100/J10*K10-100,1))&lt;999,ROUND(100/J10*K10-100,1),IF(ROUND(100/J10*K10-100,1)&gt;999,999,-999)))</f>
        <v>8.9</v>
      </c>
      <c r="M10" s="48"/>
    </row>
    <row r="11" spans="1:13" ht="18.75" x14ac:dyDescent="0.3">
      <c r="A11" s="77" t="s">
        <v>104</v>
      </c>
      <c r="B11" s="76">
        <f>'Skjema total MA'!B47</f>
        <v>5979338.5896699987</v>
      </c>
      <c r="C11" s="76">
        <f>'Skjema total MA'!C47</f>
        <v>6579876.2890899992</v>
      </c>
      <c r="D11" s="177">
        <f t="shared" si="1"/>
        <v>10</v>
      </c>
      <c r="E11" s="133"/>
      <c r="F11" s="144"/>
      <c r="G11" s="144"/>
      <c r="H11" s="177"/>
      <c r="I11" s="133"/>
      <c r="J11" s="144">
        <f t="shared" si="0"/>
        <v>5979338.5896699987</v>
      </c>
      <c r="K11" s="144">
        <f t="shared" si="0"/>
        <v>6579876.2890899992</v>
      </c>
      <c r="L11" s="175">
        <f t="shared" si="3"/>
        <v>10</v>
      </c>
      <c r="M11" s="48"/>
    </row>
    <row r="12" spans="1:13" ht="18.75" x14ac:dyDescent="0.3">
      <c r="A12" s="77" t="s">
        <v>105</v>
      </c>
      <c r="B12" s="76">
        <f>'Skjema total MA'!B66</f>
        <v>8715736.6442499999</v>
      </c>
      <c r="C12" s="76">
        <f>'Skjema total MA'!C66</f>
        <v>8817279.4202000014</v>
      </c>
      <c r="D12" s="177">
        <f t="shared" si="1"/>
        <v>1.2</v>
      </c>
      <c r="E12" s="133"/>
      <c r="F12" s="144">
        <f>'Skjema total MA'!E66</f>
        <v>49792574.160915874</v>
      </c>
      <c r="G12" s="144">
        <f>'Skjema total MA'!F66</f>
        <v>54720089.956119999</v>
      </c>
      <c r="H12" s="177">
        <f t="shared" si="2"/>
        <v>9.9</v>
      </c>
      <c r="I12" s="133"/>
      <c r="J12" s="144">
        <f t="shared" si="0"/>
        <v>58508310.805165872</v>
      </c>
      <c r="K12" s="144">
        <f t="shared" si="0"/>
        <v>63537369.376320004</v>
      </c>
      <c r="L12" s="175">
        <f t="shared" si="3"/>
        <v>8.6</v>
      </c>
      <c r="M12" s="48"/>
    </row>
    <row r="13" spans="1:13" ht="18.75" x14ac:dyDescent="0.3">
      <c r="A13" s="77" t="s">
        <v>106</v>
      </c>
      <c r="B13" s="76">
        <f>'Skjema total MA'!B68</f>
        <v>39152.623399999997</v>
      </c>
      <c r="C13" s="76">
        <f>'Skjema total MA'!C68</f>
        <v>29813.744979999999</v>
      </c>
      <c r="D13" s="177">
        <f t="shared" si="1"/>
        <v>-23.9</v>
      </c>
      <c r="E13" s="133"/>
      <c r="F13" s="144">
        <f>'Skjema total MA'!E68</f>
        <v>47668972.360285878</v>
      </c>
      <c r="G13" s="144">
        <f>'Skjema total MA'!F68</f>
        <v>52614807.915200002</v>
      </c>
      <c r="H13" s="177">
        <f t="shared" si="2"/>
        <v>10.4</v>
      </c>
      <c r="I13" s="133"/>
      <c r="J13" s="144">
        <f t="shared" si="0"/>
        <v>47708124.983685881</v>
      </c>
      <c r="K13" s="144">
        <f t="shared" si="0"/>
        <v>52644621.660180002</v>
      </c>
      <c r="L13" s="175">
        <f t="shared" si="3"/>
        <v>10.3</v>
      </c>
      <c r="M13" s="48"/>
    </row>
    <row r="14" spans="1:13" s="100" customFormat="1" ht="18.75" x14ac:dyDescent="0.3">
      <c r="A14" s="142" t="s">
        <v>107</v>
      </c>
      <c r="B14" s="99">
        <f>'Skjema total MA'!B75+'Skjema total MA'!B76</f>
        <v>3532871.5690854397</v>
      </c>
      <c r="C14" s="99">
        <f>'Skjema total MA'!C75+'Skjema total MA'!C76</f>
        <v>4040532.2004954098</v>
      </c>
      <c r="D14" s="177">
        <f t="shared" si="1"/>
        <v>14.4</v>
      </c>
      <c r="E14" s="134"/>
      <c r="F14" s="145">
        <f>'Skjema total MA'!E75+'Skjema total MA'!E76</f>
        <v>2123601.80063</v>
      </c>
      <c r="G14" s="145">
        <f>'Skjema total MA'!F75+'Skjema total MA'!F76</f>
        <v>2105282.0409200001</v>
      </c>
      <c r="H14" s="177">
        <f t="shared" si="2"/>
        <v>-0.9</v>
      </c>
      <c r="I14" s="134"/>
      <c r="J14" s="144">
        <f t="shared" si="0"/>
        <v>5656473.3697154392</v>
      </c>
      <c r="K14" s="144">
        <f t="shared" si="0"/>
        <v>6145814.2414154094</v>
      </c>
      <c r="L14" s="175">
        <f t="shared" si="3"/>
        <v>8.6999999999999993</v>
      </c>
      <c r="M14" s="50"/>
    </row>
    <row r="15" spans="1:13" ht="22.5" x14ac:dyDescent="0.3">
      <c r="A15" s="77" t="s">
        <v>311</v>
      </c>
      <c r="B15" s="76">
        <f>'Skjema total MA'!B134</f>
        <v>82394017.488010004</v>
      </c>
      <c r="C15" s="76">
        <f>'Skjema total MA'!C134</f>
        <v>70782245.241020009</v>
      </c>
      <c r="D15" s="177">
        <f t="shared" si="1"/>
        <v>-14.1</v>
      </c>
      <c r="E15" s="133"/>
      <c r="F15" s="144">
        <f>'Skjema total MA'!E134</f>
        <v>240816.17</v>
      </c>
      <c r="G15" s="144">
        <f>'Skjema total MA'!F134</f>
        <v>212249.59526999999</v>
      </c>
      <c r="H15" s="177">
        <f t="shared" si="2"/>
        <v>-11.9</v>
      </c>
      <c r="I15" s="133"/>
      <c r="J15" s="144">
        <f t="shared" si="0"/>
        <v>82634833.658010006</v>
      </c>
      <c r="K15" s="144">
        <f t="shared" si="0"/>
        <v>70994494.836290002</v>
      </c>
      <c r="L15" s="175">
        <f t="shared" si="3"/>
        <v>-14.1</v>
      </c>
      <c r="M15" s="48"/>
    </row>
    <row r="16" spans="1:13" ht="18.75" x14ac:dyDescent="0.3">
      <c r="A16" s="77" t="s">
        <v>108</v>
      </c>
      <c r="B16" s="76">
        <f>'Skjema total MA'!B36</f>
        <v>6946.7439999999997</v>
      </c>
      <c r="C16" s="76">
        <f>'Skjema total MA'!C36</f>
        <v>9099.726999999999</v>
      </c>
      <c r="D16" s="177">
        <f t="shared" si="1"/>
        <v>31</v>
      </c>
      <c r="E16" s="133"/>
      <c r="F16" s="144">
        <f>'Skjema total MA'!E36</f>
        <v>0</v>
      </c>
      <c r="G16" s="144">
        <f>'Skjema total MA'!F36</f>
        <v>0</v>
      </c>
      <c r="H16" s="177"/>
      <c r="I16" s="133"/>
      <c r="J16" s="144">
        <f t="shared" si="0"/>
        <v>6946.7439999999997</v>
      </c>
      <c r="K16" s="144">
        <f t="shared" si="0"/>
        <v>9099.726999999999</v>
      </c>
      <c r="L16" s="175">
        <f t="shared" si="3"/>
        <v>31</v>
      </c>
      <c r="M16" s="48"/>
    </row>
    <row r="17" spans="1:15" s="102" customFormat="1" ht="18.75" customHeight="1" x14ac:dyDescent="0.3">
      <c r="A17" s="103" t="s">
        <v>109</v>
      </c>
      <c r="B17" s="79">
        <f>'Tabel 1.1'!B32</f>
        <v>104763388.28483203</v>
      </c>
      <c r="C17" s="146">
        <f>'Tabel 1.1'!C32</f>
        <v>94147884.300233349</v>
      </c>
      <c r="D17" s="177">
        <f t="shared" si="1"/>
        <v>-10.1</v>
      </c>
      <c r="E17" s="104"/>
      <c r="F17" s="146">
        <f>'Tabel 1.1'!B41</f>
        <v>61897514.007675871</v>
      </c>
      <c r="G17" s="146">
        <f>'Tabel 1.1'!C41</f>
        <v>70165844.907429993</v>
      </c>
      <c r="H17" s="177">
        <f t="shared" si="2"/>
        <v>13.4</v>
      </c>
      <c r="I17" s="104"/>
      <c r="J17" s="146">
        <f t="shared" si="0"/>
        <v>166660902.29250789</v>
      </c>
      <c r="K17" s="146">
        <f t="shared" si="0"/>
        <v>164313729.20766336</v>
      </c>
      <c r="L17" s="175">
        <f t="shared" si="3"/>
        <v>-1.4</v>
      </c>
      <c r="M17" s="49"/>
      <c r="N17" s="101"/>
      <c r="O17" s="101"/>
    </row>
    <row r="18" spans="1:15" ht="18.75" customHeight="1" x14ac:dyDescent="0.3">
      <c r="A18" s="103"/>
      <c r="B18" s="76"/>
      <c r="C18" s="144"/>
      <c r="D18" s="144"/>
      <c r="E18" s="133"/>
      <c r="F18" s="144"/>
      <c r="G18" s="144"/>
      <c r="H18" s="177"/>
      <c r="I18" s="133"/>
      <c r="J18" s="144"/>
      <c r="K18" s="144"/>
      <c r="L18" s="175"/>
      <c r="M18" s="48"/>
    </row>
    <row r="19" spans="1:15" ht="18.75" customHeight="1" x14ac:dyDescent="0.3">
      <c r="A19" s="141" t="s">
        <v>312</v>
      </c>
      <c r="B19" s="148"/>
      <c r="C19" s="151"/>
      <c r="D19" s="144"/>
      <c r="E19" s="133"/>
      <c r="F19" s="151"/>
      <c r="G19" s="151"/>
      <c r="H19" s="177"/>
      <c r="I19" s="133"/>
      <c r="J19" s="144"/>
      <c r="K19" s="144"/>
      <c r="L19" s="175"/>
      <c r="M19" s="48"/>
    </row>
    <row r="20" spans="1:15" ht="18.75" customHeight="1" x14ac:dyDescent="0.3">
      <c r="A20" s="77" t="s">
        <v>102</v>
      </c>
      <c r="B20" s="76">
        <f>'Skjema total MA'!B10</f>
        <v>15880216.257714039</v>
      </c>
      <c r="C20" s="76">
        <f>'Skjema total MA'!C10</f>
        <v>15298143.794006975</v>
      </c>
      <c r="D20" s="177">
        <f>IF(B20=0, "    ---- ", IF(ABS(ROUND(100/B20*C20-100,1))&lt;999,ROUND(100/B20*C20-100,1),IF(ROUND(100/B20*C20-100,1)&gt;999,999,-999)))</f>
        <v>-3.7</v>
      </c>
      <c r="E20" s="133"/>
      <c r="F20" s="144">
        <f>'Skjema total MA'!E10</f>
        <v>82503571.93116501</v>
      </c>
      <c r="G20" s="144">
        <f>'Skjema total MA'!F10</f>
        <v>101754611.42249104</v>
      </c>
      <c r="H20" s="177">
        <f t="shared" si="2"/>
        <v>23.3</v>
      </c>
      <c r="I20" s="133"/>
      <c r="J20" s="144">
        <f t="shared" si="0"/>
        <v>98383788.188879043</v>
      </c>
      <c r="K20" s="144">
        <f t="shared" si="0"/>
        <v>117052755.21649802</v>
      </c>
      <c r="L20" s="175">
        <f t="shared" si="3"/>
        <v>19</v>
      </c>
      <c r="M20" s="48"/>
    </row>
    <row r="21" spans="1:15" ht="18.75" customHeight="1" x14ac:dyDescent="0.3">
      <c r="A21" s="77" t="s">
        <v>103</v>
      </c>
      <c r="B21" s="76">
        <f>'Skjema total MA'!B29</f>
        <v>43233004.963844411</v>
      </c>
      <c r="C21" s="76">
        <f>'Skjema total MA'!C29</f>
        <v>43541068.128634624</v>
      </c>
      <c r="D21" s="177">
        <f t="shared" ref="D21:D27" si="4">IF(B21=0, "    ---- ", IF(ABS(ROUND(100/B21*C21-100,1))&lt;999,ROUND(100/B21*C21-100,1),IF(ROUND(100/B21*C21-100,1)&gt;999,999,-999)))</f>
        <v>0.7</v>
      </c>
      <c r="E21" s="133"/>
      <c r="F21" s="144">
        <f>'Skjema total MA'!E29</f>
        <v>26263221.20513</v>
      </c>
      <c r="G21" s="144">
        <f>'Skjema total MA'!F29</f>
        <v>29688658.38284</v>
      </c>
      <c r="H21" s="177">
        <f t="shared" si="2"/>
        <v>13</v>
      </c>
      <c r="I21" s="133"/>
      <c r="J21" s="144">
        <f t="shared" si="0"/>
        <v>69496226.168974414</v>
      </c>
      <c r="K21" s="144">
        <f t="shared" si="0"/>
        <v>73229726.511474624</v>
      </c>
      <c r="L21" s="175">
        <f t="shared" si="3"/>
        <v>5.4</v>
      </c>
      <c r="M21" s="48"/>
    </row>
    <row r="22" spans="1:15" ht="18.75" x14ac:dyDescent="0.3">
      <c r="A22" s="77" t="s">
        <v>105</v>
      </c>
      <c r="B22" s="76">
        <f>'Skjema total MA'!B87</f>
        <v>396210719.48118377</v>
      </c>
      <c r="C22" s="76">
        <f>'Skjema total MA'!C87</f>
        <v>405944595.5139876</v>
      </c>
      <c r="D22" s="177">
        <f t="shared" si="4"/>
        <v>2.5</v>
      </c>
      <c r="E22" s="133"/>
      <c r="F22" s="144">
        <f>'Skjema total MA'!E87</f>
        <v>543777999.99286485</v>
      </c>
      <c r="G22" s="144">
        <f>'Skjema total MA'!F87</f>
        <v>665325030.94028997</v>
      </c>
      <c r="H22" s="177">
        <f t="shared" si="2"/>
        <v>22.4</v>
      </c>
      <c r="I22" s="133"/>
      <c r="J22" s="144">
        <f t="shared" si="0"/>
        <v>939988719.47404861</v>
      </c>
      <c r="K22" s="144">
        <f t="shared" si="0"/>
        <v>1071269626.4542775</v>
      </c>
      <c r="L22" s="175">
        <f t="shared" si="3"/>
        <v>14</v>
      </c>
      <c r="M22" s="48"/>
    </row>
    <row r="23" spans="1:15" ht="22.5" x14ac:dyDescent="0.3">
      <c r="A23" s="77" t="s">
        <v>110</v>
      </c>
      <c r="B23" s="76">
        <f>'Skjema total MA'!B89</f>
        <v>2213062.5095199998</v>
      </c>
      <c r="C23" s="76">
        <f>'Skjema total MA'!C89</f>
        <v>2423996.5242499998</v>
      </c>
      <c r="D23" s="177">
        <f t="shared" si="4"/>
        <v>9.5</v>
      </c>
      <c r="E23" s="133"/>
      <c r="F23" s="144">
        <f>'Skjema total MA'!E89</f>
        <v>535941632.63485491</v>
      </c>
      <c r="G23" s="144">
        <f>'Skjema total MA'!F89</f>
        <v>655020178.53183997</v>
      </c>
      <c r="H23" s="177">
        <f t="shared" si="2"/>
        <v>22.2</v>
      </c>
      <c r="I23" s="133"/>
      <c r="J23" s="144">
        <f t="shared" si="0"/>
        <v>538154695.14437497</v>
      </c>
      <c r="K23" s="144">
        <f t="shared" si="0"/>
        <v>657444175.05609</v>
      </c>
      <c r="L23" s="175">
        <f t="shared" si="3"/>
        <v>22.2</v>
      </c>
      <c r="M23" s="48"/>
    </row>
    <row r="24" spans="1:15" ht="18.75" x14ac:dyDescent="0.3">
      <c r="A24" s="142" t="s">
        <v>107</v>
      </c>
      <c r="B24" s="76">
        <f>'Skjema total MA'!B96+'Skjema total MA'!B97</f>
        <v>15703616.184899999</v>
      </c>
      <c r="C24" s="76">
        <f>'Skjema total MA'!C96+'Skjema total MA'!C97</f>
        <v>19266131.378680002</v>
      </c>
      <c r="D24" s="177">
        <f t="shared" si="4"/>
        <v>22.7</v>
      </c>
      <c r="E24" s="133"/>
      <c r="F24" s="144">
        <f>'Skjema total MA'!E96+'Skjema total MA'!E97</f>
        <v>7836367.3580099996</v>
      </c>
      <c r="G24" s="144">
        <f>'Skjema total MA'!F96+'Skjema total MA'!F97</f>
        <v>10304852.40845</v>
      </c>
      <c r="H24" s="177">
        <f t="shared" si="2"/>
        <v>31.5</v>
      </c>
      <c r="I24" s="133"/>
      <c r="J24" s="144">
        <f t="shared" si="0"/>
        <v>23539983.542909998</v>
      </c>
      <c r="K24" s="144">
        <f t="shared" si="0"/>
        <v>29570983.787130002</v>
      </c>
      <c r="L24" s="175">
        <f t="shared" si="3"/>
        <v>25.6</v>
      </c>
      <c r="M24" s="48"/>
    </row>
    <row r="25" spans="1:15" ht="22.5" x14ac:dyDescent="0.3">
      <c r="A25" s="77" t="s">
        <v>311</v>
      </c>
      <c r="B25" s="76">
        <f>'Skjema total MA'!B135</f>
        <v>825089505.16880989</v>
      </c>
      <c r="C25" s="76">
        <f>'Skjema total MA'!C135</f>
        <v>953621309.54842997</v>
      </c>
      <c r="D25" s="177">
        <f t="shared" si="4"/>
        <v>15.6</v>
      </c>
      <c r="E25" s="133"/>
      <c r="F25" s="144">
        <f>'Skjema total MA'!E135</f>
        <v>2769122.9589300002</v>
      </c>
      <c r="G25" s="144">
        <f>'Skjema total MA'!F135</f>
        <v>2886767.1387900002</v>
      </c>
      <c r="H25" s="177">
        <f t="shared" si="2"/>
        <v>4.2</v>
      </c>
      <c r="I25" s="133"/>
      <c r="J25" s="144">
        <f t="shared" si="0"/>
        <v>827858628.12773991</v>
      </c>
      <c r="K25" s="144">
        <f t="shared" si="0"/>
        <v>956508076.68721998</v>
      </c>
      <c r="L25" s="175">
        <f t="shared" si="3"/>
        <v>15.5</v>
      </c>
      <c r="M25" s="48"/>
    </row>
    <row r="26" spans="1:15" ht="18.75" x14ac:dyDescent="0.3">
      <c r="A26" s="77" t="s">
        <v>108</v>
      </c>
      <c r="B26" s="76">
        <f>'Skjema total MA'!B37</f>
        <v>2676868.9602299999</v>
      </c>
      <c r="C26" s="76">
        <f>'Skjema total MA'!C37</f>
        <v>2499130.8920299998</v>
      </c>
      <c r="D26" s="177">
        <f t="shared" si="4"/>
        <v>-6.6</v>
      </c>
      <c r="E26" s="133"/>
      <c r="F26" s="144">
        <f>'Skjema total MA'!E37</f>
        <v>0</v>
      </c>
      <c r="G26" s="144">
        <f>'Skjema total MA'!F37</f>
        <v>0</v>
      </c>
      <c r="H26" s="177"/>
      <c r="I26" s="133"/>
      <c r="J26" s="144">
        <f t="shared" si="0"/>
        <v>2676868.9602299999</v>
      </c>
      <c r="K26" s="144">
        <f t="shared" si="0"/>
        <v>2499130.8920299998</v>
      </c>
      <c r="L26" s="175">
        <f t="shared" si="3"/>
        <v>-6.6</v>
      </c>
      <c r="M26" s="48"/>
    </row>
    <row r="27" spans="1:15" s="102" customFormat="1" ht="18.75" x14ac:dyDescent="0.3">
      <c r="A27" s="103" t="s">
        <v>111</v>
      </c>
      <c r="B27" s="79">
        <f>'Tabel 1.1'!G32</f>
        <v>1283090314.8317821</v>
      </c>
      <c r="C27" s="146">
        <f>'Tabel 1.1'!H32</f>
        <v>1420904247.8770893</v>
      </c>
      <c r="D27" s="177">
        <f t="shared" si="4"/>
        <v>10.7</v>
      </c>
      <c r="E27" s="104"/>
      <c r="F27" s="146">
        <f>'Tabel 1.1'!G41</f>
        <v>655313916.08808994</v>
      </c>
      <c r="G27" s="146">
        <f>'Tabel 1.1'!H41</f>
        <v>799655067.88441086</v>
      </c>
      <c r="H27" s="177">
        <f t="shared" si="2"/>
        <v>22</v>
      </c>
      <c r="I27" s="104"/>
      <c r="J27" s="146">
        <f t="shared" si="0"/>
        <v>1938404230.919872</v>
      </c>
      <c r="K27" s="146">
        <f t="shared" si="0"/>
        <v>2220559315.7615004</v>
      </c>
      <c r="L27" s="175">
        <f t="shared" si="3"/>
        <v>14.6</v>
      </c>
      <c r="M27" s="49"/>
      <c r="N27" s="101"/>
      <c r="O27" s="101"/>
    </row>
    <row r="28" spans="1:15" ht="18.75" x14ac:dyDescent="0.3">
      <c r="A28" s="103"/>
      <c r="B28" s="76"/>
      <c r="C28" s="144"/>
      <c r="D28" s="177"/>
      <c r="E28" s="133"/>
      <c r="F28" s="144"/>
      <c r="G28" s="144"/>
      <c r="H28" s="177"/>
      <c r="I28" s="133"/>
      <c r="J28" s="144">
        <f t="shared" si="0"/>
        <v>0</v>
      </c>
      <c r="K28" s="144">
        <f t="shared" si="0"/>
        <v>0</v>
      </c>
      <c r="L28" s="175"/>
      <c r="M28" s="48"/>
    </row>
    <row r="29" spans="1:15" ht="22.5" x14ac:dyDescent="0.3">
      <c r="A29" s="141" t="s">
        <v>313</v>
      </c>
      <c r="B29" s="148"/>
      <c r="C29" s="151"/>
      <c r="D29" s="144"/>
      <c r="E29" s="133"/>
      <c r="F29" s="144"/>
      <c r="G29" s="144"/>
      <c r="H29" s="177"/>
      <c r="I29" s="133"/>
      <c r="J29" s="144"/>
      <c r="K29" s="144"/>
      <c r="L29" s="175"/>
      <c r="M29" s="48"/>
    </row>
    <row r="30" spans="1:15" ht="18.75" x14ac:dyDescent="0.3">
      <c r="A30" s="77" t="s">
        <v>102</v>
      </c>
      <c r="B30" s="76">
        <f>'Skjema total MA'!B11</f>
        <v>26026</v>
      </c>
      <c r="C30" s="76">
        <f>'Skjema total MA'!C11</f>
        <v>1517</v>
      </c>
      <c r="D30" s="177">
        <f>IF(B30=0, "    ---- ", IF(ABS(ROUND(100/B30*C30-100,1))&lt;999,ROUND(100/B30*C30-100,1),IF(ROUND(100/B30*C30-100,1)&gt;999,999,-999)))</f>
        <v>-94.2</v>
      </c>
      <c r="E30" s="133"/>
      <c r="F30" s="144">
        <f>'Skjema total MA'!E11</f>
        <v>237285.07452999998</v>
      </c>
      <c r="G30" s="144">
        <f>'Skjema total MA'!F11</f>
        <v>395869.34132000001</v>
      </c>
      <c r="H30" s="177">
        <f t="shared" si="2"/>
        <v>66.8</v>
      </c>
      <c r="I30" s="133"/>
      <c r="J30" s="144">
        <f t="shared" si="0"/>
        <v>263311.07452999998</v>
      </c>
      <c r="K30" s="144">
        <f t="shared" si="0"/>
        <v>397386.34132000001</v>
      </c>
      <c r="L30" s="175">
        <f t="shared" si="3"/>
        <v>50.9</v>
      </c>
      <c r="M30" s="48"/>
    </row>
    <row r="31" spans="1:15" ht="18.75" x14ac:dyDescent="0.3">
      <c r="A31" s="77" t="s">
        <v>103</v>
      </c>
      <c r="B31" s="76">
        <f>'Skjema total MA'!B34</f>
        <v>19992.180420000001</v>
      </c>
      <c r="C31" s="76">
        <f>'Skjema total MA'!C34</f>
        <v>48342.408739999999</v>
      </c>
      <c r="D31" s="177">
        <f t="shared" ref="D31:D38" si="5">IF(B31=0, "    ---- ", IF(ABS(ROUND(100/B31*C31-100,1))&lt;999,ROUND(100/B31*C31-100,1),IF(ROUND(100/B31*C31-100,1)&gt;999,999,-999)))</f>
        <v>141.80000000000001</v>
      </c>
      <c r="E31" s="133"/>
      <c r="F31" s="144">
        <f>'Skjema total MA'!E34</f>
        <v>312886.84065999993</v>
      </c>
      <c r="G31" s="144">
        <f>'Skjema total MA'!F34</f>
        <v>-426149.39205000002</v>
      </c>
      <c r="H31" s="177">
        <f t="shared" si="2"/>
        <v>-236.2</v>
      </c>
      <c r="I31" s="133"/>
      <c r="J31" s="144">
        <f t="shared" si="0"/>
        <v>332879.02107999992</v>
      </c>
      <c r="K31" s="144">
        <f t="shared" si="0"/>
        <v>-377806.98331000004</v>
      </c>
      <c r="L31" s="175">
        <f t="shared" si="3"/>
        <v>-213.5</v>
      </c>
      <c r="M31" s="48"/>
    </row>
    <row r="32" spans="1:15" ht="18.75" x14ac:dyDescent="0.3">
      <c r="A32" s="77" t="s">
        <v>105</v>
      </c>
      <c r="B32" s="76">
        <f>'Skjema total MA'!B111</f>
        <v>658865.04822999996</v>
      </c>
      <c r="C32" s="76">
        <f>'Skjema total MA'!C111</f>
        <v>564211.92837999994</v>
      </c>
      <c r="D32" s="177">
        <f t="shared" si="5"/>
        <v>-14.4</v>
      </c>
      <c r="E32" s="133"/>
      <c r="F32" s="144">
        <f>'Skjema total MA'!E111</f>
        <v>46255598.693280004</v>
      </c>
      <c r="G32" s="144">
        <f>'Skjema total MA'!F111</f>
        <v>50803519.795369998</v>
      </c>
      <c r="H32" s="177">
        <f t="shared" si="2"/>
        <v>9.8000000000000007</v>
      </c>
      <c r="I32" s="133"/>
      <c r="J32" s="144">
        <f t="shared" si="0"/>
        <v>46914463.741510004</v>
      </c>
      <c r="K32" s="144">
        <f t="shared" si="0"/>
        <v>51367731.723749995</v>
      </c>
      <c r="L32" s="175">
        <f t="shared" si="3"/>
        <v>9.5</v>
      </c>
      <c r="M32" s="48"/>
    </row>
    <row r="33" spans="1:15" ht="22.5" x14ac:dyDescent="0.3">
      <c r="A33" s="77" t="s">
        <v>311</v>
      </c>
      <c r="B33" s="76">
        <f>'Skjema total MA'!B136</f>
        <v>918742.10199999996</v>
      </c>
      <c r="C33" s="76">
        <f>'Skjema total MA'!C136</f>
        <v>2231569.9409999996</v>
      </c>
      <c r="D33" s="177">
        <f t="shared" si="5"/>
        <v>142.9</v>
      </c>
      <c r="E33" s="133"/>
      <c r="F33" s="144">
        <f>'Skjema total MA'!E136</f>
        <v>81.662000000000006</v>
      </c>
      <c r="G33" s="144">
        <f>'Skjema total MA'!F136</f>
        <v>-1022.97</v>
      </c>
      <c r="H33" s="177">
        <f t="shared" si="2"/>
        <v>-999</v>
      </c>
      <c r="I33" s="133"/>
      <c r="J33" s="144">
        <f t="shared" si="0"/>
        <v>918823.76399999997</v>
      </c>
      <c r="K33" s="144">
        <f t="shared" si="0"/>
        <v>2230546.9709999994</v>
      </c>
      <c r="L33" s="175">
        <f t="shared" si="3"/>
        <v>142.80000000000001</v>
      </c>
      <c r="M33" s="48"/>
    </row>
    <row r="34" spans="1:15" ht="18.75" x14ac:dyDescent="0.3">
      <c r="A34" s="77" t="s">
        <v>108</v>
      </c>
      <c r="B34" s="76">
        <f>'Skjema total MA'!B38</f>
        <v>0</v>
      </c>
      <c r="C34" s="76">
        <f>'Skjema total MA'!C38</f>
        <v>0</v>
      </c>
      <c r="D34" s="177"/>
      <c r="E34" s="133"/>
      <c r="F34" s="144">
        <f>'Skjema total MA'!E38</f>
        <v>0</v>
      </c>
      <c r="G34" s="144">
        <f>'Skjema total MA'!F38</f>
        <v>0</v>
      </c>
      <c r="H34" s="177"/>
      <c r="I34" s="133"/>
      <c r="J34" s="144">
        <f t="shared" si="0"/>
        <v>0</v>
      </c>
      <c r="K34" s="144">
        <f t="shared" si="0"/>
        <v>0</v>
      </c>
      <c r="L34" s="175"/>
      <c r="M34" s="48"/>
    </row>
    <row r="35" spans="1:15" s="102" customFormat="1" ht="18.75" x14ac:dyDescent="0.3">
      <c r="A35" s="103" t="s">
        <v>112</v>
      </c>
      <c r="B35" s="79">
        <f>SUM(B30:B34)</f>
        <v>1623625.3306499999</v>
      </c>
      <c r="C35" s="146">
        <f>SUM(C30:C34)</f>
        <v>2845641.2781199994</v>
      </c>
      <c r="D35" s="769">
        <f t="shared" si="5"/>
        <v>75.3</v>
      </c>
      <c r="E35" s="104"/>
      <c r="F35" s="146">
        <f>SUM(F30:F34)</f>
        <v>46805852.270470001</v>
      </c>
      <c r="G35" s="146">
        <f>SUM(G30:G34)</f>
        <v>50772216.774640001</v>
      </c>
      <c r="H35" s="769">
        <f t="shared" si="2"/>
        <v>8.5</v>
      </c>
      <c r="I35" s="104"/>
      <c r="J35" s="146">
        <f t="shared" si="0"/>
        <v>48429477.601120003</v>
      </c>
      <c r="K35" s="146">
        <f t="shared" si="0"/>
        <v>53617858.052759998</v>
      </c>
      <c r="L35" s="175">
        <f t="shared" si="3"/>
        <v>10.7</v>
      </c>
      <c r="M35" s="49"/>
    </row>
    <row r="36" spans="1:15" ht="18.75" x14ac:dyDescent="0.3">
      <c r="A36" s="103"/>
      <c r="B36" s="79"/>
      <c r="C36" s="146"/>
      <c r="D36" s="177"/>
      <c r="E36" s="104"/>
      <c r="F36" s="146"/>
      <c r="G36" s="146"/>
      <c r="H36" s="177"/>
      <c r="I36" s="104"/>
      <c r="J36" s="144"/>
      <c r="K36" s="144"/>
      <c r="L36" s="175"/>
      <c r="M36" s="48"/>
    </row>
    <row r="37" spans="1:15" ht="22.5" x14ac:dyDescent="0.3">
      <c r="A37" s="103" t="s">
        <v>314</v>
      </c>
      <c r="B37" s="79"/>
      <c r="C37" s="146"/>
      <c r="D37" s="144"/>
      <c r="E37" s="104"/>
      <c r="F37" s="146"/>
      <c r="G37" s="146"/>
      <c r="H37" s="177"/>
      <c r="I37" s="104"/>
      <c r="J37" s="144"/>
      <c r="K37" s="144"/>
      <c r="L37" s="175"/>
      <c r="M37" s="48"/>
    </row>
    <row r="38" spans="1:15" s="102" customFormat="1" ht="18.75" x14ac:dyDescent="0.3">
      <c r="A38" s="103" t="s">
        <v>104</v>
      </c>
      <c r="B38" s="79">
        <f>'Skjema total MA'!B53</f>
        <v>207957.59899999999</v>
      </c>
      <c r="C38" s="79">
        <f>'Skjema total MA'!C53</f>
        <v>219133.33467784812</v>
      </c>
      <c r="D38" s="177">
        <f t="shared" si="5"/>
        <v>5.4</v>
      </c>
      <c r="E38" s="104"/>
      <c r="F38" s="146"/>
      <c r="G38" s="146"/>
      <c r="H38" s="177"/>
      <c r="I38" s="104"/>
      <c r="J38" s="146">
        <f t="shared" si="0"/>
        <v>207957.59899999999</v>
      </c>
      <c r="K38" s="146">
        <f t="shared" si="0"/>
        <v>219133.33467784812</v>
      </c>
      <c r="L38" s="175">
        <f t="shared" si="3"/>
        <v>5.4</v>
      </c>
      <c r="M38" s="49"/>
    </row>
    <row r="39" spans="1:15" ht="18.75" x14ac:dyDescent="0.3">
      <c r="A39" s="103"/>
      <c r="B39" s="79"/>
      <c r="C39" s="146"/>
      <c r="D39" s="144"/>
      <c r="E39" s="104"/>
      <c r="F39" s="146"/>
      <c r="G39" s="146"/>
      <c r="H39" s="177"/>
      <c r="I39" s="104"/>
      <c r="J39" s="144"/>
      <c r="K39" s="144"/>
      <c r="L39" s="175"/>
      <c r="M39" s="48"/>
    </row>
    <row r="40" spans="1:15" ht="22.5" x14ac:dyDescent="0.3">
      <c r="A40" s="141" t="s">
        <v>315</v>
      </c>
      <c r="B40" s="148"/>
      <c r="C40" s="151"/>
      <c r="D40" s="144"/>
      <c r="E40" s="133"/>
      <c r="F40" s="144"/>
      <c r="G40" s="144"/>
      <c r="H40" s="177"/>
      <c r="I40" s="133"/>
      <c r="J40" s="144"/>
      <c r="K40" s="144"/>
      <c r="L40" s="175"/>
      <c r="M40" s="48"/>
    </row>
    <row r="41" spans="1:15" ht="18.75" x14ac:dyDescent="0.3">
      <c r="A41" s="77" t="s">
        <v>102</v>
      </c>
      <c r="B41" s="76">
        <f>'Skjema total MA'!B12</f>
        <v>3039</v>
      </c>
      <c r="C41" s="76">
        <f>'Skjema total MA'!C12</f>
        <v>1579</v>
      </c>
      <c r="D41" s="177">
        <f>IF(B41=0, "    ---- ", IF(ABS(ROUND(100/B41*C41-100,1))&lt;999,ROUND(100/B41*C41-100,1),IF(ROUND(100/B41*C41-100,1)&gt;999,999,-999)))</f>
        <v>-48</v>
      </c>
      <c r="E41" s="133"/>
      <c r="F41" s="144">
        <f>'Skjema total MA'!E12</f>
        <v>233317.68229000003</v>
      </c>
      <c r="G41" s="144">
        <f>'Skjema total MA'!F12</f>
        <v>390172.69474999997</v>
      </c>
      <c r="H41" s="177">
        <f t="shared" si="2"/>
        <v>67.2</v>
      </c>
      <c r="I41" s="133"/>
      <c r="J41" s="144">
        <f t="shared" si="0"/>
        <v>236356.68229000003</v>
      </c>
      <c r="K41" s="144">
        <f t="shared" si="0"/>
        <v>391751.69474999997</v>
      </c>
      <c r="L41" s="175">
        <f t="shared" si="3"/>
        <v>65.7</v>
      </c>
      <c r="M41" s="48"/>
    </row>
    <row r="42" spans="1:15" ht="18.75" x14ac:dyDescent="0.3">
      <c r="A42" s="77" t="s">
        <v>103</v>
      </c>
      <c r="B42" s="76">
        <f>'Skjema total MA'!B35</f>
        <v>-94485.066869999995</v>
      </c>
      <c r="C42" s="76">
        <f>'Skjema total MA'!C35</f>
        <v>-600888.58449000004</v>
      </c>
      <c r="D42" s="177">
        <f t="shared" ref="D42:D46" si="6">IF(B42=0, "    ---- ", IF(ABS(ROUND(100/B42*C42-100,1))&lt;999,ROUND(100/B42*C42-100,1),IF(ROUND(100/B42*C42-100,1)&gt;999,999,-999)))</f>
        <v>536</v>
      </c>
      <c r="E42" s="133"/>
      <c r="F42" s="144">
        <f>'Skjema total MA'!E35</f>
        <v>145511.62112999998</v>
      </c>
      <c r="G42" s="144">
        <f>'Skjema total MA'!F35</f>
        <v>217687.45806</v>
      </c>
      <c r="H42" s="177">
        <f t="shared" si="2"/>
        <v>49.6</v>
      </c>
      <c r="I42" s="133"/>
      <c r="J42" s="144">
        <f t="shared" si="0"/>
        <v>51026.55425999999</v>
      </c>
      <c r="K42" s="144">
        <f t="shared" si="0"/>
        <v>-383201.12643000006</v>
      </c>
      <c r="L42" s="175">
        <f t="shared" si="3"/>
        <v>-851</v>
      </c>
      <c r="M42" s="48"/>
    </row>
    <row r="43" spans="1:15" ht="18.75" x14ac:dyDescent="0.3">
      <c r="A43" s="77" t="s">
        <v>105</v>
      </c>
      <c r="B43" s="76">
        <f>'Skjema total MA'!B119</f>
        <v>496819.64397000044</v>
      </c>
      <c r="C43" s="76">
        <f>'Skjema total MA'!C119</f>
        <v>310085.11394000018</v>
      </c>
      <c r="D43" s="177">
        <f t="shared" si="6"/>
        <v>-37.6</v>
      </c>
      <c r="E43" s="133"/>
      <c r="F43" s="144">
        <f>'Skjema total MA'!E119</f>
        <v>48780195.431620002</v>
      </c>
      <c r="G43" s="144">
        <f>'Skjema total MA'!F119</f>
        <v>55958450.498789996</v>
      </c>
      <c r="H43" s="177">
        <f t="shared" si="2"/>
        <v>14.7</v>
      </c>
      <c r="I43" s="133"/>
      <c r="J43" s="144">
        <f t="shared" si="0"/>
        <v>49277015.07559</v>
      </c>
      <c r="K43" s="144">
        <f t="shared" si="0"/>
        <v>56268535.612729996</v>
      </c>
      <c r="L43" s="175">
        <f t="shared" si="3"/>
        <v>14.2</v>
      </c>
      <c r="M43" s="48"/>
    </row>
    <row r="44" spans="1:15" ht="22.5" x14ac:dyDescent="0.3">
      <c r="A44" s="77" t="s">
        <v>311</v>
      </c>
      <c r="B44" s="76">
        <f>'Skjema total MA'!B137</f>
        <v>2140651.1</v>
      </c>
      <c r="C44" s="76">
        <f>'Skjema total MA'!C137</f>
        <v>2423007.9249999998</v>
      </c>
      <c r="D44" s="177">
        <f t="shared" si="6"/>
        <v>13.2</v>
      </c>
      <c r="E44" s="133"/>
      <c r="F44" s="144">
        <f>'Skjema total MA'!E137</f>
        <v>0</v>
      </c>
      <c r="G44" s="144">
        <f>'Skjema total MA'!F137</f>
        <v>0</v>
      </c>
      <c r="H44" s="177"/>
      <c r="I44" s="133"/>
      <c r="J44" s="144">
        <f t="shared" si="0"/>
        <v>2140651.1</v>
      </c>
      <c r="K44" s="144">
        <f t="shared" si="0"/>
        <v>2423007.9249999998</v>
      </c>
      <c r="L44" s="175">
        <f t="shared" si="3"/>
        <v>13.2</v>
      </c>
      <c r="M44" s="48"/>
    </row>
    <row r="45" spans="1:15" ht="18.75" x14ac:dyDescent="0.3">
      <c r="A45" s="77" t="s">
        <v>108</v>
      </c>
      <c r="B45" s="76">
        <f>'Skjema total MA'!B39</f>
        <v>0</v>
      </c>
      <c r="C45" s="76">
        <f>'Skjema total MA'!C39</f>
        <v>0</v>
      </c>
      <c r="D45" s="177"/>
      <c r="E45" s="133"/>
      <c r="F45" s="144"/>
      <c r="G45" s="144"/>
      <c r="H45" s="177"/>
      <c r="I45" s="133"/>
      <c r="J45" s="144">
        <f t="shared" si="0"/>
        <v>0</v>
      </c>
      <c r="K45" s="144">
        <f t="shared" si="0"/>
        <v>0</v>
      </c>
      <c r="L45" s="175"/>
      <c r="M45" s="48"/>
    </row>
    <row r="46" spans="1:15" s="102" customFormat="1" ht="18.75" x14ac:dyDescent="0.3">
      <c r="A46" s="103" t="s">
        <v>113</v>
      </c>
      <c r="B46" s="79">
        <f>SUM(B41:B45)</f>
        <v>2546024.6771000004</v>
      </c>
      <c r="C46" s="146">
        <f>SUM(C41:C45)</f>
        <v>2133783.4544500001</v>
      </c>
      <c r="D46" s="177">
        <f t="shared" si="6"/>
        <v>-16.2</v>
      </c>
      <c r="E46" s="104"/>
      <c r="F46" s="146">
        <f>SUM(F41:F45)</f>
        <v>49159024.735040002</v>
      </c>
      <c r="G46" s="146">
        <f>SUM(G41:G45)</f>
        <v>56566310.651599996</v>
      </c>
      <c r="H46" s="177">
        <f t="shared" si="2"/>
        <v>15.1</v>
      </c>
      <c r="I46" s="104"/>
      <c r="J46" s="146">
        <f t="shared" si="0"/>
        <v>51705049.412140004</v>
      </c>
      <c r="K46" s="146">
        <f t="shared" si="0"/>
        <v>58700094.10605</v>
      </c>
      <c r="L46" s="175">
        <f t="shared" si="3"/>
        <v>13.5</v>
      </c>
      <c r="M46" s="49"/>
      <c r="N46" s="101"/>
      <c r="O46" s="101"/>
    </row>
    <row r="47" spans="1:15" ht="18.75" x14ac:dyDescent="0.3">
      <c r="A47" s="103"/>
      <c r="B47" s="79"/>
      <c r="C47" s="146"/>
      <c r="D47" s="144"/>
      <c r="E47" s="104"/>
      <c r="F47" s="146"/>
      <c r="G47" s="146"/>
      <c r="H47" s="177"/>
      <c r="I47" s="104"/>
      <c r="J47" s="144"/>
      <c r="K47" s="144"/>
      <c r="L47" s="175"/>
      <c r="M47" s="48"/>
    </row>
    <row r="48" spans="1:15" ht="22.5" x14ac:dyDescent="0.3">
      <c r="A48" s="103" t="s">
        <v>316</v>
      </c>
      <c r="B48" s="79"/>
      <c r="C48" s="146"/>
      <c r="D48" s="144"/>
      <c r="E48" s="104"/>
      <c r="F48" s="146"/>
      <c r="G48" s="146"/>
      <c r="H48" s="177"/>
      <c r="I48" s="104"/>
      <c r="J48" s="144"/>
      <c r="K48" s="144"/>
      <c r="L48" s="175"/>
      <c r="M48" s="48"/>
    </row>
    <row r="49" spans="1:15" s="102" customFormat="1" ht="18.75" x14ac:dyDescent="0.3">
      <c r="A49" s="103" t="s">
        <v>104</v>
      </c>
      <c r="B49" s="79">
        <f>'Skjema total MA'!B56</f>
        <v>124140.079</v>
      </c>
      <c r="C49" s="79">
        <f>'Skjema total MA'!C56</f>
        <v>239121.538</v>
      </c>
      <c r="D49" s="177">
        <f t="shared" ref="D49" si="7">IF(B49=0, "    ---- ", IF(ABS(ROUND(100/B49*C49-100,1))&lt;999,ROUND(100/B49*C49-100,1),IF(ROUND(100/B49*C49-100,1)&gt;999,999,-999)))</f>
        <v>92.6</v>
      </c>
      <c r="E49" s="104"/>
      <c r="F49" s="146"/>
      <c r="G49" s="146"/>
      <c r="H49" s="177"/>
      <c r="I49" s="104"/>
      <c r="J49" s="146">
        <f>SUM(B49+F49)</f>
        <v>124140.079</v>
      </c>
      <c r="K49" s="146">
        <f>SUM(C49+G49)</f>
        <v>239121.538</v>
      </c>
      <c r="L49" s="175">
        <f t="shared" si="3"/>
        <v>92.6</v>
      </c>
      <c r="M49" s="49"/>
    </row>
    <row r="50" spans="1:15" ht="18.75" x14ac:dyDescent="0.3">
      <c r="A50" s="103"/>
      <c r="B50" s="76"/>
      <c r="C50" s="144"/>
      <c r="D50" s="144"/>
      <c r="E50" s="133"/>
      <c r="F50" s="144"/>
      <c r="G50" s="144"/>
      <c r="H50" s="177"/>
      <c r="I50" s="133"/>
      <c r="J50" s="144"/>
      <c r="K50" s="144"/>
      <c r="L50" s="175"/>
      <c r="M50" s="48"/>
    </row>
    <row r="51" spans="1:15" ht="21.75" x14ac:dyDescent="0.3">
      <c r="A51" s="141" t="s">
        <v>317</v>
      </c>
      <c r="B51" s="76"/>
      <c r="C51" s="144"/>
      <c r="D51" s="144"/>
      <c r="E51" s="133"/>
      <c r="F51" s="144"/>
      <c r="G51" s="144"/>
      <c r="H51" s="177"/>
      <c r="I51" s="133"/>
      <c r="J51" s="144"/>
      <c r="K51" s="144"/>
      <c r="L51" s="175"/>
      <c r="M51" s="48"/>
    </row>
    <row r="52" spans="1:15" ht="18.75" x14ac:dyDescent="0.3">
      <c r="A52" s="77" t="s">
        <v>102</v>
      </c>
      <c r="B52" s="76">
        <f>B30-B41</f>
        <v>22987</v>
      </c>
      <c r="C52" s="144">
        <f>C30-C41</f>
        <v>-62</v>
      </c>
      <c r="D52" s="177">
        <f>IF(B52=0, "    ---- ", IF(ABS(ROUND(100/B52*C52-100,1))&lt;999,ROUND(100/B52*C52-100,1),IF(ROUND(100/B52*C52-100,1)&gt;999,999,-999)))</f>
        <v>-100.3</v>
      </c>
      <c r="E52" s="133"/>
      <c r="F52" s="144">
        <f>F30-F41</f>
        <v>3967.3922399999574</v>
      </c>
      <c r="G52" s="144">
        <f>G30-G41</f>
        <v>5696.6465700000408</v>
      </c>
      <c r="H52" s="177">
        <f t="shared" si="2"/>
        <v>43.6</v>
      </c>
      <c r="I52" s="133"/>
      <c r="J52" s="144">
        <f t="shared" si="0"/>
        <v>26954.392239999957</v>
      </c>
      <c r="K52" s="144">
        <f t="shared" si="0"/>
        <v>5634.6465700000408</v>
      </c>
      <c r="L52" s="175">
        <f t="shared" si="3"/>
        <v>-79.099999999999994</v>
      </c>
      <c r="M52" s="48"/>
    </row>
    <row r="53" spans="1:15" ht="18.75" x14ac:dyDescent="0.3">
      <c r="A53" s="77" t="s">
        <v>103</v>
      </c>
      <c r="B53" s="76">
        <f t="shared" ref="B53:C56" si="8">B31-B42</f>
        <v>114477.24729</v>
      </c>
      <c r="C53" s="144">
        <f t="shared" si="8"/>
        <v>649230.99323000002</v>
      </c>
      <c r="D53" s="177">
        <f t="shared" ref="D53:D60" si="9">IF(B53=0, "    ---- ", IF(ABS(ROUND(100/B53*C53-100,1))&lt;999,ROUND(100/B53*C53-100,1),IF(ROUND(100/B53*C53-100,1)&gt;999,999,-999)))</f>
        <v>467.1</v>
      </c>
      <c r="E53" s="133"/>
      <c r="F53" s="144">
        <f t="shared" ref="F53:G56" si="10">F31-F42</f>
        <v>167375.21952999994</v>
      </c>
      <c r="G53" s="144">
        <f t="shared" si="10"/>
        <v>-643836.85011</v>
      </c>
      <c r="H53" s="177">
        <f t="shared" si="2"/>
        <v>-484.7</v>
      </c>
      <c r="I53" s="133"/>
      <c r="J53" s="144">
        <f t="shared" si="0"/>
        <v>281852.46681999997</v>
      </c>
      <c r="K53" s="144">
        <f t="shared" si="0"/>
        <v>5394.1431200000225</v>
      </c>
      <c r="L53" s="175">
        <f t="shared" si="3"/>
        <v>-98.1</v>
      </c>
      <c r="M53" s="48"/>
    </row>
    <row r="54" spans="1:15" ht="18.75" x14ac:dyDescent="0.3">
      <c r="A54" s="77" t="s">
        <v>105</v>
      </c>
      <c r="B54" s="76">
        <f t="shared" si="8"/>
        <v>162045.40425999952</v>
      </c>
      <c r="C54" s="144">
        <f t="shared" si="8"/>
        <v>254126.81443999975</v>
      </c>
      <c r="D54" s="177">
        <f t="shared" si="9"/>
        <v>56.8</v>
      </c>
      <c r="E54" s="133"/>
      <c r="F54" s="144">
        <f t="shared" si="10"/>
        <v>-2524596.7383399978</v>
      </c>
      <c r="G54" s="144">
        <f t="shared" si="10"/>
        <v>-5154930.7034199983</v>
      </c>
      <c r="H54" s="177">
        <f t="shared" si="2"/>
        <v>104.2</v>
      </c>
      <c r="I54" s="133"/>
      <c r="J54" s="144">
        <f t="shared" si="0"/>
        <v>-2362551.3340799985</v>
      </c>
      <c r="K54" s="144">
        <f t="shared" si="0"/>
        <v>-4900803.8889799984</v>
      </c>
      <c r="L54" s="175">
        <f t="shared" si="3"/>
        <v>107.4</v>
      </c>
      <c r="M54" s="48"/>
    </row>
    <row r="55" spans="1:15" ht="22.5" x14ac:dyDescent="0.3">
      <c r="A55" s="77" t="s">
        <v>311</v>
      </c>
      <c r="B55" s="76">
        <f t="shared" si="8"/>
        <v>-1221908.9980000001</v>
      </c>
      <c r="C55" s="144">
        <f t="shared" si="8"/>
        <v>-191437.98400000017</v>
      </c>
      <c r="D55" s="177">
        <f t="shared" si="9"/>
        <v>-84.3</v>
      </c>
      <c r="E55" s="133"/>
      <c r="F55" s="144">
        <f t="shared" si="10"/>
        <v>81.662000000000006</v>
      </c>
      <c r="G55" s="144">
        <f t="shared" si="10"/>
        <v>-1022.97</v>
      </c>
      <c r="H55" s="177">
        <f t="shared" si="2"/>
        <v>-999</v>
      </c>
      <c r="I55" s="133"/>
      <c r="J55" s="144">
        <f t="shared" si="0"/>
        <v>-1221827.3360000001</v>
      </c>
      <c r="K55" s="144">
        <f t="shared" si="0"/>
        <v>-192460.95400000017</v>
      </c>
      <c r="L55" s="175">
        <f t="shared" si="3"/>
        <v>-84.2</v>
      </c>
      <c r="M55" s="48"/>
    </row>
    <row r="56" spans="1:15" ht="18.75" x14ac:dyDescent="0.3">
      <c r="A56" s="77" t="s">
        <v>108</v>
      </c>
      <c r="B56" s="76">
        <f t="shared" si="8"/>
        <v>0</v>
      </c>
      <c r="C56" s="144">
        <f t="shared" si="8"/>
        <v>0</v>
      </c>
      <c r="D56" s="177"/>
      <c r="E56" s="133"/>
      <c r="F56" s="144">
        <f t="shared" si="10"/>
        <v>0</v>
      </c>
      <c r="G56" s="144">
        <f t="shared" si="10"/>
        <v>0</v>
      </c>
      <c r="H56" s="177"/>
      <c r="I56" s="133"/>
      <c r="J56" s="144">
        <f t="shared" si="0"/>
        <v>0</v>
      </c>
      <c r="K56" s="144">
        <f t="shared" si="0"/>
        <v>0</v>
      </c>
      <c r="L56" s="175"/>
      <c r="M56" s="48"/>
    </row>
    <row r="57" spans="1:15" s="102" customFormat="1" ht="18.75" x14ac:dyDescent="0.3">
      <c r="A57" s="103" t="s">
        <v>114</v>
      </c>
      <c r="B57" s="79">
        <f>SUM(B52:B56)</f>
        <v>-922399.34645000065</v>
      </c>
      <c r="C57" s="146">
        <f>SUM(C52:C56)</f>
        <v>711857.82366999961</v>
      </c>
      <c r="D57" s="177">
        <f>IF(B57=0, "    ---- ", IF(ABS(ROUND(100/B57*C57-100,1))&lt;999,ROUND(100/B57*C57-100,1),IF(ROUND(100/B57*C57-100,1)&gt;999,999,-999)))</f>
        <v>-177.2</v>
      </c>
      <c r="E57" s="104"/>
      <c r="F57" s="146">
        <f>SUM(F52:F56)</f>
        <v>-2353172.464569998</v>
      </c>
      <c r="G57" s="146">
        <f>SUM(G52:G56)</f>
        <v>-5794093.8769599982</v>
      </c>
      <c r="H57" s="177">
        <f t="shared" si="2"/>
        <v>146.19999999999999</v>
      </c>
      <c r="I57" s="104"/>
      <c r="J57" s="146">
        <f t="shared" si="0"/>
        <v>-3275571.8110199985</v>
      </c>
      <c r="K57" s="144">
        <f t="shared" si="0"/>
        <v>-5082236.0532899983</v>
      </c>
      <c r="L57" s="175">
        <f t="shared" si="3"/>
        <v>55.2</v>
      </c>
      <c r="M57" s="49"/>
      <c r="N57" s="101"/>
      <c r="O57" s="101"/>
    </row>
    <row r="58" spans="1:15" ht="18.75" x14ac:dyDescent="0.3">
      <c r="A58" s="103"/>
      <c r="B58" s="79"/>
      <c r="C58" s="146"/>
      <c r="D58" s="177"/>
      <c r="E58" s="104"/>
      <c r="F58" s="146"/>
      <c r="G58" s="146"/>
      <c r="H58" s="177"/>
      <c r="I58" s="104"/>
      <c r="J58" s="146"/>
      <c r="K58" s="144"/>
      <c r="L58" s="175"/>
      <c r="M58" s="48"/>
    </row>
    <row r="59" spans="1:15" ht="22.5" x14ac:dyDescent="0.3">
      <c r="A59" s="103" t="s">
        <v>318</v>
      </c>
      <c r="B59" s="79"/>
      <c r="C59" s="146"/>
      <c r="D59" s="177"/>
      <c r="E59" s="104"/>
      <c r="F59" s="146"/>
      <c r="G59" s="146"/>
      <c r="H59" s="177"/>
      <c r="I59" s="104"/>
      <c r="J59" s="146"/>
      <c r="K59" s="144"/>
      <c r="L59" s="175"/>
      <c r="M59" s="48"/>
    </row>
    <row r="60" spans="1:15" s="102" customFormat="1" ht="18.75" x14ac:dyDescent="0.3">
      <c r="A60" s="103" t="s">
        <v>104</v>
      </c>
      <c r="B60" s="79">
        <f>B38-B49</f>
        <v>83817.51999999999</v>
      </c>
      <c r="C60" s="146">
        <f>C38-C49</f>
        <v>-19988.20332215188</v>
      </c>
      <c r="D60" s="177">
        <f t="shared" si="9"/>
        <v>-123.8</v>
      </c>
      <c r="E60" s="104"/>
      <c r="F60" s="146">
        <f>F38-F49</f>
        <v>0</v>
      </c>
      <c r="G60" s="146">
        <f>G38-G49</f>
        <v>0</v>
      </c>
      <c r="H60" s="177"/>
      <c r="I60" s="104"/>
      <c r="J60" s="146">
        <f t="shared" si="0"/>
        <v>83817.51999999999</v>
      </c>
      <c r="K60" s="144">
        <f t="shared" si="0"/>
        <v>-19988.20332215188</v>
      </c>
      <c r="L60" s="175">
        <f t="shared" si="3"/>
        <v>-123.8</v>
      </c>
      <c r="M60" s="49"/>
    </row>
    <row r="61" spans="1:15" s="102" customFormat="1" ht="18.75" x14ac:dyDescent="0.3">
      <c r="A61" s="143"/>
      <c r="B61" s="83"/>
      <c r="C61" s="147"/>
      <c r="D61" s="152"/>
      <c r="E61" s="104"/>
      <c r="F61" s="147"/>
      <c r="G61" s="147"/>
      <c r="H61" s="152"/>
      <c r="I61" s="104"/>
      <c r="J61" s="152"/>
      <c r="K61" s="152"/>
      <c r="L61" s="152"/>
      <c r="M61" s="49"/>
    </row>
    <row r="62" spans="1:15" ht="18.75" x14ac:dyDescent="0.3">
      <c r="A62" s="48" t="s">
        <v>115</v>
      </c>
      <c r="C62" s="51"/>
      <c r="D62" s="51"/>
      <c r="E62" s="51"/>
      <c r="F62" s="51"/>
      <c r="G62" s="48"/>
      <c r="H62" s="48"/>
      <c r="I62" s="48"/>
      <c r="J62" s="48"/>
      <c r="K62" s="48"/>
      <c r="L62" s="48"/>
      <c r="M62" s="48"/>
    </row>
    <row r="63" spans="1:15" ht="18.75" x14ac:dyDescent="0.3">
      <c r="A63" s="48" t="s">
        <v>116</v>
      </c>
      <c r="C63" s="51"/>
      <c r="D63" s="51"/>
      <c r="E63" s="51"/>
      <c r="F63" s="51"/>
      <c r="G63" s="48"/>
      <c r="H63" s="48"/>
      <c r="I63" s="48"/>
      <c r="J63" s="48"/>
      <c r="K63" s="48"/>
      <c r="L63" s="48"/>
      <c r="M63" s="48"/>
    </row>
    <row r="64" spans="1:15" ht="18.75" x14ac:dyDescent="0.3">
      <c r="A64" s="48" t="s">
        <v>95</v>
      </c>
      <c r="B64" s="48"/>
      <c r="C64" s="48"/>
      <c r="D64" s="48"/>
      <c r="E64" s="48"/>
      <c r="F64" s="48"/>
      <c r="G64" s="48"/>
      <c r="H64" s="48"/>
      <c r="I64" s="48"/>
      <c r="J64" s="48"/>
      <c r="K64" s="48"/>
      <c r="L64" s="48"/>
      <c r="M64" s="48"/>
    </row>
    <row r="65" spans="1:13" ht="18.75" x14ac:dyDescent="0.3">
      <c r="A65" s="48"/>
      <c r="C65" s="48"/>
      <c r="D65" s="48"/>
      <c r="E65" s="48"/>
      <c r="F65" s="48"/>
      <c r="G65" s="48"/>
      <c r="H65" s="48"/>
      <c r="I65" s="48"/>
      <c r="J65" s="48"/>
      <c r="K65" s="48"/>
      <c r="L65" s="48"/>
      <c r="M65" s="48"/>
    </row>
    <row r="66" spans="1:13" ht="18.75" x14ac:dyDescent="0.3">
      <c r="A66" s="48"/>
      <c r="B66" s="48"/>
      <c r="C66" s="48"/>
      <c r="D66" s="48"/>
      <c r="E66" s="48"/>
      <c r="F66" s="48"/>
      <c r="G66" s="48"/>
      <c r="H66" s="48"/>
      <c r="I66" s="48"/>
      <c r="J66" s="48"/>
      <c r="K66" s="48"/>
      <c r="L66" s="48"/>
      <c r="M66" s="48"/>
    </row>
    <row r="67" spans="1:13" ht="18.75" x14ac:dyDescent="0.3">
      <c r="A67" s="48"/>
      <c r="B67" s="48"/>
      <c r="C67" s="48"/>
      <c r="D67" s="48"/>
      <c r="E67" s="48"/>
      <c r="F67" s="48"/>
      <c r="G67" s="48"/>
      <c r="H67" s="48"/>
      <c r="I67" s="48"/>
      <c r="J67" s="48"/>
      <c r="K67" s="48"/>
      <c r="L67" s="48"/>
      <c r="M67" s="48"/>
    </row>
    <row r="68" spans="1:13" ht="18.75" x14ac:dyDescent="0.3">
      <c r="A68" s="48"/>
      <c r="B68" s="48"/>
      <c r="C68" s="48"/>
      <c r="D68" s="48"/>
      <c r="E68" s="48"/>
      <c r="F68" s="48"/>
      <c r="G68" s="48"/>
      <c r="H68" s="48"/>
      <c r="I68" s="48"/>
      <c r="J68" s="48"/>
      <c r="K68" s="48"/>
      <c r="L68" s="48"/>
      <c r="M68" s="48"/>
    </row>
    <row r="69" spans="1:13" ht="18.75" x14ac:dyDescent="0.3">
      <c r="A69" s="48"/>
      <c r="B69" s="48"/>
      <c r="C69" s="48"/>
      <c r="D69" s="48"/>
      <c r="E69" s="48"/>
      <c r="F69" s="48"/>
      <c r="G69" s="48"/>
      <c r="H69" s="48"/>
      <c r="I69" s="48"/>
      <c r="J69" s="48"/>
      <c r="K69" s="48"/>
      <c r="L69" s="48"/>
      <c r="M69" s="48"/>
    </row>
    <row r="70" spans="1:13" ht="18.75" x14ac:dyDescent="0.3">
      <c r="A70" s="48"/>
      <c r="B70" s="48"/>
      <c r="C70" s="48"/>
      <c r="D70" s="48"/>
      <c r="E70" s="48"/>
      <c r="F70" s="48"/>
      <c r="G70" s="48"/>
      <c r="H70" s="48"/>
      <c r="I70" s="48"/>
      <c r="J70" s="48"/>
      <c r="K70" s="48"/>
      <c r="L70" s="48"/>
      <c r="M70" s="48"/>
    </row>
    <row r="71" spans="1:13" ht="18.75" x14ac:dyDescent="0.3">
      <c r="A71" s="48"/>
      <c r="B71" s="48"/>
      <c r="C71" s="48"/>
      <c r="D71" s="48"/>
      <c r="E71" s="48"/>
      <c r="F71" s="48"/>
      <c r="G71" s="48"/>
      <c r="H71" s="48"/>
      <c r="I71" s="48"/>
      <c r="J71" s="48"/>
      <c r="K71" s="48"/>
      <c r="L71" s="48"/>
      <c r="M71" s="48"/>
    </row>
    <row r="72" spans="1:13" ht="18.75" x14ac:dyDescent="0.3">
      <c r="A72" s="48"/>
      <c r="B72" s="48"/>
      <c r="C72" s="48"/>
      <c r="D72" s="48"/>
      <c r="E72" s="48"/>
      <c r="F72" s="48"/>
      <c r="G72" s="48"/>
      <c r="H72" s="48"/>
      <c r="I72" s="48"/>
      <c r="J72" s="48"/>
      <c r="K72" s="48"/>
      <c r="L72" s="48"/>
      <c r="M72" s="48"/>
    </row>
    <row r="73" spans="1:13" ht="18.75" x14ac:dyDescent="0.3">
      <c r="A73" s="48"/>
      <c r="B73" s="48"/>
      <c r="C73" s="48"/>
      <c r="D73" s="48"/>
      <c r="E73" s="48"/>
      <c r="F73" s="48"/>
      <c r="G73" s="48"/>
      <c r="H73" s="48"/>
      <c r="I73" s="48"/>
      <c r="J73" s="48"/>
      <c r="K73" s="48"/>
      <c r="L73" s="48"/>
      <c r="M73" s="48"/>
    </row>
    <row r="74" spans="1:13" ht="18.75" x14ac:dyDescent="0.3">
      <c r="A74" s="48"/>
      <c r="B74" s="48"/>
      <c r="C74" s="48"/>
      <c r="D74" s="48"/>
      <c r="E74" s="48"/>
      <c r="F74" s="48"/>
      <c r="G74" s="48"/>
      <c r="H74" s="48"/>
      <c r="I74" s="48"/>
      <c r="J74" s="48"/>
      <c r="K74" s="48"/>
      <c r="L74" s="48"/>
      <c r="M74" s="48"/>
    </row>
    <row r="75" spans="1:13" ht="18.75" x14ac:dyDescent="0.3">
      <c r="A75" s="48"/>
      <c r="B75" s="48"/>
      <c r="C75" s="48"/>
      <c r="D75" s="48"/>
      <c r="E75" s="48"/>
      <c r="F75" s="48"/>
      <c r="G75" s="48"/>
      <c r="H75" s="48"/>
      <c r="I75" s="48"/>
      <c r="J75" s="48"/>
      <c r="K75" s="48"/>
      <c r="L75" s="48"/>
      <c r="M75" s="48"/>
    </row>
    <row r="76" spans="1:13" ht="18.75" x14ac:dyDescent="0.3">
      <c r="A76" s="48"/>
      <c r="B76" s="48"/>
      <c r="C76" s="48"/>
      <c r="D76" s="48"/>
      <c r="E76" s="48"/>
      <c r="F76" s="48"/>
      <c r="G76" s="48"/>
      <c r="H76" s="48"/>
      <c r="I76" s="48"/>
      <c r="J76" s="48"/>
      <c r="K76" s="48"/>
      <c r="L76" s="48"/>
      <c r="M76" s="48"/>
    </row>
    <row r="77" spans="1:13" ht="18.75" x14ac:dyDescent="0.3">
      <c r="A77" s="48"/>
      <c r="B77" s="48"/>
      <c r="C77" s="48"/>
      <c r="D77" s="48"/>
      <c r="E77" s="48"/>
      <c r="F77" s="48"/>
      <c r="G77" s="48"/>
      <c r="H77" s="48"/>
      <c r="I77" s="48"/>
      <c r="J77" s="48"/>
      <c r="K77" s="48"/>
      <c r="L77" s="48"/>
      <c r="M77" s="48"/>
    </row>
    <row r="78" spans="1:13" ht="18.75" x14ac:dyDescent="0.3">
      <c r="A78" s="48"/>
      <c r="B78" s="48"/>
      <c r="C78" s="48"/>
      <c r="D78" s="48"/>
      <c r="E78" s="48"/>
      <c r="F78" s="48"/>
      <c r="G78" s="48"/>
      <c r="H78" s="48"/>
      <c r="I78" s="48"/>
      <c r="J78" s="48"/>
      <c r="K78" s="48"/>
      <c r="L78" s="48"/>
      <c r="M78" s="48"/>
    </row>
    <row r="79" spans="1:13" ht="18.75" x14ac:dyDescent="0.3">
      <c r="A79" s="48"/>
      <c r="B79" s="48"/>
      <c r="C79" s="48"/>
      <c r="D79" s="48"/>
      <c r="E79" s="48"/>
      <c r="F79" s="48"/>
      <c r="G79" s="48"/>
      <c r="H79" s="48"/>
      <c r="I79" s="48"/>
      <c r="J79" s="48"/>
      <c r="K79" s="48"/>
      <c r="L79" s="48"/>
      <c r="M79" s="48"/>
    </row>
    <row r="80" spans="1:13" ht="18.75" x14ac:dyDescent="0.3">
      <c r="A80" s="48"/>
      <c r="B80" s="48"/>
      <c r="C80" s="48"/>
      <c r="D80" s="48"/>
      <c r="E80" s="48"/>
      <c r="F80" s="48"/>
      <c r="G80" s="48"/>
      <c r="H80" s="48"/>
      <c r="I80" s="48"/>
      <c r="J80" s="48"/>
      <c r="K80" s="48"/>
      <c r="L80" s="48"/>
      <c r="M80" s="48"/>
    </row>
    <row r="81" spans="1:13" ht="18.75" x14ac:dyDescent="0.3">
      <c r="A81" s="48"/>
      <c r="B81" s="48"/>
      <c r="C81" s="48"/>
      <c r="D81" s="48"/>
      <c r="E81" s="48"/>
      <c r="F81" s="48"/>
      <c r="G81" s="48"/>
      <c r="H81" s="48"/>
      <c r="I81" s="48"/>
      <c r="J81" s="48"/>
      <c r="K81" s="48"/>
      <c r="L81" s="48"/>
      <c r="M81" s="48"/>
    </row>
    <row r="82" spans="1:13" ht="18.75" x14ac:dyDescent="0.3">
      <c r="A82" s="48"/>
      <c r="B82" s="48"/>
      <c r="C82" s="48"/>
      <c r="D82" s="48"/>
      <c r="E82" s="48"/>
      <c r="F82" s="48"/>
      <c r="G82" s="48"/>
      <c r="H82" s="48"/>
      <c r="I82" s="48"/>
      <c r="J82" s="48"/>
      <c r="K82" s="48"/>
      <c r="L82" s="48"/>
      <c r="M82" s="48"/>
    </row>
    <row r="83" spans="1:13" ht="18.75" x14ac:dyDescent="0.3">
      <c r="A83" s="48"/>
      <c r="B83" s="48"/>
      <c r="C83" s="48"/>
      <c r="D83" s="48"/>
      <c r="E83" s="48"/>
      <c r="F83" s="48"/>
      <c r="G83" s="48"/>
      <c r="H83" s="48"/>
      <c r="I83" s="48"/>
      <c r="J83" s="48"/>
      <c r="K83" s="48"/>
      <c r="L83" s="48"/>
      <c r="M83" s="48"/>
    </row>
    <row r="84" spans="1:13" ht="18.75" x14ac:dyDescent="0.3">
      <c r="A84" s="48"/>
      <c r="B84" s="48"/>
      <c r="C84" s="48"/>
      <c r="D84" s="48"/>
      <c r="E84" s="48"/>
      <c r="F84" s="48"/>
      <c r="G84" s="48"/>
      <c r="H84" s="48"/>
      <c r="I84" s="48"/>
      <c r="J84" s="48"/>
      <c r="K84" s="48"/>
      <c r="L84" s="48"/>
      <c r="M84" s="48"/>
    </row>
    <row r="85" spans="1:13" ht="18.75" x14ac:dyDescent="0.3">
      <c r="A85" s="48"/>
      <c r="B85" s="48"/>
      <c r="C85" s="48"/>
      <c r="D85" s="48"/>
      <c r="E85" s="48"/>
      <c r="F85" s="48"/>
      <c r="G85" s="48"/>
      <c r="H85" s="48"/>
      <c r="I85" s="48"/>
      <c r="J85" s="48"/>
      <c r="K85" s="48"/>
      <c r="L85" s="48"/>
      <c r="M85" s="48"/>
    </row>
    <row r="86" spans="1:13" ht="18.75" x14ac:dyDescent="0.3">
      <c r="A86" s="48"/>
      <c r="B86" s="48"/>
      <c r="C86" s="48"/>
      <c r="D86" s="48"/>
      <c r="E86" s="48"/>
      <c r="F86" s="48"/>
      <c r="G86" s="48"/>
      <c r="H86" s="48"/>
      <c r="I86" s="48"/>
      <c r="J86" s="48"/>
      <c r="K86" s="48"/>
      <c r="L86" s="48"/>
      <c r="M86" s="48"/>
    </row>
    <row r="87" spans="1:13" ht="18.75" x14ac:dyDescent="0.3">
      <c r="A87" s="48"/>
      <c r="B87" s="48"/>
      <c r="C87" s="48"/>
      <c r="D87" s="48"/>
      <c r="E87" s="48"/>
      <c r="F87" s="48"/>
      <c r="G87" s="48"/>
      <c r="H87" s="48"/>
      <c r="I87" s="48"/>
      <c r="J87" s="48"/>
      <c r="K87" s="48"/>
      <c r="L87" s="48"/>
      <c r="M87" s="48"/>
    </row>
    <row r="88" spans="1:13" ht="18.75" x14ac:dyDescent="0.3">
      <c r="A88" s="48"/>
      <c r="B88" s="48"/>
      <c r="C88" s="48"/>
      <c r="D88" s="48"/>
      <c r="E88" s="48"/>
      <c r="F88" s="48"/>
      <c r="G88" s="48"/>
      <c r="H88" s="48"/>
      <c r="I88" s="48"/>
      <c r="J88" s="48"/>
      <c r="K88" s="48"/>
      <c r="L88" s="48"/>
      <c r="M88" s="48"/>
    </row>
    <row r="89" spans="1:13" ht="18.75" x14ac:dyDescent="0.3">
      <c r="A89" s="48"/>
      <c r="B89" s="48"/>
      <c r="C89" s="48"/>
      <c r="D89" s="48"/>
      <c r="E89" s="48"/>
      <c r="F89" s="48"/>
      <c r="G89" s="48"/>
      <c r="H89" s="48"/>
      <c r="I89" s="48"/>
      <c r="J89" s="48"/>
      <c r="K89" s="48"/>
      <c r="L89" s="48"/>
      <c r="M89" s="48"/>
    </row>
    <row r="90" spans="1:13" ht="18.75" x14ac:dyDescent="0.3">
      <c r="A90" s="48"/>
      <c r="B90" s="48"/>
      <c r="C90" s="48"/>
      <c r="D90" s="48"/>
      <c r="E90" s="48"/>
      <c r="F90" s="48"/>
      <c r="G90" s="48"/>
      <c r="H90" s="48"/>
      <c r="I90" s="48"/>
      <c r="J90" s="48"/>
      <c r="K90" s="48"/>
      <c r="L90" s="48"/>
      <c r="M90" s="48"/>
    </row>
    <row r="91" spans="1:13" ht="18.75" x14ac:dyDescent="0.3">
      <c r="A91" s="48"/>
      <c r="B91" s="48"/>
      <c r="C91" s="48"/>
      <c r="D91" s="48"/>
      <c r="E91" s="48"/>
      <c r="F91" s="48"/>
      <c r="G91" s="48"/>
      <c r="H91" s="48"/>
      <c r="I91" s="48"/>
      <c r="J91" s="48"/>
      <c r="K91" s="48"/>
      <c r="L91" s="48"/>
      <c r="M91" s="48"/>
    </row>
    <row r="92" spans="1:13" ht="18.75" x14ac:dyDescent="0.3">
      <c r="A92" s="48"/>
      <c r="B92" s="48"/>
      <c r="C92" s="48"/>
      <c r="D92" s="48"/>
      <c r="E92" s="48"/>
      <c r="F92" s="48"/>
      <c r="G92" s="48"/>
      <c r="H92" s="48"/>
      <c r="I92" s="48"/>
      <c r="J92" s="48"/>
      <c r="K92" s="48"/>
      <c r="L92" s="48"/>
      <c r="M92" s="48"/>
    </row>
    <row r="93" spans="1:13" ht="18.75" x14ac:dyDescent="0.3">
      <c r="A93" s="48"/>
      <c r="B93" s="48"/>
      <c r="C93" s="48"/>
      <c r="D93" s="48"/>
      <c r="E93" s="48"/>
      <c r="F93" s="48"/>
      <c r="G93" s="48"/>
      <c r="H93" s="48"/>
      <c r="I93" s="48"/>
      <c r="J93" s="48"/>
      <c r="K93" s="48"/>
      <c r="L93" s="48"/>
      <c r="M93" s="48"/>
    </row>
    <row r="94" spans="1:13" ht="18.75" x14ac:dyDescent="0.3">
      <c r="A94" s="48"/>
      <c r="B94" s="48"/>
      <c r="C94" s="48"/>
      <c r="D94" s="48"/>
      <c r="E94" s="48"/>
      <c r="F94" s="48"/>
      <c r="G94" s="48"/>
      <c r="H94" s="48"/>
      <c r="I94" s="48"/>
      <c r="J94" s="48"/>
      <c r="K94" s="48"/>
      <c r="L94" s="48"/>
      <c r="M94" s="48"/>
    </row>
    <row r="95" spans="1:13" ht="18.75" x14ac:dyDescent="0.3">
      <c r="A95" s="48"/>
      <c r="B95" s="48"/>
      <c r="C95" s="48"/>
      <c r="D95" s="48"/>
      <c r="E95" s="48"/>
      <c r="F95" s="48"/>
      <c r="G95" s="48"/>
      <c r="H95" s="48"/>
      <c r="I95" s="48"/>
      <c r="J95" s="48"/>
      <c r="K95" s="48"/>
      <c r="L95" s="48"/>
      <c r="M95" s="48"/>
    </row>
    <row r="96" spans="1:13" ht="18.75" x14ac:dyDescent="0.3">
      <c r="A96" s="48"/>
      <c r="B96" s="48"/>
      <c r="C96" s="48"/>
      <c r="D96" s="48"/>
      <c r="E96" s="48"/>
      <c r="F96" s="48"/>
      <c r="G96" s="48"/>
      <c r="H96" s="48"/>
      <c r="I96" s="48"/>
      <c r="J96" s="48"/>
      <c r="K96" s="48"/>
      <c r="L96" s="48"/>
      <c r="M96" s="48"/>
    </row>
    <row r="97" spans="1:13" ht="18.75" x14ac:dyDescent="0.3">
      <c r="A97" s="48"/>
      <c r="B97" s="48"/>
      <c r="C97" s="48"/>
      <c r="D97" s="48"/>
      <c r="E97" s="48"/>
      <c r="F97" s="48"/>
      <c r="G97" s="48"/>
      <c r="H97" s="48"/>
      <c r="I97" s="48"/>
      <c r="J97" s="48"/>
      <c r="K97" s="48"/>
      <c r="L97" s="48"/>
      <c r="M97" s="48"/>
    </row>
    <row r="98" spans="1:13" ht="18.75" x14ac:dyDescent="0.3">
      <c r="A98" s="48"/>
      <c r="B98" s="48"/>
      <c r="C98" s="48"/>
      <c r="D98" s="48"/>
      <c r="E98" s="48"/>
      <c r="F98" s="48"/>
      <c r="G98" s="48"/>
      <c r="H98" s="48"/>
      <c r="I98" s="48"/>
      <c r="J98" s="48"/>
      <c r="K98" s="48"/>
      <c r="L98" s="48"/>
      <c r="M98" s="48"/>
    </row>
    <row r="99" spans="1:13" ht="18.75" x14ac:dyDescent="0.3">
      <c r="A99" s="48"/>
      <c r="B99" s="48"/>
      <c r="C99" s="48"/>
      <c r="D99" s="48"/>
      <c r="E99" s="48"/>
      <c r="F99" s="48"/>
      <c r="G99" s="48"/>
      <c r="H99" s="48"/>
      <c r="I99" s="48"/>
      <c r="J99" s="48"/>
      <c r="K99" s="48"/>
      <c r="L99" s="48"/>
      <c r="M99" s="48"/>
    </row>
    <row r="100" spans="1:13" ht="18.75" x14ac:dyDescent="0.3">
      <c r="A100" s="48"/>
      <c r="B100" s="48"/>
      <c r="C100" s="48"/>
      <c r="D100" s="48"/>
      <c r="E100" s="48"/>
      <c r="F100" s="48"/>
      <c r="G100" s="48"/>
      <c r="H100" s="48"/>
      <c r="I100" s="48"/>
      <c r="J100" s="48"/>
      <c r="K100" s="48"/>
      <c r="L100" s="48"/>
      <c r="M100" s="48"/>
    </row>
    <row r="101" spans="1:13" ht="18.75" x14ac:dyDescent="0.3">
      <c r="A101" s="48"/>
      <c r="B101" s="48"/>
      <c r="C101" s="48"/>
      <c r="D101" s="48"/>
      <c r="E101" s="48"/>
      <c r="F101" s="48"/>
      <c r="G101" s="48"/>
      <c r="H101" s="48"/>
      <c r="I101" s="48"/>
      <c r="J101" s="48"/>
      <c r="K101" s="48"/>
      <c r="L101" s="48"/>
      <c r="M101" s="48"/>
    </row>
    <row r="102" spans="1:13" ht="18.75" x14ac:dyDescent="0.3">
      <c r="A102" s="48"/>
      <c r="B102" s="48"/>
      <c r="C102" s="48"/>
      <c r="D102" s="48"/>
      <c r="E102" s="48"/>
      <c r="F102" s="48"/>
      <c r="G102" s="48"/>
      <c r="H102" s="48"/>
      <c r="I102" s="48"/>
      <c r="J102" s="48"/>
      <c r="K102" s="48"/>
      <c r="L102" s="48"/>
      <c r="M102" s="48"/>
    </row>
    <row r="103" spans="1:13" ht="18.75" x14ac:dyDescent="0.3">
      <c r="A103" s="48"/>
      <c r="B103" s="48"/>
      <c r="C103" s="48"/>
      <c r="D103" s="48"/>
      <c r="E103" s="48"/>
      <c r="F103" s="48"/>
      <c r="G103" s="48"/>
      <c r="H103" s="48"/>
      <c r="I103" s="48"/>
      <c r="J103" s="48"/>
      <c r="K103" s="48"/>
      <c r="L103" s="48"/>
      <c r="M103" s="48"/>
    </row>
    <row r="104" spans="1:13" ht="18.75" x14ac:dyDescent="0.3">
      <c r="A104" s="48"/>
      <c r="B104" s="48"/>
      <c r="C104" s="48"/>
      <c r="D104" s="48"/>
      <c r="E104" s="48"/>
      <c r="F104" s="48"/>
      <c r="G104" s="48"/>
      <c r="H104" s="48"/>
      <c r="I104" s="48"/>
      <c r="J104" s="48"/>
      <c r="K104" s="48"/>
      <c r="L104" s="48"/>
      <c r="M104" s="48"/>
    </row>
    <row r="105" spans="1:13" ht="18.75" x14ac:dyDescent="0.3">
      <c r="A105" s="48"/>
      <c r="B105" s="48"/>
      <c r="C105" s="48"/>
      <c r="D105" s="48"/>
      <c r="E105" s="48"/>
      <c r="F105" s="48"/>
      <c r="G105" s="48"/>
      <c r="H105" s="48"/>
      <c r="I105" s="48"/>
      <c r="J105" s="48"/>
      <c r="K105" s="48"/>
      <c r="L105" s="48"/>
      <c r="M105" s="48"/>
    </row>
    <row r="106" spans="1:13" ht="18.75" x14ac:dyDescent="0.3">
      <c r="A106" s="48"/>
      <c r="B106" s="48"/>
      <c r="C106" s="48"/>
      <c r="D106" s="48"/>
      <c r="E106" s="48"/>
      <c r="F106" s="48"/>
      <c r="G106" s="48"/>
      <c r="H106" s="48"/>
      <c r="I106" s="48"/>
      <c r="J106" s="48"/>
      <c r="K106" s="48"/>
      <c r="L106" s="48"/>
      <c r="M106" s="48"/>
    </row>
    <row r="107" spans="1:13" ht="18.75" x14ac:dyDescent="0.3">
      <c r="A107" s="48"/>
      <c r="B107" s="48"/>
      <c r="C107" s="48"/>
      <c r="D107" s="48"/>
      <c r="E107" s="48"/>
      <c r="F107" s="48"/>
      <c r="G107" s="48"/>
      <c r="H107" s="48"/>
      <c r="I107" s="48"/>
      <c r="J107" s="48"/>
      <c r="K107" s="48"/>
      <c r="L107" s="48"/>
      <c r="M107" s="48"/>
    </row>
    <row r="108" spans="1:13" ht="18.75" x14ac:dyDescent="0.3">
      <c r="A108" s="48"/>
      <c r="B108" s="48"/>
      <c r="C108" s="48"/>
      <c r="D108" s="48"/>
      <c r="E108" s="48"/>
      <c r="F108" s="48"/>
      <c r="G108" s="48"/>
      <c r="H108" s="48"/>
      <c r="I108" s="48"/>
      <c r="J108" s="48"/>
      <c r="K108" s="48"/>
      <c r="L108" s="48"/>
      <c r="M108" s="48"/>
    </row>
    <row r="109" spans="1:13" ht="18.75" x14ac:dyDescent="0.3">
      <c r="A109" s="48"/>
      <c r="B109" s="48"/>
      <c r="C109" s="48"/>
      <c r="D109" s="48"/>
      <c r="E109" s="48"/>
      <c r="F109" s="48"/>
      <c r="G109" s="48"/>
      <c r="H109" s="48"/>
      <c r="I109" s="48"/>
      <c r="J109" s="48"/>
      <c r="K109" s="48"/>
      <c r="L109" s="48"/>
      <c r="M109" s="48"/>
    </row>
    <row r="110" spans="1:13" ht="18.75" x14ac:dyDescent="0.3">
      <c r="A110" s="48"/>
      <c r="B110" s="48"/>
      <c r="C110" s="48"/>
      <c r="D110" s="48"/>
      <c r="E110" s="48"/>
      <c r="F110" s="48"/>
      <c r="G110" s="48"/>
      <c r="H110" s="48"/>
      <c r="I110" s="48"/>
      <c r="J110" s="48"/>
      <c r="K110" s="48"/>
      <c r="L110" s="48"/>
      <c r="M110" s="48"/>
    </row>
    <row r="111" spans="1:13" ht="18.75" x14ac:dyDescent="0.3">
      <c r="A111" s="48"/>
      <c r="B111" s="48"/>
      <c r="C111" s="48"/>
      <c r="D111" s="48"/>
      <c r="E111" s="48"/>
      <c r="F111" s="48"/>
      <c r="G111" s="48"/>
      <c r="H111" s="48"/>
      <c r="I111" s="48"/>
      <c r="J111" s="48"/>
      <c r="K111" s="48"/>
      <c r="L111" s="48"/>
      <c r="M111" s="48"/>
    </row>
    <row r="112" spans="1:13" ht="18.75" x14ac:dyDescent="0.3">
      <c r="A112" s="48"/>
      <c r="B112" s="48"/>
      <c r="C112" s="48"/>
      <c r="D112" s="48"/>
      <c r="E112" s="48"/>
      <c r="F112" s="48"/>
      <c r="G112" s="48"/>
      <c r="H112" s="48"/>
      <c r="I112" s="48"/>
      <c r="J112" s="48"/>
      <c r="K112" s="48"/>
      <c r="L112" s="48"/>
      <c r="M112" s="48"/>
    </row>
    <row r="113" spans="1:13" ht="18.75" x14ac:dyDescent="0.3">
      <c r="A113" s="48"/>
      <c r="B113" s="48"/>
      <c r="C113" s="48"/>
      <c r="D113" s="48"/>
      <c r="E113" s="48"/>
      <c r="F113" s="48"/>
      <c r="G113" s="48"/>
      <c r="H113" s="48"/>
      <c r="I113" s="48"/>
      <c r="J113" s="48"/>
      <c r="K113" s="48"/>
      <c r="L113" s="48"/>
      <c r="M113" s="48"/>
    </row>
    <row r="114" spans="1:13" ht="18.75" x14ac:dyDescent="0.3">
      <c r="A114" s="48"/>
      <c r="B114" s="48"/>
      <c r="C114" s="48"/>
      <c r="D114" s="48"/>
      <c r="E114" s="48"/>
      <c r="F114" s="48"/>
      <c r="G114" s="48"/>
      <c r="H114" s="48"/>
      <c r="I114" s="48"/>
      <c r="J114" s="48"/>
      <c r="K114" s="48"/>
      <c r="L114" s="48"/>
      <c r="M114" s="48"/>
    </row>
    <row r="115" spans="1:13" ht="18.75" x14ac:dyDescent="0.3">
      <c r="A115" s="48"/>
      <c r="B115" s="48"/>
      <c r="C115" s="48"/>
      <c r="D115" s="48"/>
      <c r="E115" s="48"/>
      <c r="F115" s="48"/>
      <c r="G115" s="48"/>
      <c r="H115" s="48"/>
      <c r="I115" s="48"/>
      <c r="J115" s="48"/>
      <c r="K115" s="48"/>
      <c r="L115" s="48"/>
      <c r="M115" s="4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K92"/>
  <sheetViews>
    <sheetView showGridLines="0" zoomScale="70" zoomScaleNormal="70" workbookViewId="0">
      <pane xSplit="1" ySplit="7" topLeftCell="B10" activePane="bottomRight" state="frozen"/>
      <selection activeCell="H73" sqref="H73"/>
      <selection pane="topRight" activeCell="H73" sqref="H73"/>
      <selection pane="bottomLeft" activeCell="H73" sqref="H73"/>
      <selection pane="bottomRight" activeCell="A5" sqref="A5"/>
    </sheetView>
  </sheetViews>
  <sheetFormatPr baseColWidth="10" defaultColWidth="11.42578125" defaultRowHeight="18" x14ac:dyDescent="0.25"/>
  <cols>
    <col min="1" max="1" width="35.7109375" style="53" customWidth="1"/>
    <col min="2" max="2" width="18.28515625" style="53" customWidth="1"/>
    <col min="3" max="3" width="17.7109375" style="53" customWidth="1"/>
    <col min="4" max="4" width="11.7109375" style="53" customWidth="1"/>
    <col min="5" max="5" width="4.7109375" style="53" customWidth="1"/>
    <col min="6" max="7" width="13" style="53" customWidth="1"/>
    <col min="8" max="8" width="11.7109375" style="53" customWidth="1"/>
    <col min="9" max="9" width="12.42578125" style="53" customWidth="1"/>
    <col min="10" max="10" width="11.42578125" style="53"/>
    <col min="11" max="12" width="17.28515625" style="53" bestFit="1" customWidth="1"/>
    <col min="13" max="16384" width="11.42578125" style="53"/>
  </cols>
  <sheetData>
    <row r="1" spans="1:11" ht="18.75" customHeight="1" x14ac:dyDescent="0.3">
      <c r="A1" s="52" t="s">
        <v>72</v>
      </c>
      <c r="B1" s="47" t="s">
        <v>52</v>
      </c>
      <c r="C1" s="52"/>
      <c r="D1" s="52"/>
      <c r="E1" s="52"/>
      <c r="F1" s="48"/>
      <c r="G1" s="48"/>
      <c r="H1" s="48"/>
      <c r="I1" s="48"/>
      <c r="J1" s="48"/>
    </row>
    <row r="2" spans="1:11" ht="20.100000000000001" customHeight="1" x14ac:dyDescent="0.3">
      <c r="A2" s="52" t="s">
        <v>140</v>
      </c>
      <c r="B2" s="52"/>
      <c r="C2" s="632"/>
      <c r="D2" s="52"/>
      <c r="E2" s="52"/>
      <c r="F2" s="48"/>
      <c r="G2" s="48"/>
      <c r="H2" s="48"/>
      <c r="I2" s="48"/>
      <c r="J2" s="48"/>
    </row>
    <row r="3" spans="1:11" ht="20.100000000000001" customHeight="1" x14ac:dyDescent="0.3">
      <c r="A3" s="49"/>
      <c r="B3" s="49"/>
      <c r="C3" s="49"/>
      <c r="D3" s="49"/>
      <c r="E3" s="49"/>
      <c r="F3" s="48"/>
      <c r="G3" s="48"/>
      <c r="H3" s="48"/>
      <c r="I3" s="48"/>
      <c r="J3" s="48"/>
    </row>
    <row r="4" spans="1:11" ht="20.100000000000001" customHeight="1" x14ac:dyDescent="0.3">
      <c r="A4" s="200"/>
      <c r="B4" s="777" t="s">
        <v>141</v>
      </c>
      <c r="C4" s="777"/>
      <c r="D4" s="778"/>
      <c r="E4" s="61"/>
      <c r="F4" s="779" t="s">
        <v>141</v>
      </c>
      <c r="G4" s="777"/>
      <c r="H4" s="778"/>
      <c r="I4" s="48"/>
      <c r="J4" s="48"/>
    </row>
    <row r="5" spans="1:11" ht="18.75" customHeight="1" x14ac:dyDescent="0.3">
      <c r="A5" s="633" t="s">
        <v>320</v>
      </c>
      <c r="B5" s="780" t="s">
        <v>142</v>
      </c>
      <c r="C5" s="781"/>
      <c r="D5" s="782"/>
      <c r="E5" s="634"/>
      <c r="F5" s="783" t="s">
        <v>143</v>
      </c>
      <c r="G5" s="784"/>
      <c r="H5" s="785"/>
      <c r="I5" s="48"/>
      <c r="J5" s="48"/>
    </row>
    <row r="6" spans="1:11" ht="18.75" customHeight="1" x14ac:dyDescent="0.3">
      <c r="A6" s="90"/>
      <c r="B6" s="88"/>
      <c r="C6" s="141"/>
      <c r="D6" s="201" t="s">
        <v>76</v>
      </c>
      <c r="E6" s="201"/>
      <c r="F6" s="91"/>
      <c r="G6" s="92"/>
      <c r="H6" s="66" t="s">
        <v>76</v>
      </c>
      <c r="I6" s="72"/>
      <c r="J6" s="48"/>
    </row>
    <row r="7" spans="1:11" ht="18.75" customHeight="1" x14ac:dyDescent="0.3">
      <c r="A7" s="94"/>
      <c r="B7" s="69">
        <v>2023</v>
      </c>
      <c r="C7" s="69">
        <v>2024</v>
      </c>
      <c r="D7" s="202" t="s">
        <v>78</v>
      </c>
      <c r="E7" s="201"/>
      <c r="F7" s="69">
        <v>2023</v>
      </c>
      <c r="G7" s="95">
        <v>2024</v>
      </c>
      <c r="H7" s="203" t="s">
        <v>78</v>
      </c>
      <c r="I7" s="72"/>
      <c r="J7" s="48"/>
    </row>
    <row r="8" spans="1:11" ht="18.75" customHeight="1" x14ac:dyDescent="0.3">
      <c r="A8" s="73" t="s">
        <v>144</v>
      </c>
      <c r="B8" s="78">
        <f>SUM(B9:B14)</f>
        <v>203972.2510255262</v>
      </c>
      <c r="C8" s="78">
        <f>SUM(C9:C14)</f>
        <v>209244.13794633996</v>
      </c>
      <c r="D8" s="204">
        <f t="shared" ref="D8:D38" si="0">IF(B8=0, "    ---- ", IF(ABS(ROUND(100/B8*C8-100,1))&lt;999,ROUND(100/B8*C8-100,1),IF(ROUND(100/B8*C8-100,1)&gt;999,999,-999)))</f>
        <v>2.6</v>
      </c>
      <c r="E8" s="205"/>
      <c r="F8" s="204">
        <f>SUM(F9:F14)</f>
        <v>99.999999999999986</v>
      </c>
      <c r="G8" s="204">
        <f>SUM(G9:G14)</f>
        <v>99.999999999999986</v>
      </c>
      <c r="H8" s="205">
        <f t="shared" ref="H8:H38" si="1">IF(F8=0, "    ---- ", IF(ABS(ROUND(100/F8*G8-100,1))&lt;999,ROUND(100/F8*G8-100,1),IF(ROUND(100/F8*G8-100,1)&gt;999,999,-999)))</f>
        <v>0</v>
      </c>
      <c r="I8" s="76"/>
      <c r="J8" s="48"/>
    </row>
    <row r="9" spans="1:11" ht="18.75" customHeight="1" x14ac:dyDescent="0.3">
      <c r="A9" s="58" t="s">
        <v>145</v>
      </c>
      <c r="B9" s="76">
        <f>'Tabell 6'!AI21</f>
        <v>5948.1164656499996</v>
      </c>
      <c r="C9" s="76">
        <f>'Tabell 6'!AJ21</f>
        <v>3918.3338349000001</v>
      </c>
      <c r="D9" s="206">
        <f t="shared" si="0"/>
        <v>-34.1</v>
      </c>
      <c r="E9" s="206"/>
      <c r="F9" s="206">
        <f>'Tabell 6'!AI21/'Tabell 6'!AI29*100</f>
        <v>2.9161400316681405</v>
      </c>
      <c r="G9" s="206">
        <f>'Tabell 6'!AJ21/'Tabell 6'!AJ29*100</f>
        <v>1.8726134329769586</v>
      </c>
      <c r="H9" s="207">
        <f t="shared" si="1"/>
        <v>-35.799999999999997</v>
      </c>
      <c r="I9" s="76"/>
      <c r="J9" s="51"/>
    </row>
    <row r="10" spans="1:11" ht="18.75" customHeight="1" x14ac:dyDescent="0.3">
      <c r="A10" s="77" t="s">
        <v>467</v>
      </c>
      <c r="B10" s="75">
        <f>'Tabell 6'!AI17+'Tabell 6'!AI22</f>
        <v>74163.199650780007</v>
      </c>
      <c r="C10" s="75">
        <f>'Tabell 6'!AJ17+'Tabell 6'!AJ22</f>
        <v>76530.216971049987</v>
      </c>
      <c r="D10" s="206">
        <f t="shared" si="0"/>
        <v>3.2</v>
      </c>
      <c r="E10" s="206"/>
      <c r="F10" s="206">
        <f>('Tabell 6'!AI17+'Tabell 6'!AI22)/'Tabell 6'!AI29*100</f>
        <v>36.359455405283938</v>
      </c>
      <c r="G10" s="206">
        <f>('Tabell 6'!AJ17+'Tabell 6'!AJ22)/'Tabell 6'!AJ29*100</f>
        <v>36.574605015064229</v>
      </c>
      <c r="H10" s="207">
        <f t="shared" si="1"/>
        <v>0.6</v>
      </c>
      <c r="I10" s="76"/>
      <c r="J10" s="48"/>
    </row>
    <row r="11" spans="1:11" ht="18.75" customHeight="1" x14ac:dyDescent="0.3">
      <c r="A11" s="58" t="s">
        <v>146</v>
      </c>
      <c r="B11" s="75">
        <f>'Tabell 6'!AI14</f>
        <v>1320.0807300899999</v>
      </c>
      <c r="C11" s="75">
        <f>'Tabell 6'!AJ14</f>
        <v>1348.1865066300002</v>
      </c>
      <c r="D11" s="206">
        <f t="shared" si="0"/>
        <v>2.1</v>
      </c>
      <c r="E11" s="206"/>
      <c r="F11" s="206">
        <f>'Tabell 6'!AI14/'Tabell 6'!AI29*100</f>
        <v>0.64718643023888467</v>
      </c>
      <c r="G11" s="206">
        <f>'Tabell 6'!AJ14/'Tabell 6'!AJ29*100</f>
        <v>0.64431267698201344</v>
      </c>
      <c r="H11" s="207">
        <f t="shared" si="1"/>
        <v>-0.4</v>
      </c>
      <c r="I11" s="76"/>
      <c r="J11" s="48"/>
    </row>
    <row r="12" spans="1:11" ht="18.75" customHeight="1" x14ac:dyDescent="0.3">
      <c r="A12" s="77" t="s">
        <v>147</v>
      </c>
      <c r="B12" s="75">
        <f>'Tabell 6'!AI15</f>
        <v>26284.104736949997</v>
      </c>
      <c r="C12" s="75">
        <f>'Tabell 6'!AJ15</f>
        <v>27219.880706240001</v>
      </c>
      <c r="D12" s="206">
        <f t="shared" si="0"/>
        <v>3.6</v>
      </c>
      <c r="E12" s="206"/>
      <c r="F12" s="206">
        <f>'Tabell 6'!AI15/'Tabell 6'!AI29*100</f>
        <v>12.886117893389656</v>
      </c>
      <c r="G12" s="206">
        <f>'Tabell 6'!AJ15/'Tabell 6'!AJ29*100</f>
        <v>13.008670624369154</v>
      </c>
      <c r="H12" s="207">
        <f t="shared" si="1"/>
        <v>1</v>
      </c>
      <c r="I12" s="76"/>
      <c r="J12" s="48"/>
      <c r="K12" s="102"/>
    </row>
    <row r="13" spans="1:11" ht="18.75" customHeight="1" x14ac:dyDescent="0.3">
      <c r="A13" s="58" t="s">
        <v>148</v>
      </c>
      <c r="B13" s="75">
        <f>'Tabell 6'!AI19+'Tabell 6'!AI23</f>
        <v>35831.777017629996</v>
      </c>
      <c r="C13" s="75">
        <f>'Tabell 6'!AJ19+'Tabell 6'!AJ23</f>
        <v>35584.42878088</v>
      </c>
      <c r="D13" s="206">
        <f t="shared" si="0"/>
        <v>-0.7</v>
      </c>
      <c r="E13" s="206"/>
      <c r="F13" s="206">
        <f>('Tabell 6'!AI19+'Tabell 6'!AI23)/'Tabell 6'!AI29*100</f>
        <v>17.566986115746602</v>
      </c>
      <c r="G13" s="206">
        <f>('Tabell 6'!AJ19+'Tabell 6'!AJ23)/'Tabell 6'!AJ29*100</f>
        <v>17.00617715274084</v>
      </c>
      <c r="H13" s="207">
        <f t="shared" si="1"/>
        <v>-3.2</v>
      </c>
      <c r="I13" s="76"/>
      <c r="J13" s="48"/>
    </row>
    <row r="14" spans="1:11" ht="18.75" customHeight="1" x14ac:dyDescent="0.3">
      <c r="A14" s="58" t="s">
        <v>149</v>
      </c>
      <c r="B14" s="130">
        <f>'Tabell 6'!AI24+'Tabell 6'!AI25+'Tabell 6'!AI26+'Tabell 6'!AI28</f>
        <v>60424.972424426189</v>
      </c>
      <c r="C14" s="130">
        <f>'Tabell 6'!AJ24+'Tabell 6'!AJ25+'Tabell 6'!AJ26+'Tabell 6'!AJ28</f>
        <v>64643.091146639999</v>
      </c>
      <c r="D14" s="206">
        <f t="shared" si="0"/>
        <v>7</v>
      </c>
      <c r="E14" s="206"/>
      <c r="F14" s="206">
        <f>('Tabell 6'!AI24+'Tabell 6'!AI25+'Tabell 6'!AI26+'Tabell 6'!AI28)/'Tabell 6'!AI29*100</f>
        <v>29.624114123672772</v>
      </c>
      <c r="G14" s="206">
        <f>('Tabell 6'!AJ24+'Tabell 6'!AJ25+'Tabell 6'!AJ26+'Tabell 6'!AJ28)/'Tabell 6'!AJ29*100</f>
        <v>30.893621097866799</v>
      </c>
      <c r="H14" s="207">
        <f t="shared" si="1"/>
        <v>4.3</v>
      </c>
      <c r="I14" s="76"/>
      <c r="J14" s="48"/>
    </row>
    <row r="15" spans="1:11" ht="18.75" customHeight="1" x14ac:dyDescent="0.3">
      <c r="A15" s="77"/>
      <c r="B15" s="75"/>
      <c r="C15" s="130"/>
      <c r="D15" s="207"/>
      <c r="E15" s="207"/>
      <c r="F15" s="207"/>
      <c r="G15" s="206"/>
      <c r="H15" s="207"/>
      <c r="I15" s="76"/>
      <c r="J15" s="48"/>
    </row>
    <row r="16" spans="1:11" s="102" customFormat="1" ht="18.75" customHeight="1" x14ac:dyDescent="0.3">
      <c r="A16" s="73" t="s">
        <v>150</v>
      </c>
      <c r="B16" s="78">
        <f>SUM(B17:B22)</f>
        <v>1363628.96834722</v>
      </c>
      <c r="C16" s="78">
        <f>SUM(C17:C22)</f>
        <v>1447074.18594156</v>
      </c>
      <c r="D16" s="204">
        <f t="shared" si="0"/>
        <v>6.1</v>
      </c>
      <c r="E16" s="204"/>
      <c r="F16" s="204">
        <f>SUM(F17:F22)</f>
        <v>100</v>
      </c>
      <c r="G16" s="204">
        <f>SUM(G17:G22)</f>
        <v>99.999999999999986</v>
      </c>
      <c r="H16" s="205">
        <f t="shared" si="1"/>
        <v>0</v>
      </c>
      <c r="I16" s="79"/>
      <c r="J16" s="49"/>
    </row>
    <row r="17" spans="1:10" ht="18.75" customHeight="1" x14ac:dyDescent="0.3">
      <c r="A17" s="58" t="s">
        <v>145</v>
      </c>
      <c r="B17" s="75">
        <f>'Tabell 6'!AI40</f>
        <v>301750.42003498995</v>
      </c>
      <c r="C17" s="75">
        <f>'Tabell 6'!AJ40</f>
        <v>382667.61946574994</v>
      </c>
      <c r="D17" s="206">
        <f t="shared" si="0"/>
        <v>26.8</v>
      </c>
      <c r="E17" s="206"/>
      <c r="F17" s="206">
        <f>'Tabell 6'!AI40/('Tabell 6'!AI45+'Tabell 6'!AI46)*100</f>
        <v>22.128484143360865</v>
      </c>
      <c r="G17" s="206">
        <f>'Tabell 6'!AJ40/('Tabell 6'!AJ45+'Tabell 6'!AJ46)*100</f>
        <v>26.444229548380871</v>
      </c>
      <c r="H17" s="207">
        <f t="shared" si="1"/>
        <v>19.5</v>
      </c>
      <c r="I17" s="76"/>
      <c r="J17" s="48"/>
    </row>
    <row r="18" spans="1:10" ht="18.75" customHeight="1" x14ac:dyDescent="0.3">
      <c r="A18" s="77" t="s">
        <v>467</v>
      </c>
      <c r="B18" s="75">
        <f>'Tabell 6'!AI36+'Tabell 6'!AI41</f>
        <v>376196.52251275</v>
      </c>
      <c r="C18" s="75">
        <f>'Tabell 6'!AJ36+'Tabell 6'!AJ41</f>
        <v>387057.26470446994</v>
      </c>
      <c r="D18" s="206">
        <f t="shared" si="0"/>
        <v>2.9</v>
      </c>
      <c r="E18" s="206"/>
      <c r="F18" s="206">
        <f>('Tabell 6'!AI36+'Tabell 6'!AI41)/('Tabell 6'!AI45+'Tabell 6'!AI46)*100</f>
        <v>27.587894599270445</v>
      </c>
      <c r="G18" s="206">
        <f>('Tabell 6'!AJ36+'Tabell 6'!AJ41)/('Tabell 6'!AJ45+'Tabell 6'!AJ46)*100</f>
        <v>26.747575795682199</v>
      </c>
      <c r="H18" s="207">
        <f t="shared" si="1"/>
        <v>-3</v>
      </c>
      <c r="I18" s="76"/>
      <c r="J18" s="48"/>
    </row>
    <row r="19" spans="1:10" ht="18.75" customHeight="1" x14ac:dyDescent="0.3">
      <c r="A19" s="58" t="s">
        <v>146</v>
      </c>
      <c r="B19" s="75">
        <f>'Tabell 6'!AI33</f>
        <v>14</v>
      </c>
      <c r="C19" s="75">
        <f>'Tabell 6'!AJ33</f>
        <v>14.226000000000001</v>
      </c>
      <c r="D19" s="206">
        <f t="shared" si="0"/>
        <v>1.6</v>
      </c>
      <c r="E19" s="206"/>
      <c r="F19" s="206">
        <f>'Tabell 6'!AI33/('Tabell 6'!AI45+'Tabell 6'!AI46)*100</f>
        <v>1.0266722345278888E-3</v>
      </c>
      <c r="G19" s="206">
        <f>'Tabell 6'!AJ33/('Tabell 6'!AJ45+'Tabell 6'!AJ46)*100</f>
        <v>9.8308712422671301E-4</v>
      </c>
      <c r="H19" s="207">
        <f t="shared" si="1"/>
        <v>-4.2</v>
      </c>
      <c r="I19" s="76"/>
      <c r="J19" s="48"/>
    </row>
    <row r="20" spans="1:10" ht="18.75" customHeight="1" x14ac:dyDescent="0.3">
      <c r="A20" s="77" t="s">
        <v>147</v>
      </c>
      <c r="B20" s="75">
        <f>'Tabell 6'!AI34</f>
        <v>164311.49122245001</v>
      </c>
      <c r="C20" s="75">
        <f>'Tabell 6'!AJ34</f>
        <v>168918.82390265001</v>
      </c>
      <c r="D20" s="206">
        <f t="shared" si="0"/>
        <v>2.8</v>
      </c>
      <c r="E20" s="206"/>
      <c r="F20" s="206">
        <f>'Tabell 6'!AI34/('Tabell 6'!AI45+'Tabell 6'!AI46)*100</f>
        <v>12.049574703711595</v>
      </c>
      <c r="G20" s="206">
        <f>'Tabell 6'!AJ34/('Tabell 6'!AJ45+'Tabell 6'!AJ46)*100</f>
        <v>11.673128132870431</v>
      </c>
      <c r="H20" s="207">
        <f t="shared" si="1"/>
        <v>-3.1</v>
      </c>
      <c r="I20" s="76"/>
      <c r="J20" s="48"/>
    </row>
    <row r="21" spans="1:10" ht="18.75" customHeight="1" x14ac:dyDescent="0.3">
      <c r="A21" s="58" t="s">
        <v>148</v>
      </c>
      <c r="B21" s="75">
        <f>'Tabell 6'!AI38+'Tabell 6'!AI42</f>
        <v>502826.61509008001</v>
      </c>
      <c r="C21" s="75">
        <f>'Tabell 6'!AJ38+'Tabell 6'!AJ42</f>
        <v>502448.36481369997</v>
      </c>
      <c r="D21" s="206">
        <f t="shared" si="0"/>
        <v>-0.1</v>
      </c>
      <c r="E21" s="206"/>
      <c r="F21" s="206">
        <f>('Tabell 6'!AI38+'Tabell 6'!AI42)/('Tabell 6'!AI45+'Tabell 6'!AI46)*100</f>
        <v>36.874151749616217</v>
      </c>
      <c r="G21" s="206">
        <f>('Tabell 6'!AJ38+'Tabell 6'!AJ42)/('Tabell 6'!AJ45+'Tabell 6'!AJ46)*100</f>
        <v>34.721672855132482</v>
      </c>
      <c r="H21" s="207">
        <f t="shared" si="1"/>
        <v>-5.8</v>
      </c>
      <c r="I21" s="76"/>
      <c r="J21" s="48"/>
    </row>
    <row r="22" spans="1:10" ht="18.75" customHeight="1" x14ac:dyDescent="0.3">
      <c r="A22" s="77" t="s">
        <v>149</v>
      </c>
      <c r="B22" s="130">
        <f>'Tabell 6'!AI43+'Tabell 6'!AI44+'Tabell 6'!AI46</f>
        <v>18529.919486949999</v>
      </c>
      <c r="C22" s="130">
        <f>'Tabell 6'!AJ43+'Tabell 6'!AJ44+'Tabell 6'!AJ46</f>
        <v>5967.8870549900003</v>
      </c>
      <c r="D22" s="206">
        <f t="shared" si="0"/>
        <v>-67.8</v>
      </c>
      <c r="E22" s="206"/>
      <c r="F22" s="207">
        <f>('Tabell 6'!AI43+'Tabell 6'!AI44+'Tabell 6'!AI46)/('Tabell 6'!AI45+'Tabell 6'!AI46)*100</f>
        <v>1.3588681318063447</v>
      </c>
      <c r="G22" s="207">
        <f>('Tabell 6'!AJ43+'Tabell 6'!AJ44+'Tabell 6'!AJ46)/('Tabell 6'!AJ45+'Tabell 6'!AJ46)*100</f>
        <v>0.41241058080978121</v>
      </c>
      <c r="H22" s="207">
        <f t="shared" si="1"/>
        <v>-69.7</v>
      </c>
      <c r="I22" s="76"/>
      <c r="J22" s="48"/>
    </row>
    <row r="23" spans="1:10" ht="18.75" customHeight="1" x14ac:dyDescent="0.3">
      <c r="A23" s="58"/>
      <c r="B23" s="130"/>
      <c r="C23" s="130"/>
      <c r="D23" s="207"/>
      <c r="E23" s="206"/>
      <c r="F23" s="206"/>
      <c r="G23" s="207"/>
      <c r="H23" s="207"/>
      <c r="I23" s="133"/>
      <c r="J23" s="48"/>
    </row>
    <row r="24" spans="1:10" ht="18.75" customHeight="1" x14ac:dyDescent="0.3">
      <c r="A24" s="103" t="s">
        <v>151</v>
      </c>
      <c r="B24" s="78">
        <f>SUM(B25:B30)</f>
        <v>653730.56123295333</v>
      </c>
      <c r="C24" s="78">
        <f>SUM(C25:C30)</f>
        <v>801156.03982974018</v>
      </c>
      <c r="D24" s="204">
        <f t="shared" si="0"/>
        <v>22.6</v>
      </c>
      <c r="E24" s="204"/>
      <c r="F24" s="205">
        <f>SUM(F25:F30)</f>
        <v>100.00000000000001</v>
      </c>
      <c r="G24" s="205">
        <f>SUM(G25:G30)</f>
        <v>99.999999999999986</v>
      </c>
      <c r="H24" s="207">
        <f t="shared" si="1"/>
        <v>0</v>
      </c>
      <c r="I24" s="133"/>
      <c r="J24" s="48"/>
    </row>
    <row r="25" spans="1:10" ht="18.75" customHeight="1" x14ac:dyDescent="0.3">
      <c r="A25" s="77" t="s">
        <v>145</v>
      </c>
      <c r="B25" s="75">
        <f>'Tabell 6'!AI55</f>
        <v>430497.54976751603</v>
      </c>
      <c r="C25" s="75">
        <f>'Tabell 6'!AJ55</f>
        <v>547922.12222154008</v>
      </c>
      <c r="D25" s="206">
        <f t="shared" si="0"/>
        <v>27.3</v>
      </c>
      <c r="E25" s="206"/>
      <c r="F25" s="206">
        <f>'Tabell 6'!AI55/('Tabell 6'!AI60+'Tabell 6'!AI61)*100</f>
        <v>65.852443697229972</v>
      </c>
      <c r="G25" s="206">
        <f>'Tabell 6'!AJ55/('Tabell 6'!AJ60+'Tabell 6'!AJ61)*100</f>
        <v>68.391436247298756</v>
      </c>
      <c r="H25" s="207">
        <f t="shared" si="1"/>
        <v>3.9</v>
      </c>
      <c r="I25" s="133"/>
      <c r="J25" s="48"/>
    </row>
    <row r="26" spans="1:10" ht="18.75" customHeight="1" x14ac:dyDescent="0.3">
      <c r="A26" s="77" t="s">
        <v>467</v>
      </c>
      <c r="B26" s="75">
        <f>'Tabell 6'!AI51+'Tabell 6'!AI56</f>
        <v>196172.47808062629</v>
      </c>
      <c r="C26" s="75">
        <f>'Tabell 6'!AJ51+'Tabell 6'!AJ56</f>
        <v>227879.04150582</v>
      </c>
      <c r="D26" s="206">
        <f t="shared" si="0"/>
        <v>16.2</v>
      </c>
      <c r="E26" s="206"/>
      <c r="F26" s="206">
        <f>('Tabell 6'!AI51+'Tabell 6'!AI56)/('Tabell 6'!AI60+'Tabell 6'!AI61)*100</f>
        <v>30.008154691535267</v>
      </c>
      <c r="G26" s="206">
        <f>('Tabell 6'!AJ51+'Tabell 6'!AJ56)/('Tabell 6'!AJ60+'Tabell 6'!AJ61)*100</f>
        <v>28.44377751358504</v>
      </c>
      <c r="H26" s="207">
        <f t="shared" si="1"/>
        <v>-5.2</v>
      </c>
      <c r="I26" s="133"/>
      <c r="J26" s="48"/>
    </row>
    <row r="27" spans="1:10" ht="18.75" customHeight="1" x14ac:dyDescent="0.3">
      <c r="A27" s="77" t="s">
        <v>146</v>
      </c>
      <c r="B27" s="75">
        <f>'Tabell 6'!AI48</f>
        <v>0</v>
      </c>
      <c r="C27" s="75">
        <f>'Tabell 6'!AJ48</f>
        <v>0</v>
      </c>
      <c r="D27" s="206" t="str">
        <f t="shared" si="0"/>
        <v xml:space="preserve">    ---- </v>
      </c>
      <c r="E27" s="206"/>
      <c r="F27" s="206">
        <f>'Tabell 6'!AI48/('Tabell 6'!AI60+'Tabell 6'!AI61)*100</f>
        <v>0</v>
      </c>
      <c r="G27" s="206">
        <f>'Tabell 6'!AJ48/('Tabell 6'!AJ60+'Tabell 6'!AJ61)*100</f>
        <v>0</v>
      </c>
      <c r="H27" s="207" t="str">
        <f t="shared" si="1"/>
        <v xml:space="preserve">    ---- </v>
      </c>
      <c r="I27" s="133"/>
      <c r="J27" s="48"/>
    </row>
    <row r="28" spans="1:10" ht="18.75" customHeight="1" x14ac:dyDescent="0.3">
      <c r="A28" s="77" t="s">
        <v>147</v>
      </c>
      <c r="B28" s="75">
        <f>'Tabell 6'!AI49</f>
        <v>17812.479807570999</v>
      </c>
      <c r="C28" s="75">
        <f>'Tabell 6'!AJ49</f>
        <v>21029.648669720002</v>
      </c>
      <c r="D28" s="206">
        <f t="shared" si="0"/>
        <v>18.100000000000001</v>
      </c>
      <c r="E28" s="206"/>
      <c r="F28" s="206">
        <f>'Tabell 6'!AI49/('Tabell 6'!AI60+'Tabell 6'!AI61)*100</f>
        <v>2.7247433214650676</v>
      </c>
      <c r="G28" s="206">
        <f>'Tabell 6'!AJ49/('Tabell 6'!AJ60+'Tabell 6'!AJ61)*100</f>
        <v>2.6249129538097447</v>
      </c>
      <c r="H28" s="207">
        <f t="shared" si="1"/>
        <v>-3.7</v>
      </c>
      <c r="I28" s="133"/>
      <c r="J28" s="48"/>
    </row>
    <row r="29" spans="1:10" ht="18.75" customHeight="1" x14ac:dyDescent="0.3">
      <c r="A29" s="77" t="s">
        <v>148</v>
      </c>
      <c r="B29" s="75">
        <f>'Tabell 6'!AI53+'Tabell 6'!AI57</f>
        <v>3091.8666442600006</v>
      </c>
      <c r="C29" s="75">
        <f>'Tabell 6'!AJ53+'Tabell 6'!AJ57</f>
        <v>3710.7125382499999</v>
      </c>
      <c r="D29" s="206">
        <f t="shared" si="0"/>
        <v>20</v>
      </c>
      <c r="E29" s="206"/>
      <c r="F29" s="206">
        <f>('Tabell 6'!AI53+'Tabell 6'!AI57)/('Tabell 6'!AI60+'Tabell 6'!AI61)*100</f>
        <v>0.4729573355770087</v>
      </c>
      <c r="G29" s="206">
        <f>('Tabell 6'!AJ53+'Tabell 6'!AJ57)/('Tabell 6'!AJ60+'Tabell 6'!AJ61)*100</f>
        <v>0.46316976391248232</v>
      </c>
      <c r="H29" s="207">
        <f t="shared" si="1"/>
        <v>-2.1</v>
      </c>
      <c r="I29" s="133"/>
      <c r="J29" s="48"/>
    </row>
    <row r="30" spans="1:10" ht="18.75" customHeight="1" x14ac:dyDescent="0.3">
      <c r="A30" s="58" t="s">
        <v>149</v>
      </c>
      <c r="B30" s="130">
        <f>'Tabell 6'!AI58+'Tabell 6'!AI59+'Tabell 6'!AI61</f>
        <v>6156.1869329799993</v>
      </c>
      <c r="C30" s="130">
        <f>'Tabell 6'!AJ58+'Tabell 6'!AJ59+'Tabell 6'!AJ61</f>
        <v>614.5148944099999</v>
      </c>
      <c r="D30" s="207">
        <f t="shared" si="0"/>
        <v>-90</v>
      </c>
      <c r="E30" s="207"/>
      <c r="F30" s="207">
        <f>('Tabell 6'!AI58+'Tabell 6'!AI59+'Tabell 6'!AI61)/('Tabell 6'!AI60+'Tabell 6'!AI61)*100</f>
        <v>0.94170095419269773</v>
      </c>
      <c r="G30" s="207">
        <f>('Tabell 6'!AJ58+'Tabell 6'!AJ59+'Tabell 6'!AJ61)/('Tabell 6'!AJ60+'Tabell 6'!AJ61)*100</f>
        <v>7.6703521393984037E-2</v>
      </c>
      <c r="H30" s="207">
        <f t="shared" si="1"/>
        <v>-91.9</v>
      </c>
      <c r="I30" s="133"/>
      <c r="J30" s="48"/>
    </row>
    <row r="31" spans="1:10" ht="18.75" customHeight="1" x14ac:dyDescent="0.3">
      <c r="A31" s="77"/>
      <c r="B31" s="130"/>
      <c r="C31" s="130"/>
      <c r="D31" s="206"/>
      <c r="E31" s="206"/>
      <c r="F31" s="206"/>
      <c r="G31" s="207"/>
      <c r="H31" s="207"/>
      <c r="I31" s="133"/>
      <c r="J31" s="48"/>
    </row>
    <row r="32" spans="1:10" ht="18.75" customHeight="1" x14ac:dyDescent="0.3">
      <c r="A32" s="103" t="s">
        <v>2</v>
      </c>
      <c r="B32" s="78">
        <f>SUM(B33:B38)</f>
        <v>2221331.7806056999</v>
      </c>
      <c r="C32" s="78">
        <f>SUM(C33:C38)</f>
        <v>2457474.3637176398</v>
      </c>
      <c r="D32" s="204">
        <f t="shared" si="0"/>
        <v>10.6</v>
      </c>
      <c r="E32" s="204"/>
      <c r="F32" s="204">
        <f>SUM(F33:F38)</f>
        <v>99.999999999999972</v>
      </c>
      <c r="G32" s="204">
        <f>SUM(G33:G38)</f>
        <v>100</v>
      </c>
      <c r="H32" s="205">
        <f t="shared" si="1"/>
        <v>0</v>
      </c>
      <c r="I32" s="133"/>
      <c r="J32" s="48"/>
    </row>
    <row r="33" spans="1:10" ht="18.75" customHeight="1" x14ac:dyDescent="0.3">
      <c r="A33" s="77" t="s">
        <v>145</v>
      </c>
      <c r="B33" s="75">
        <f t="shared" ref="B33:C38" si="2">B9+B17+B25</f>
        <v>738196.08626815595</v>
      </c>
      <c r="C33" s="75">
        <f t="shared" si="2"/>
        <v>934508.07552218996</v>
      </c>
      <c r="D33" s="206">
        <f t="shared" si="0"/>
        <v>26.6</v>
      </c>
      <c r="E33" s="206"/>
      <c r="F33" s="206">
        <f>B33/B32*100</f>
        <v>33.23213995825823</v>
      </c>
      <c r="G33" s="206">
        <f>C33/C32*100</f>
        <v>38.027174945112208</v>
      </c>
      <c r="H33" s="207">
        <f t="shared" si="1"/>
        <v>14.4</v>
      </c>
      <c r="I33" s="133"/>
      <c r="J33" s="48"/>
    </row>
    <row r="34" spans="1:10" ht="18.75" customHeight="1" x14ac:dyDescent="0.3">
      <c r="A34" s="77" t="s">
        <v>467</v>
      </c>
      <c r="B34" s="75">
        <f t="shared" si="2"/>
        <v>646532.20024415629</v>
      </c>
      <c r="C34" s="75">
        <f t="shared" si="2"/>
        <v>691466.52318133996</v>
      </c>
      <c r="D34" s="206">
        <f t="shared" si="0"/>
        <v>7</v>
      </c>
      <c r="E34" s="206"/>
      <c r="F34" s="206">
        <f>B34/B32*100</f>
        <v>29.105611592513377</v>
      </c>
      <c r="G34" s="206">
        <f>C34/C32*100</f>
        <v>28.137283277099872</v>
      </c>
      <c r="H34" s="207">
        <f t="shared" si="1"/>
        <v>-3.3</v>
      </c>
      <c r="I34" s="133"/>
      <c r="J34" s="48"/>
    </row>
    <row r="35" spans="1:10" ht="18.75" customHeight="1" x14ac:dyDescent="0.3">
      <c r="A35" s="77" t="s">
        <v>146</v>
      </c>
      <c r="B35" s="75">
        <f t="shared" si="2"/>
        <v>1334.0807300899999</v>
      </c>
      <c r="C35" s="75">
        <f t="shared" si="2"/>
        <v>1362.4125066300003</v>
      </c>
      <c r="D35" s="206">
        <f t="shared" si="0"/>
        <v>2.1</v>
      </c>
      <c r="E35" s="206"/>
      <c r="F35" s="206">
        <f>B35/B32*100</f>
        <v>6.0057697897170068E-2</v>
      </c>
      <c r="G35" s="206">
        <f>C35/C32*100</f>
        <v>5.543954096713171E-2</v>
      </c>
      <c r="H35" s="207">
        <f t="shared" si="1"/>
        <v>-7.7</v>
      </c>
      <c r="I35" s="133"/>
      <c r="J35" s="48"/>
    </row>
    <row r="36" spans="1:10" ht="18.75" customHeight="1" x14ac:dyDescent="0.3">
      <c r="A36" s="77" t="s">
        <v>147</v>
      </c>
      <c r="B36" s="75">
        <f t="shared" si="2"/>
        <v>208408.07576697099</v>
      </c>
      <c r="C36" s="75">
        <f t="shared" si="2"/>
        <v>217168.35327860998</v>
      </c>
      <c r="D36" s="206">
        <f t="shared" si="0"/>
        <v>4.2</v>
      </c>
      <c r="E36" s="206"/>
      <c r="F36" s="206">
        <f>B36/B32*100</f>
        <v>9.382122814185978</v>
      </c>
      <c r="G36" s="206">
        <f>C36/C32*100</f>
        <v>8.837054680402856</v>
      </c>
      <c r="H36" s="207">
        <f t="shared" si="1"/>
        <v>-5.8</v>
      </c>
      <c r="I36" s="133"/>
      <c r="J36" s="48"/>
    </row>
    <row r="37" spans="1:10" ht="18.75" customHeight="1" x14ac:dyDescent="0.3">
      <c r="A37" s="77" t="s">
        <v>148</v>
      </c>
      <c r="B37" s="75">
        <f t="shared" si="2"/>
        <v>541750.25875197002</v>
      </c>
      <c r="C37" s="75">
        <f t="shared" si="2"/>
        <v>541743.50613282993</v>
      </c>
      <c r="D37" s="206">
        <f t="shared" si="0"/>
        <v>0</v>
      </c>
      <c r="E37" s="206"/>
      <c r="F37" s="206">
        <f>B37/B32*100</f>
        <v>24.388534098415892</v>
      </c>
      <c r="G37" s="206">
        <f>C37/C32*100</f>
        <v>22.044726656406961</v>
      </c>
      <c r="H37" s="207">
        <f t="shared" si="1"/>
        <v>-9.6</v>
      </c>
      <c r="I37" s="133"/>
      <c r="J37" s="48"/>
    </row>
    <row r="38" spans="1:10" ht="18.75" customHeight="1" x14ac:dyDescent="0.3">
      <c r="A38" s="208" t="s">
        <v>149</v>
      </c>
      <c r="B38" s="209">
        <f t="shared" si="2"/>
        <v>85111.078844356176</v>
      </c>
      <c r="C38" s="209">
        <f t="shared" si="2"/>
        <v>71225.493096039994</v>
      </c>
      <c r="D38" s="210">
        <f t="shared" si="0"/>
        <v>-16.3</v>
      </c>
      <c r="E38" s="206"/>
      <c r="F38" s="210">
        <f>B38/B32*100</f>
        <v>3.8315338387293312</v>
      </c>
      <c r="G38" s="210">
        <f>C38/C32*100</f>
        <v>2.8983209000109715</v>
      </c>
      <c r="H38" s="211">
        <f t="shared" si="1"/>
        <v>-24.4</v>
      </c>
      <c r="I38" s="133"/>
      <c r="J38" s="48"/>
    </row>
    <row r="39" spans="1:10" ht="18.75" customHeight="1" x14ac:dyDescent="0.3">
      <c r="A39" s="48"/>
      <c r="B39" s="48"/>
      <c r="C39" s="48"/>
      <c r="D39" s="48"/>
      <c r="E39" s="48"/>
      <c r="F39" s="133"/>
      <c r="G39" s="133"/>
      <c r="H39" s="133"/>
      <c r="I39" s="133"/>
      <c r="J39" s="48"/>
    </row>
    <row r="40" spans="1:10" ht="18.75" customHeight="1" x14ac:dyDescent="0.3">
      <c r="A40" s="48" t="s">
        <v>152</v>
      </c>
      <c r="B40" s="48"/>
      <c r="C40" s="48"/>
      <c r="D40" s="48"/>
      <c r="E40" s="48"/>
      <c r="F40" s="133"/>
      <c r="G40" s="133"/>
      <c r="H40" s="133"/>
      <c r="I40" s="133"/>
      <c r="J40" s="48"/>
    </row>
    <row r="41" spans="1:10" ht="18.75" x14ac:dyDescent="0.3">
      <c r="A41" s="48" t="s">
        <v>95</v>
      </c>
      <c r="B41" s="48"/>
      <c r="C41" s="48"/>
      <c r="D41" s="48"/>
      <c r="E41" s="48"/>
      <c r="F41" s="48"/>
      <c r="G41" s="48"/>
      <c r="H41" s="48"/>
      <c r="I41" s="48"/>
      <c r="J41" s="48"/>
    </row>
    <row r="42" spans="1:10" ht="18.75" x14ac:dyDescent="0.3">
      <c r="A42" s="48"/>
      <c r="B42" s="48"/>
      <c r="C42" s="48"/>
      <c r="D42" s="48"/>
      <c r="E42" s="48"/>
      <c r="G42" s="48"/>
      <c r="H42" s="48"/>
      <c r="I42" s="48"/>
      <c r="J42" s="48"/>
    </row>
    <row r="43" spans="1:10" ht="18.75" x14ac:dyDescent="0.3">
      <c r="A43" s="48"/>
      <c r="B43" s="48"/>
      <c r="C43" s="48"/>
      <c r="D43" s="48"/>
      <c r="E43" s="48"/>
      <c r="F43" s="48"/>
      <c r="G43" s="48"/>
      <c r="H43" s="48"/>
      <c r="I43" s="48"/>
      <c r="J43" s="48"/>
    </row>
    <row r="44" spans="1:10" ht="18.75" x14ac:dyDescent="0.3">
      <c r="A44" s="48"/>
      <c r="B44" s="48"/>
      <c r="C44" s="48"/>
      <c r="D44" s="48"/>
      <c r="E44" s="48"/>
      <c r="F44" s="48"/>
      <c r="G44" s="48"/>
      <c r="H44" s="48"/>
      <c r="I44" s="48"/>
      <c r="J44" s="48"/>
    </row>
    <row r="45" spans="1:10" ht="18.75" x14ac:dyDescent="0.3">
      <c r="A45" s="48"/>
      <c r="B45" s="48"/>
      <c r="C45" s="48"/>
      <c r="D45" s="48"/>
      <c r="E45" s="48"/>
      <c r="F45" s="48"/>
      <c r="G45" s="48"/>
      <c r="H45" s="48"/>
      <c r="I45" s="48"/>
      <c r="J45" s="48"/>
    </row>
    <row r="46" spans="1:10" ht="18.75" x14ac:dyDescent="0.3">
      <c r="A46" s="48"/>
      <c r="B46" s="48"/>
      <c r="C46" s="48"/>
      <c r="D46" s="48"/>
      <c r="E46" s="48"/>
      <c r="F46" s="48"/>
      <c r="G46" s="48"/>
      <c r="H46" s="48"/>
      <c r="I46" s="48"/>
      <c r="J46" s="48"/>
    </row>
    <row r="47" spans="1:10" ht="18.75" x14ac:dyDescent="0.3">
      <c r="A47" s="48"/>
      <c r="B47" s="48"/>
      <c r="C47" s="48"/>
      <c r="D47" s="48"/>
      <c r="E47" s="48"/>
      <c r="F47" s="48"/>
      <c r="G47" s="48"/>
      <c r="H47" s="48"/>
      <c r="I47" s="48"/>
      <c r="J47" s="48"/>
    </row>
    <row r="48" spans="1:10" ht="18.75" x14ac:dyDescent="0.3">
      <c r="A48" s="48"/>
      <c r="B48" s="48"/>
      <c r="C48" s="48"/>
      <c r="D48" s="48"/>
      <c r="E48" s="48"/>
      <c r="F48" s="48"/>
      <c r="G48" s="48"/>
      <c r="H48" s="48"/>
      <c r="I48" s="48"/>
      <c r="J48" s="48"/>
    </row>
    <row r="49" spans="1:10" ht="18.75" x14ac:dyDescent="0.3">
      <c r="A49" s="48"/>
      <c r="B49" s="48"/>
      <c r="C49" s="48"/>
      <c r="D49" s="48"/>
      <c r="E49" s="48"/>
      <c r="F49" s="48"/>
      <c r="G49" s="48"/>
      <c r="H49" s="48"/>
      <c r="I49" s="48"/>
      <c r="J49" s="48"/>
    </row>
    <row r="50" spans="1:10" ht="18.75" x14ac:dyDescent="0.3">
      <c r="A50" s="48"/>
      <c r="B50" s="48"/>
      <c r="C50" s="48"/>
      <c r="D50" s="48"/>
      <c r="E50" s="48"/>
      <c r="F50" s="48"/>
      <c r="G50" s="48"/>
      <c r="H50" s="48"/>
      <c r="I50" s="48"/>
      <c r="J50" s="48"/>
    </row>
    <row r="51" spans="1:10" ht="18.75" x14ac:dyDescent="0.3">
      <c r="A51" s="48"/>
      <c r="B51" s="48"/>
      <c r="C51" s="48"/>
      <c r="D51" s="48"/>
      <c r="E51" s="48"/>
      <c r="F51" s="48"/>
      <c r="G51" s="48"/>
      <c r="H51" s="48"/>
      <c r="I51" s="48"/>
      <c r="J51" s="48"/>
    </row>
    <row r="52" spans="1:10" ht="18.75" x14ac:dyDescent="0.3">
      <c r="A52" s="48"/>
      <c r="B52" s="48"/>
      <c r="C52" s="48"/>
      <c r="D52" s="48"/>
      <c r="E52" s="48"/>
      <c r="F52" s="48"/>
      <c r="G52" s="48"/>
      <c r="H52" s="48"/>
      <c r="I52" s="48"/>
      <c r="J52" s="48"/>
    </row>
    <row r="53" spans="1:10" ht="18.75" x14ac:dyDescent="0.3">
      <c r="A53" s="48"/>
      <c r="B53" s="48"/>
      <c r="C53" s="48"/>
      <c r="D53" s="48"/>
      <c r="E53" s="48"/>
      <c r="F53" s="48"/>
      <c r="G53" s="48"/>
      <c r="H53" s="48"/>
      <c r="I53" s="48"/>
      <c r="J53" s="48"/>
    </row>
    <row r="54" spans="1:10" ht="18.75" x14ac:dyDescent="0.3">
      <c r="A54" s="48"/>
      <c r="B54" s="48"/>
      <c r="C54" s="48"/>
      <c r="D54" s="48"/>
      <c r="E54" s="48"/>
      <c r="F54" s="48"/>
      <c r="G54" s="48"/>
      <c r="H54" s="48"/>
      <c r="I54" s="48"/>
      <c r="J54" s="48"/>
    </row>
    <row r="55" spans="1:10" ht="18.75" x14ac:dyDescent="0.3">
      <c r="A55" s="48"/>
      <c r="B55" s="48"/>
      <c r="C55" s="48"/>
      <c r="D55" s="48"/>
      <c r="E55" s="48"/>
      <c r="F55" s="48"/>
      <c r="G55" s="48"/>
      <c r="H55" s="48"/>
      <c r="I55" s="48"/>
      <c r="J55" s="48"/>
    </row>
    <row r="56" spans="1:10" ht="18.75" x14ac:dyDescent="0.3">
      <c r="A56" s="48"/>
      <c r="B56" s="48"/>
      <c r="C56" s="48"/>
      <c r="D56" s="48"/>
      <c r="E56" s="48"/>
      <c r="F56" s="48"/>
      <c r="G56" s="48"/>
      <c r="H56" s="48"/>
      <c r="I56" s="48"/>
      <c r="J56" s="48"/>
    </row>
    <row r="57" spans="1:10" ht="18.75" x14ac:dyDescent="0.3">
      <c r="A57" s="48"/>
      <c r="B57" s="48"/>
      <c r="C57" s="48"/>
      <c r="D57" s="48"/>
      <c r="E57" s="48"/>
      <c r="F57" s="48"/>
      <c r="G57" s="48"/>
      <c r="H57" s="48"/>
      <c r="I57" s="48"/>
      <c r="J57" s="48"/>
    </row>
    <row r="58" spans="1:10" ht="18.75" x14ac:dyDescent="0.3">
      <c r="A58" s="48"/>
      <c r="B58" s="48"/>
      <c r="C58" s="48"/>
      <c r="D58" s="48"/>
      <c r="E58" s="48"/>
      <c r="F58" s="48"/>
      <c r="G58" s="48"/>
      <c r="H58" s="48"/>
      <c r="I58" s="48"/>
      <c r="J58" s="48"/>
    </row>
    <row r="59" spans="1:10" ht="18.75" x14ac:dyDescent="0.3">
      <c r="A59" s="48"/>
      <c r="B59" s="48"/>
      <c r="C59" s="48"/>
      <c r="D59" s="48"/>
      <c r="E59" s="48"/>
      <c r="F59" s="48"/>
      <c r="G59" s="48"/>
      <c r="H59" s="48"/>
      <c r="I59" s="48"/>
      <c r="J59" s="48"/>
    </row>
    <row r="60" spans="1:10" ht="18.75" x14ac:dyDescent="0.3">
      <c r="A60" s="48"/>
      <c r="B60" s="48"/>
      <c r="C60" s="48"/>
      <c r="D60" s="48"/>
      <c r="E60" s="48"/>
      <c r="F60" s="48"/>
      <c r="G60" s="48"/>
      <c r="H60" s="48"/>
      <c r="I60" s="48"/>
      <c r="J60" s="48"/>
    </row>
    <row r="61" spans="1:10" ht="18.75" x14ac:dyDescent="0.3">
      <c r="A61" s="48"/>
      <c r="B61" s="48"/>
      <c r="C61" s="48"/>
      <c r="D61" s="48"/>
      <c r="E61" s="48"/>
      <c r="F61" s="48"/>
      <c r="G61" s="48"/>
      <c r="H61" s="48"/>
      <c r="I61" s="48"/>
      <c r="J61" s="48"/>
    </row>
    <row r="62" spans="1:10" ht="18.75" x14ac:dyDescent="0.3">
      <c r="A62" s="48"/>
      <c r="B62" s="48"/>
      <c r="C62" s="48"/>
      <c r="D62" s="48"/>
      <c r="E62" s="48"/>
      <c r="F62" s="48"/>
      <c r="G62" s="48"/>
      <c r="H62" s="48"/>
      <c r="I62" s="48"/>
      <c r="J62" s="48"/>
    </row>
    <row r="63" spans="1:10" ht="18.75" x14ac:dyDescent="0.3">
      <c r="A63" s="48"/>
      <c r="B63" s="48"/>
      <c r="C63" s="48"/>
      <c r="D63" s="48"/>
      <c r="E63" s="48"/>
      <c r="F63" s="48"/>
      <c r="G63" s="48"/>
      <c r="H63" s="48"/>
      <c r="I63" s="48"/>
      <c r="J63" s="48"/>
    </row>
    <row r="64" spans="1:10" ht="18.75" x14ac:dyDescent="0.3">
      <c r="A64" s="48"/>
      <c r="B64" s="48"/>
      <c r="C64" s="48"/>
      <c r="D64" s="48"/>
      <c r="E64" s="48"/>
      <c r="F64" s="48"/>
      <c r="G64" s="48"/>
      <c r="H64" s="48"/>
      <c r="I64" s="48"/>
      <c r="J64" s="48"/>
    </row>
    <row r="65" spans="1:10" ht="18.75" x14ac:dyDescent="0.3">
      <c r="A65" s="48"/>
      <c r="B65" s="48"/>
      <c r="C65" s="48"/>
      <c r="D65" s="48"/>
      <c r="E65" s="48"/>
      <c r="F65" s="48"/>
      <c r="G65" s="48"/>
      <c r="H65" s="48"/>
      <c r="I65" s="48"/>
      <c r="J65" s="48"/>
    </row>
    <row r="66" spans="1:10" ht="18.75" x14ac:dyDescent="0.3">
      <c r="A66" s="48"/>
      <c r="B66" s="48"/>
      <c r="C66" s="48"/>
      <c r="D66" s="48"/>
      <c r="E66" s="48"/>
      <c r="F66" s="48"/>
      <c r="G66" s="48"/>
      <c r="H66" s="48"/>
      <c r="I66" s="48"/>
      <c r="J66" s="48"/>
    </row>
    <row r="67" spans="1:10" ht="18.75" x14ac:dyDescent="0.3">
      <c r="A67" s="48"/>
      <c r="B67" s="48"/>
      <c r="C67" s="48"/>
      <c r="D67" s="48"/>
      <c r="E67" s="48"/>
      <c r="F67" s="48"/>
      <c r="G67" s="48"/>
      <c r="H67" s="48"/>
      <c r="I67" s="48"/>
      <c r="J67" s="48"/>
    </row>
    <row r="68" spans="1:10" ht="18.75" x14ac:dyDescent="0.3">
      <c r="A68" s="48"/>
      <c r="B68" s="48"/>
      <c r="C68" s="48"/>
      <c r="D68" s="48"/>
      <c r="E68" s="48"/>
      <c r="F68" s="48"/>
      <c r="G68" s="48"/>
      <c r="H68" s="48"/>
      <c r="I68" s="48"/>
      <c r="J68" s="48"/>
    </row>
    <row r="69" spans="1:10" ht="18.75" x14ac:dyDescent="0.3">
      <c r="A69" s="48"/>
      <c r="B69" s="48"/>
      <c r="C69" s="48"/>
      <c r="D69" s="48"/>
      <c r="E69" s="48"/>
      <c r="F69" s="48"/>
      <c r="G69" s="48"/>
      <c r="H69" s="48"/>
      <c r="I69" s="48"/>
      <c r="J69" s="48"/>
    </row>
    <row r="70" spans="1:10" ht="18.75" x14ac:dyDescent="0.3">
      <c r="A70" s="48"/>
      <c r="B70" s="48"/>
      <c r="C70" s="48"/>
      <c r="D70" s="48"/>
      <c r="E70" s="48"/>
      <c r="F70" s="48"/>
      <c r="G70" s="48"/>
      <c r="H70" s="48"/>
      <c r="I70" s="48"/>
      <c r="J70" s="48"/>
    </row>
    <row r="71" spans="1:10" ht="18.75" x14ac:dyDescent="0.3">
      <c r="A71" s="48"/>
      <c r="B71" s="48"/>
      <c r="C71" s="48"/>
      <c r="D71" s="48"/>
      <c r="E71" s="48"/>
      <c r="F71" s="48"/>
      <c r="G71" s="48"/>
      <c r="H71" s="48"/>
      <c r="I71" s="48"/>
      <c r="J71" s="48"/>
    </row>
    <row r="72" spans="1:10" ht="18.75" x14ac:dyDescent="0.3">
      <c r="A72" s="48"/>
      <c r="B72" s="48"/>
      <c r="C72" s="48"/>
      <c r="D72" s="48"/>
      <c r="E72" s="48"/>
      <c r="F72" s="48"/>
      <c r="G72" s="48"/>
      <c r="H72" s="48"/>
      <c r="I72" s="48"/>
      <c r="J72" s="48"/>
    </row>
    <row r="73" spans="1:10" ht="18.75" x14ac:dyDescent="0.3">
      <c r="A73" s="48"/>
      <c r="B73" s="48"/>
      <c r="C73" s="48"/>
      <c r="D73" s="48"/>
      <c r="E73" s="48"/>
      <c r="F73" s="48"/>
      <c r="G73" s="48"/>
      <c r="H73" s="48"/>
      <c r="I73" s="48"/>
      <c r="J73" s="48"/>
    </row>
    <row r="74" spans="1:10" ht="18.75" x14ac:dyDescent="0.3">
      <c r="A74" s="48"/>
      <c r="B74" s="48"/>
      <c r="C74" s="48"/>
      <c r="D74" s="48"/>
      <c r="E74" s="48"/>
      <c r="F74" s="48"/>
      <c r="G74" s="48"/>
      <c r="H74" s="48"/>
      <c r="I74" s="48"/>
      <c r="J74" s="48"/>
    </row>
    <row r="75" spans="1:10" ht="18.75" x14ac:dyDescent="0.3">
      <c r="A75" s="48"/>
      <c r="B75" s="48"/>
      <c r="C75" s="48"/>
      <c r="D75" s="48"/>
      <c r="E75" s="48"/>
      <c r="F75" s="48"/>
      <c r="G75" s="48"/>
      <c r="H75" s="48"/>
      <c r="I75" s="48"/>
      <c r="J75" s="48"/>
    </row>
    <row r="76" spans="1:10" ht="18.75" x14ac:dyDescent="0.3">
      <c r="A76" s="48"/>
      <c r="B76" s="48"/>
      <c r="C76" s="48"/>
      <c r="D76" s="48"/>
      <c r="E76" s="48"/>
      <c r="F76" s="48"/>
      <c r="G76" s="48"/>
      <c r="H76" s="48"/>
      <c r="I76" s="48"/>
      <c r="J76" s="48"/>
    </row>
    <row r="77" spans="1:10" ht="18.75" x14ac:dyDescent="0.3">
      <c r="A77" s="48"/>
      <c r="B77" s="48"/>
      <c r="C77" s="48"/>
      <c r="D77" s="48"/>
      <c r="E77" s="48"/>
      <c r="F77" s="48"/>
      <c r="G77" s="48"/>
      <c r="H77" s="48"/>
      <c r="I77" s="48"/>
      <c r="J77" s="48"/>
    </row>
    <row r="78" spans="1:10" ht="18.75" x14ac:dyDescent="0.3">
      <c r="A78" s="48"/>
      <c r="B78" s="48"/>
      <c r="C78" s="48"/>
      <c r="D78" s="48"/>
      <c r="E78" s="48"/>
      <c r="F78" s="48"/>
      <c r="G78" s="48"/>
      <c r="H78" s="48"/>
      <c r="I78" s="48"/>
      <c r="J78" s="48"/>
    </row>
    <row r="79" spans="1:10" ht="18.75" x14ac:dyDescent="0.3">
      <c r="A79" s="48"/>
      <c r="B79" s="48"/>
      <c r="C79" s="48"/>
      <c r="D79" s="48"/>
      <c r="E79" s="48"/>
      <c r="F79" s="48"/>
      <c r="G79" s="48"/>
      <c r="H79" s="48"/>
      <c r="I79" s="48"/>
      <c r="J79" s="48"/>
    </row>
    <row r="80" spans="1:10" ht="18.75" x14ac:dyDescent="0.3">
      <c r="A80" s="48"/>
      <c r="B80" s="48"/>
      <c r="C80" s="48"/>
      <c r="D80" s="48"/>
      <c r="E80" s="48"/>
      <c r="F80" s="48"/>
      <c r="G80" s="48"/>
      <c r="H80" s="48"/>
      <c r="I80" s="48"/>
      <c r="J80" s="48"/>
    </row>
    <row r="81" spans="1:10" ht="18.75" x14ac:dyDescent="0.3">
      <c r="A81" s="48"/>
      <c r="B81" s="48"/>
      <c r="C81" s="48"/>
      <c r="D81" s="48"/>
      <c r="E81" s="48"/>
      <c r="F81" s="48"/>
      <c r="G81" s="48"/>
      <c r="H81" s="48"/>
      <c r="I81" s="48"/>
      <c r="J81" s="48"/>
    </row>
    <row r="82" spans="1:10" ht="18.75" x14ac:dyDescent="0.3">
      <c r="A82" s="48"/>
      <c r="B82" s="48"/>
      <c r="C82" s="48"/>
      <c r="D82" s="48"/>
      <c r="E82" s="48"/>
      <c r="F82" s="48"/>
      <c r="G82" s="48"/>
      <c r="H82" s="48"/>
      <c r="I82" s="48"/>
      <c r="J82" s="48"/>
    </row>
    <row r="83" spans="1:10" ht="18.75" x14ac:dyDescent="0.3">
      <c r="A83" s="48"/>
      <c r="B83" s="48"/>
      <c r="C83" s="48"/>
      <c r="D83" s="48"/>
      <c r="E83" s="48"/>
      <c r="F83" s="48"/>
      <c r="G83" s="48"/>
      <c r="H83" s="48"/>
      <c r="I83" s="48"/>
      <c r="J83" s="48"/>
    </row>
    <row r="84" spans="1:10" ht="18.75" x14ac:dyDescent="0.3">
      <c r="A84" s="48"/>
      <c r="B84" s="48"/>
      <c r="C84" s="48"/>
      <c r="D84" s="48"/>
      <c r="E84" s="48"/>
      <c r="F84" s="48"/>
      <c r="G84" s="48"/>
      <c r="H84" s="48"/>
      <c r="I84" s="48"/>
      <c r="J84" s="48"/>
    </row>
    <row r="85" spans="1:10" ht="18.75" x14ac:dyDescent="0.3">
      <c r="A85" s="48"/>
      <c r="B85" s="48"/>
      <c r="C85" s="48"/>
      <c r="D85" s="48"/>
      <c r="E85" s="48"/>
      <c r="F85" s="48"/>
      <c r="G85" s="48"/>
      <c r="H85" s="48"/>
      <c r="I85" s="48"/>
      <c r="J85" s="48"/>
    </row>
    <row r="86" spans="1:10" ht="18.75" x14ac:dyDescent="0.3">
      <c r="A86" s="48"/>
      <c r="B86" s="48"/>
      <c r="C86" s="48"/>
      <c r="D86" s="48"/>
      <c r="E86" s="48"/>
      <c r="F86" s="48"/>
      <c r="G86" s="48"/>
      <c r="H86" s="48"/>
      <c r="I86" s="48"/>
      <c r="J86" s="48"/>
    </row>
    <row r="87" spans="1:10" ht="18.75" x14ac:dyDescent="0.3">
      <c r="A87" s="48"/>
      <c r="B87" s="48"/>
      <c r="C87" s="48"/>
      <c r="D87" s="48"/>
      <c r="E87" s="48"/>
      <c r="F87" s="48"/>
      <c r="G87" s="48"/>
      <c r="H87" s="48"/>
      <c r="I87" s="48"/>
      <c r="J87" s="48"/>
    </row>
    <row r="88" spans="1:10" ht="18.75" x14ac:dyDescent="0.3">
      <c r="A88" s="48"/>
      <c r="B88" s="48"/>
      <c r="C88" s="48"/>
      <c r="D88" s="48"/>
      <c r="E88" s="48"/>
      <c r="F88" s="48"/>
      <c r="G88" s="48"/>
      <c r="H88" s="48"/>
      <c r="I88" s="48"/>
      <c r="J88" s="48"/>
    </row>
    <row r="89" spans="1:10" ht="18.75" x14ac:dyDescent="0.3">
      <c r="A89" s="48"/>
      <c r="B89" s="48"/>
      <c r="C89" s="48"/>
      <c r="D89" s="48"/>
      <c r="E89" s="48"/>
      <c r="F89" s="48"/>
      <c r="G89" s="48"/>
      <c r="H89" s="48"/>
      <c r="I89" s="48"/>
      <c r="J89" s="48"/>
    </row>
    <row r="90" spans="1:10" ht="18.75" x14ac:dyDescent="0.3">
      <c r="A90" s="48"/>
      <c r="B90" s="48"/>
      <c r="C90" s="48"/>
      <c r="D90" s="48"/>
      <c r="E90" s="48"/>
      <c r="F90" s="48"/>
      <c r="G90" s="48"/>
      <c r="H90" s="48"/>
      <c r="I90" s="48"/>
      <c r="J90" s="48"/>
    </row>
    <row r="91" spans="1:10" ht="18.75" x14ac:dyDescent="0.3">
      <c r="A91" s="48"/>
      <c r="B91" s="48"/>
      <c r="C91" s="48"/>
      <c r="D91" s="48"/>
      <c r="E91" s="48"/>
      <c r="F91" s="48"/>
      <c r="G91" s="48"/>
      <c r="H91" s="48"/>
      <c r="I91" s="48"/>
      <c r="J91" s="48"/>
    </row>
    <row r="92" spans="1:10" ht="18.75" x14ac:dyDescent="0.3">
      <c r="A92" s="48"/>
      <c r="B92" s="48"/>
      <c r="C92" s="48"/>
      <c r="D92" s="48"/>
      <c r="E92" s="48"/>
      <c r="F92" s="48"/>
      <c r="G92" s="48"/>
      <c r="H92" s="48"/>
      <c r="I92" s="48"/>
      <c r="J92" s="48"/>
    </row>
  </sheetData>
  <mergeCells count="4">
    <mergeCell ref="B4:D4"/>
    <mergeCell ref="F4:H4"/>
    <mergeCell ref="B5:D5"/>
    <mergeCell ref="F5:H5"/>
  </mergeCells>
  <hyperlinks>
    <hyperlink ref="B1" location="Innhold!A1" display="Tilbake" xr:uid="{F3E75261-2AE4-411B-B0FA-C74A0CB898BF}"/>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8" width="10.7109375" style="1" customWidth="1"/>
    <col min="9" max="9" width="12.28515625" style="1" bestFit="1" customWidth="1"/>
    <col min="10" max="10" width="8.7109375" style="1" customWidth="1"/>
    <col min="11" max="16384" width="11.42578125" style="1"/>
  </cols>
  <sheetData>
    <row r="1" spans="1:13" ht="15.75" customHeight="1" x14ac:dyDescent="0.2">
      <c r="A1" s="279">
        <v>4</v>
      </c>
    </row>
    <row r="2" spans="1:13" ht="15.75" customHeight="1" x14ac:dyDescent="0.25">
      <c r="A2" s="110" t="s">
        <v>28</v>
      </c>
      <c r="B2" s="789"/>
      <c r="C2" s="789"/>
      <c r="D2" s="789"/>
      <c r="E2" s="789"/>
      <c r="F2" s="789"/>
      <c r="G2" s="789"/>
      <c r="H2" s="789"/>
      <c r="I2" s="789"/>
      <c r="J2" s="789"/>
    </row>
    <row r="3" spans="1:13" ht="15.75" customHeight="1" x14ac:dyDescent="0.25">
      <c r="A3" s="120"/>
      <c r="B3" s="235"/>
      <c r="C3" s="235"/>
      <c r="D3" s="235"/>
      <c r="E3" s="235"/>
      <c r="F3" s="235"/>
      <c r="G3" s="235"/>
      <c r="H3" s="235"/>
      <c r="I3" s="235"/>
      <c r="J3" s="235"/>
    </row>
    <row r="4" spans="1:13" ht="15.75" customHeight="1" x14ac:dyDescent="0.2">
      <c r="A4" s="108"/>
      <c r="B4" s="786" t="s">
        <v>0</v>
      </c>
      <c r="C4" s="787"/>
      <c r="D4" s="787"/>
      <c r="E4" s="786" t="s">
        <v>1</v>
      </c>
      <c r="F4" s="787"/>
      <c r="G4" s="787"/>
      <c r="H4" s="786" t="s">
        <v>2</v>
      </c>
      <c r="I4" s="787"/>
      <c r="J4" s="788"/>
    </row>
    <row r="5" spans="1:13" ht="15.75" customHeight="1" x14ac:dyDescent="0.2">
      <c r="A5" s="116"/>
      <c r="B5" s="17">
        <v>45291</v>
      </c>
      <c r="C5" s="17">
        <v>45657</v>
      </c>
      <c r="D5" s="193" t="s">
        <v>3</v>
      </c>
      <c r="E5" s="17">
        <v>45291</v>
      </c>
      <c r="F5" s="17">
        <v>45657</v>
      </c>
      <c r="G5" s="193" t="s">
        <v>3</v>
      </c>
      <c r="H5" s="17">
        <v>45291</v>
      </c>
      <c r="I5" s="17">
        <v>45657</v>
      </c>
      <c r="J5" s="193" t="s">
        <v>3</v>
      </c>
    </row>
    <row r="6" spans="1:13" ht="15.75" customHeight="1" x14ac:dyDescent="0.2">
      <c r="A6" s="767"/>
      <c r="B6" s="12"/>
      <c r="C6" s="12"/>
      <c r="D6" s="14" t="s">
        <v>4</v>
      </c>
      <c r="E6" s="13"/>
      <c r="F6" s="13"/>
      <c r="G6" s="12" t="s">
        <v>4</v>
      </c>
      <c r="H6" s="13"/>
      <c r="I6" s="13"/>
      <c r="J6" s="12" t="s">
        <v>4</v>
      </c>
      <c r="M6" s="265"/>
    </row>
    <row r="7" spans="1:13" s="35" customFormat="1" ht="15.75" customHeight="1" x14ac:dyDescent="0.2">
      <c r="A7" s="11" t="s">
        <v>23</v>
      </c>
      <c r="B7" s="180">
        <f>'Fremtind Livsforsikring'!B7+'DNB Livsforsikring'!B7+'Eika Forsikring AS'!B7+'Frende Livsforsikring'!B7+'Frende Skadeforsikring'!B7+'Gjensidige Forsikring'!B7+'Gjensidige Pensjon'!B7+'If Skadeforsikring NUF'!B7+KLP!B7+'KLP Skadeforsikring AS'!B7+'Landkreditt Forsikring'!B7+'Nordea Liv '!B7+'Oslo Pensjonsforsikring'!B7+'Protector Forsikring'!B7+'Sparebank 1 Forsikring'!B7+'Storebrand Livsforsikring'!B7+'Telenor Forsikring'!B7+'Tryg Forsikring'!B7+'WaterCircles F'!B7+'Euro Accident'!B7+'Ly Forsikring'!B7+'Youplus Livsforsikring'!B7+'Oslo Forsikring'!B7</f>
        <v>5419764.5364713911</v>
      </c>
      <c r="C7" s="180">
        <f>'Fremtind Livsforsikring'!C7+'DNB Livsforsikring'!C7+'Eika Forsikring AS'!C7+'Frende Livsforsikring'!C7+'Frende Skadeforsikring'!C7+'Gjensidige Forsikring'!C7+'Gjensidige Pensjon'!C7+'If Skadeforsikring NUF'!C7+KLP!C7+'KLP Skadeforsikring AS'!C7+'Landkreditt Forsikring'!C7+'Nordea Liv '!C7+'Oslo Pensjonsforsikring'!C7+'Protector Forsikring'!C7+'Sparebank 1 Forsikring'!C7+'Storebrand Livsforsikring'!C7+'Telenor Forsikring'!C7+'Tryg Forsikring'!C7+'WaterCircles F'!C7+'Euro Accident'!C7+'Ly Forsikring'!C7+'Youplus Livsforsikring'!C7+'Oslo Forsikring'!C7</f>
        <v>5523998.3509786185</v>
      </c>
      <c r="D7" s="118">
        <f t="shared" ref="D7:D12" si="0">IF(B7=0, "    ---- ", IF(ABS(ROUND(100/B7*C7-100,1))&lt;999,ROUND(100/B7*C7-100,1),IF(ROUND(100/B7*C7-100,1)&gt;999,999,-999)))</f>
        <v>1.9</v>
      </c>
      <c r="E7" s="180">
        <f>'Fremtind Livsforsikring'!F7+'DNB Livsforsikring'!F7+'Eika Forsikring AS'!F7+'Frende Livsforsikring'!F7+'Frende Skadeforsikring'!F7+'Gjensidige Forsikring'!F7+'Gjensidige Pensjon'!F7+'If Skadeforsikring NUF'!F7+KLP!F7+'KLP Skadeforsikring AS'!F7+'Landkreditt Forsikring'!F7+'Nordea Liv '!F7+'Oslo Pensjonsforsikring'!F7+'Protector Forsikring'!F7+'Sparebank 1 Forsikring'!F7+'Storebrand Livsforsikring'!F7+'Telenor Forsikring'!F7+'Tryg Forsikring'!F7+'WaterCircles F'!F7+'Euro Accident'!F7+'Ly Forsikring'!F7+'Youplus Livsforsikring'!F7+'Oslo Forsikring'!F7</f>
        <v>10938001.22459</v>
      </c>
      <c r="F7" s="180">
        <f>'Fremtind Livsforsikring'!G7+'DNB Livsforsikring'!G7+'Eika Forsikring AS'!G7+'Frende Livsforsikring'!G7+'Frende Skadeforsikring'!G7+'Gjensidige Forsikring'!G7+'Gjensidige Pensjon'!G7+'If Skadeforsikring NUF'!G7+KLP!G7+'KLP Skadeforsikring AS'!G7+'Landkreditt Forsikring'!G7+'Nordea Liv '!G7+'Oslo Pensjonsforsikring'!G7+'Protector Forsikring'!G7+'Sparebank 1 Forsikring'!G7+'Storebrand Livsforsikring'!G7+'Telenor Forsikring'!G7+'Tryg Forsikring'!G7+'WaterCircles F'!G7+'Euro Accident'!G7+'Ly Forsikring'!G7+'Youplus Livsforsikring'!G7+'Oslo Forsikring'!G7</f>
        <v>14213362.53359</v>
      </c>
      <c r="G7" s="118">
        <f t="shared" ref="G7:G12" si="1">IF(E7=0, "    ---- ", IF(ABS(ROUND(100/E7*F7-100,1))&lt;999,ROUND(100/E7*F7-100,1),IF(ROUND(100/E7*F7-100,1)&gt;999,999,-999)))</f>
        <v>29.9</v>
      </c>
      <c r="H7" s="215">
        <f t="shared" ref="H7:H12" si="2">B7+E7</f>
        <v>16357765.761061391</v>
      </c>
      <c r="I7" s="216">
        <f t="shared" ref="I7:I12" si="3">C7+F7</f>
        <v>19737360.884568617</v>
      </c>
      <c r="J7" s="125">
        <f t="shared" ref="J7:J12" si="4">IF(H7=0, "    ---- ", IF(ABS(ROUND(100/H7*I7-100,1))&lt;999,ROUND(100/H7*I7-100,1),IF(ROUND(100/H7*I7-100,1)&gt;999,999,-999)))</f>
        <v>20.7</v>
      </c>
    </row>
    <row r="8" spans="1:13" ht="15.75" customHeight="1" x14ac:dyDescent="0.2">
      <c r="A8" s="18" t="s">
        <v>25</v>
      </c>
      <c r="B8" s="36">
        <f>'Fremtind Livsforsikring'!B8+'DNB Livsforsikring'!B8+'Eika Forsikring AS'!B8+'Frende Livsforsikring'!B8+'Frende Skadeforsikring'!B8+'Gjensidige Forsikring'!B8+'Gjensidige Pensjon'!B8+'If Skadeforsikring NUF'!B8+KLP!B8+'KLP Skadeforsikring AS'!B8+'Landkreditt Forsikring'!B8+'Nordea Liv '!B8+'Oslo Pensjonsforsikring'!B8+'Protector Forsikring'!B8+'Sparebank 1 Forsikring'!B8+'Storebrand Livsforsikring'!B8+'Telenor Forsikring'!B8+'Tryg Forsikring'!B8+'WaterCircles F'!B8+'Euro Accident'!B8+'Ly Forsikring'!B8+'Youplus Livsforsikring'!B8+'Oslo Forsikring'!B8</f>
        <v>3453143.1932498571</v>
      </c>
      <c r="C8" s="36">
        <f>'Fremtind Livsforsikring'!C8+'DNB Livsforsikring'!C8+'Eika Forsikring AS'!C8+'Frende Livsforsikring'!C8+'Frende Skadeforsikring'!C8+'Gjensidige Forsikring'!C8+'Gjensidige Pensjon'!C8+'If Skadeforsikring NUF'!C8+KLP!C8+'KLP Skadeforsikring AS'!C8+'Landkreditt Forsikring'!C8+'Nordea Liv '!C8+'Oslo Pensjonsforsikring'!C8+'Protector Forsikring'!C8+'Sparebank 1 Forsikring'!C8+'Storebrand Livsforsikring'!C8+'Telenor Forsikring'!C8+'Tryg Forsikring'!C8+'WaterCircles F'!C8+'Euro Accident'!C8+'Ly Forsikring'!C8+'Youplus Livsforsikring'!C8+'Oslo Forsikring'!C8</f>
        <v>3667991.0370357605</v>
      </c>
      <c r="D8" s="121">
        <f t="shared" si="0"/>
        <v>6.2</v>
      </c>
      <c r="E8" s="137"/>
      <c r="F8" s="137"/>
      <c r="G8" s="129"/>
      <c r="H8" s="138">
        <f t="shared" si="2"/>
        <v>3453143.1932498571</v>
      </c>
      <c r="I8" s="139">
        <f t="shared" si="3"/>
        <v>3667991.0370357605</v>
      </c>
      <c r="J8" s="125">
        <f t="shared" si="4"/>
        <v>6.2</v>
      </c>
    </row>
    <row r="9" spans="1:13" ht="15.75" customHeight="1" x14ac:dyDescent="0.2">
      <c r="A9" s="18" t="s">
        <v>24</v>
      </c>
      <c r="B9" s="36">
        <f>'Fremtind Livsforsikring'!B9+'DNB Livsforsikring'!B9+'Eika Forsikring AS'!B9+'Frende Livsforsikring'!B9+'Frende Skadeforsikring'!B9+'Gjensidige Forsikring'!B9+'Gjensidige Pensjon'!B9+'If Skadeforsikring NUF'!B9+KLP!B9+'KLP Skadeforsikring AS'!B9+'Landkreditt Forsikring'!B9+'Nordea Liv '!B9+'Oslo Pensjonsforsikring'!B9+'Protector Forsikring'!B9+'Sparebank 1 Forsikring'!B9+'Storebrand Livsforsikring'!B9+'Telenor Forsikring'!B9+'Tryg Forsikring'!B9+'WaterCircles F'!B9+'Euro Accident'!B9+'Ly Forsikring'!B9+'Youplus Livsforsikring'!B9+'Oslo Forsikring'!B9</f>
        <v>1107690.5780277611</v>
      </c>
      <c r="C9" s="36">
        <f>'Fremtind Livsforsikring'!C9+'DNB Livsforsikring'!C9+'Eika Forsikring AS'!C9+'Frende Livsforsikring'!C9+'Frende Skadeforsikring'!C9+'Gjensidige Forsikring'!C9+'Gjensidige Pensjon'!C9+'If Skadeforsikring NUF'!C9+KLP!C9+'KLP Skadeforsikring AS'!C9+'Landkreditt Forsikring'!C9+'Nordea Liv '!C9+'Oslo Pensjonsforsikring'!C9+'Protector Forsikring'!C9+'Sparebank 1 Forsikring'!C9+'Storebrand Livsforsikring'!C9+'Telenor Forsikring'!C9+'Tryg Forsikring'!C9+'WaterCircles F'!C9+'Euro Accident'!C9+'Ly Forsikring'!C9+'Youplus Livsforsikring'!C9+'Oslo Forsikring'!C9</f>
        <v>1090507.9259172403</v>
      </c>
      <c r="D9" s="129">
        <f t="shared" si="0"/>
        <v>-1.6</v>
      </c>
      <c r="E9" s="137"/>
      <c r="F9" s="137"/>
      <c r="G9" s="129"/>
      <c r="H9" s="138">
        <f t="shared" si="2"/>
        <v>1107690.5780277611</v>
      </c>
      <c r="I9" s="139">
        <f t="shared" si="3"/>
        <v>1090507.9259172403</v>
      </c>
      <c r="J9" s="125">
        <f t="shared" si="4"/>
        <v>-1.6</v>
      </c>
    </row>
    <row r="10" spans="1:13" s="35" customFormat="1" ht="15.75" customHeight="1" x14ac:dyDescent="0.2">
      <c r="A10" s="10" t="s">
        <v>386</v>
      </c>
      <c r="B10" s="180">
        <f>'Fremtind Livsforsikring'!B10+'DNB Livsforsikring'!B10+'Eika Forsikring AS'!B10+'Frende Livsforsikring'!B10+'Frende Skadeforsikring'!B10+'Gjensidige Forsikring'!B10+'Gjensidige Pensjon'!B10+'If Skadeforsikring NUF'!B10+KLP!B10+'KLP Skadeforsikring AS'!B10+'Landkreditt Forsikring'!B10+'Nordea Liv '!B10+'Oslo Pensjonsforsikring'!B10+'Protector Forsikring'!B10+'Sparebank 1 Forsikring'!B10+'Storebrand Livsforsikring'!B10+'Telenor Forsikring'!B10+'Tryg Forsikring'!B10+'WaterCircles F'!B10+'Euro Accident'!B10+'Ly Forsikring'!B10+'Youplus Livsforsikring'!B10+'Oslo Forsikring'!B10</f>
        <v>15880216.257714039</v>
      </c>
      <c r="C10" s="180">
        <f>'Fremtind Livsforsikring'!C10+'DNB Livsforsikring'!C10+'Eika Forsikring AS'!C10+'Frende Livsforsikring'!C10+'Frende Skadeforsikring'!C10+'Gjensidige Forsikring'!C10+'Gjensidige Pensjon'!C10+'If Skadeforsikring NUF'!C10+KLP!C10+'KLP Skadeforsikring AS'!C10+'Landkreditt Forsikring'!C10+'Nordea Liv '!C10+'Oslo Pensjonsforsikring'!C10+'Protector Forsikring'!C10+'Sparebank 1 Forsikring'!C10+'Storebrand Livsforsikring'!C10+'Telenor Forsikring'!C10+'Tryg Forsikring'!C10+'WaterCircles F'!C10+'Euro Accident'!C10+'Ly Forsikring'!C10+'Youplus Livsforsikring'!C10+'Oslo Forsikring'!C10</f>
        <v>15298143.794006975</v>
      </c>
      <c r="D10" s="118">
        <f t="shared" si="0"/>
        <v>-3.7</v>
      </c>
      <c r="E10" s="180">
        <f>'Fremtind Livsforsikring'!F10+'DNB Livsforsikring'!F10+'Eika Forsikring AS'!F10+'Frende Livsforsikring'!F10+'Frende Skadeforsikring'!F10+'Gjensidige Forsikring'!F10+'Gjensidige Pensjon'!F10+'If Skadeforsikring NUF'!F10+KLP!F10+'KLP Skadeforsikring AS'!F10+'Landkreditt Forsikring'!F10+'Nordea Liv '!F10+'Oslo Pensjonsforsikring'!F10+'Protector Forsikring'!F10+'Sparebank 1 Forsikring'!F10+'Storebrand Livsforsikring'!F10+'Telenor Forsikring'!F10+'Tryg Forsikring'!F10+'WaterCircles F'!F10+'Euro Accident'!F10+'Ly Forsikring'!F10+'Youplus Livsforsikring'!F10+'Oslo Forsikring'!F10</f>
        <v>82503571.93116501</v>
      </c>
      <c r="F10" s="180">
        <f>'Fremtind Livsforsikring'!G10+'DNB Livsforsikring'!G10+'Eika Forsikring AS'!G10+'Frende Livsforsikring'!G10+'Frende Skadeforsikring'!G10+'Gjensidige Forsikring'!G10+'Gjensidige Pensjon'!G10+'If Skadeforsikring NUF'!G10+KLP!G10+'KLP Skadeforsikring AS'!G10+'Landkreditt Forsikring'!G10+'Nordea Liv '!G10+'Oslo Pensjonsforsikring'!G10+'Protector Forsikring'!G10+'Sparebank 1 Forsikring'!G10+'Storebrand Livsforsikring'!G10+'Telenor Forsikring'!G10+'Tryg Forsikring'!G10+'WaterCircles F'!G10+'Euro Accident'!G10+'Ly Forsikring'!G10+'Youplus Livsforsikring'!G10+'Oslo Forsikring'!G10</f>
        <v>101754611.42249104</v>
      </c>
      <c r="G10" s="118">
        <f t="shared" si="1"/>
        <v>23.3</v>
      </c>
      <c r="H10" s="215">
        <f t="shared" si="2"/>
        <v>98383788.188879043</v>
      </c>
      <c r="I10" s="216">
        <f t="shared" si="3"/>
        <v>117052755.21649802</v>
      </c>
      <c r="J10" s="125">
        <f t="shared" si="4"/>
        <v>19</v>
      </c>
    </row>
    <row r="11" spans="1:13" s="35" customFormat="1" ht="15.75" customHeight="1" x14ac:dyDescent="0.2">
      <c r="A11" s="10" t="s">
        <v>387</v>
      </c>
      <c r="B11" s="180">
        <f>'Fremtind Livsforsikring'!B11+'DNB Livsforsikring'!B11+'Eika Forsikring AS'!B11+'Frende Livsforsikring'!B11+'Frende Skadeforsikring'!B11+'Gjensidige Forsikring'!B11+'Gjensidige Pensjon'!B11+'If Skadeforsikring NUF'!B11+KLP!B11+'KLP Skadeforsikring AS'!B11+'Landkreditt Forsikring'!B11+'Nordea Liv '!B11+'Oslo Pensjonsforsikring'!B11+'Protector Forsikring'!B11+'Sparebank 1 Forsikring'!B11+'Storebrand Livsforsikring'!B11+'Telenor Forsikring'!B11+'Tryg Forsikring'!B11+'WaterCircles F'!B11+'Euro Accident'!B11+'Ly Forsikring'!B11+'Youplus Livsforsikring'!B11+'Oslo Forsikring'!B11</f>
        <v>26026</v>
      </c>
      <c r="C11" s="180">
        <f>'Fremtind Livsforsikring'!C11+'DNB Livsforsikring'!C11+'Eika Forsikring AS'!C11+'Frende Livsforsikring'!C11+'Frende Skadeforsikring'!C11+'Gjensidige Forsikring'!C11+'Gjensidige Pensjon'!C11+'If Skadeforsikring NUF'!C11+KLP!C11+'KLP Skadeforsikring AS'!C11+'Landkreditt Forsikring'!C11+'Nordea Liv '!C11+'Oslo Pensjonsforsikring'!C11+'Protector Forsikring'!C11+'Sparebank 1 Forsikring'!C11+'Storebrand Livsforsikring'!C11+'Telenor Forsikring'!C11+'Tryg Forsikring'!C11+'WaterCircles F'!C11+'Euro Accident'!C11+'Ly Forsikring'!C11+'Youplus Livsforsikring'!C11+'Oslo Forsikring'!C11</f>
        <v>1517</v>
      </c>
      <c r="D11" s="125">
        <f t="shared" si="0"/>
        <v>-94.2</v>
      </c>
      <c r="E11" s="180">
        <f>'Fremtind Livsforsikring'!F11+'DNB Livsforsikring'!F11+'Eika Forsikring AS'!F11+'Frende Livsforsikring'!F11+'Frende Skadeforsikring'!F11+'Gjensidige Forsikring'!F11+'Gjensidige Pensjon'!F11+'If Skadeforsikring NUF'!F11+KLP!F11+'KLP Skadeforsikring AS'!F11+'Landkreditt Forsikring'!F11+'Nordea Liv '!F11+'Oslo Pensjonsforsikring'!F11+'Protector Forsikring'!F11+'Sparebank 1 Forsikring'!F11+'Storebrand Livsforsikring'!F11+'Telenor Forsikring'!F11+'Tryg Forsikring'!F11+'WaterCircles F'!F11+'Euro Accident'!F11+'Ly Forsikring'!F11+'Youplus Livsforsikring'!F11+'Oslo Forsikring'!F11</f>
        <v>237285.07452999998</v>
      </c>
      <c r="F11" s="180">
        <f>'Fremtind Livsforsikring'!G11+'DNB Livsforsikring'!G11+'Eika Forsikring AS'!G11+'Frende Livsforsikring'!G11+'Frende Skadeforsikring'!G11+'Gjensidige Forsikring'!G11+'Gjensidige Pensjon'!G11+'If Skadeforsikring NUF'!G11+KLP!G11+'KLP Skadeforsikring AS'!G11+'Landkreditt Forsikring'!G11+'Nordea Liv '!G11+'Oslo Pensjonsforsikring'!G11+'Protector Forsikring'!G11+'Sparebank 1 Forsikring'!G11+'Storebrand Livsforsikring'!G11+'Telenor Forsikring'!G11+'Tryg Forsikring'!G11+'WaterCircles F'!G11+'Euro Accident'!G11+'Ly Forsikring'!G11+'Youplus Livsforsikring'!G11+'Oslo Forsikring'!G11</f>
        <v>395869.34132000001</v>
      </c>
      <c r="G11" s="125">
        <f t="shared" si="1"/>
        <v>66.8</v>
      </c>
      <c r="H11" s="215">
        <f t="shared" si="2"/>
        <v>263311.07452999998</v>
      </c>
      <c r="I11" s="216">
        <f t="shared" si="3"/>
        <v>397386.34132000001</v>
      </c>
      <c r="J11" s="125">
        <f t="shared" si="4"/>
        <v>50.9</v>
      </c>
    </row>
    <row r="12" spans="1:13" s="35" customFormat="1" ht="15.75" customHeight="1" x14ac:dyDescent="0.2">
      <c r="A12" s="33" t="s">
        <v>388</v>
      </c>
      <c r="B12" s="214">
        <f>'Fremtind Livsforsikring'!B12+'DNB Livsforsikring'!B12+'Eika Forsikring AS'!B12+'Frende Livsforsikring'!B12+'Frende Skadeforsikring'!B12+'Gjensidige Forsikring'!B12+'Gjensidige Pensjon'!B12+'If Skadeforsikring NUF'!B12+KLP!B12+'KLP Skadeforsikring AS'!B12+'Landkreditt Forsikring'!B12+'Nordea Liv '!B12+'Oslo Pensjonsforsikring'!B12+'Protector Forsikring'!B12+'Sparebank 1 Forsikring'!B12+'Storebrand Livsforsikring'!B12+'Telenor Forsikring'!B12+'Tryg Forsikring'!B12+'WaterCircles F'!B12+'Euro Accident'!B12+'Ly Forsikring'!B12+'Youplus Livsforsikring'!B12+'Oslo Forsikring'!B12</f>
        <v>3039</v>
      </c>
      <c r="C12" s="214">
        <f>'Fremtind Livsforsikring'!C12+'DNB Livsforsikring'!C12+'Eika Forsikring AS'!C12+'Frende Livsforsikring'!C12+'Frende Skadeforsikring'!C12+'Gjensidige Forsikring'!C12+'Gjensidige Pensjon'!C12+'If Skadeforsikring NUF'!C12+KLP!C12+'KLP Skadeforsikring AS'!C12+'Landkreditt Forsikring'!C12+'Nordea Liv '!C12+'Oslo Pensjonsforsikring'!C12+'Protector Forsikring'!C12+'Sparebank 1 Forsikring'!C12+'Storebrand Livsforsikring'!C12+'Telenor Forsikring'!C12+'Tryg Forsikring'!C12+'WaterCircles F'!C12+'Euro Accident'!C12+'Ly Forsikring'!C12+'Youplus Livsforsikring'!C12+'Oslo Forsikring'!C12</f>
        <v>1579</v>
      </c>
      <c r="D12" s="124">
        <f t="shared" si="0"/>
        <v>-48</v>
      </c>
      <c r="E12" s="214">
        <f>'Fremtind Livsforsikring'!F12+'DNB Livsforsikring'!F12+'Eika Forsikring AS'!F12+'Frende Livsforsikring'!F12+'Frende Skadeforsikring'!F12+'Gjensidige Forsikring'!F12+'Gjensidige Pensjon'!F12+'If Skadeforsikring NUF'!F12+KLP!F12+'KLP Skadeforsikring AS'!F12+'Landkreditt Forsikring'!F12+'Nordea Liv '!F12+'Oslo Pensjonsforsikring'!F12+'Protector Forsikring'!F12+'Sparebank 1 Forsikring'!F12+'Storebrand Livsforsikring'!F12+'Telenor Forsikring'!F12+'Tryg Forsikring'!F12+'WaterCircles F'!F12+'Euro Accident'!F12+'Ly Forsikring'!F12+'Youplus Livsforsikring'!F12+'Oslo Forsikring'!F12</f>
        <v>233317.68229000003</v>
      </c>
      <c r="F12" s="214">
        <f>'Fremtind Livsforsikring'!G12+'DNB Livsforsikring'!G12+'Eika Forsikring AS'!G12+'Frende Livsforsikring'!G12+'Frende Skadeforsikring'!G12+'Gjensidige Forsikring'!G12+'Gjensidige Pensjon'!G12+'If Skadeforsikring NUF'!G12+KLP!G12+'KLP Skadeforsikring AS'!G12+'Landkreditt Forsikring'!G12+'Nordea Liv '!G12+'Oslo Pensjonsforsikring'!G12+'Protector Forsikring'!G12+'Sparebank 1 Forsikring'!G12+'Storebrand Livsforsikring'!G12+'Telenor Forsikring'!G12+'Tryg Forsikring'!G12+'WaterCircles F'!G12+'Euro Accident'!G12+'Ly Forsikring'!G12+'Youplus Livsforsikring'!G12+'Oslo Forsikring'!G12</f>
        <v>390172.69474999997</v>
      </c>
      <c r="G12" s="123">
        <f t="shared" si="1"/>
        <v>67.2</v>
      </c>
      <c r="H12" s="217">
        <f t="shared" si="2"/>
        <v>236356.68229000003</v>
      </c>
      <c r="I12" s="218">
        <f t="shared" si="3"/>
        <v>391751.69474999997</v>
      </c>
      <c r="J12" s="123">
        <f t="shared" si="4"/>
        <v>65.7</v>
      </c>
    </row>
    <row r="13" spans="1:13" s="35" customFormat="1" ht="15.75" customHeight="1" x14ac:dyDescent="0.2">
      <c r="A13" s="107"/>
      <c r="B13" s="29"/>
      <c r="C13" s="3"/>
      <c r="D13" s="26"/>
      <c r="E13" s="29"/>
      <c r="F13" s="3"/>
      <c r="G13" s="26"/>
      <c r="H13" s="38"/>
      <c r="I13" s="38"/>
      <c r="J13" s="26"/>
    </row>
    <row r="14" spans="1:13" ht="15.75" customHeight="1" x14ac:dyDescent="0.2">
      <c r="A14" s="113" t="s">
        <v>244</v>
      </c>
    </row>
    <row r="15" spans="1:13" ht="15.75" customHeight="1" x14ac:dyDescent="0.2">
      <c r="A15" s="22"/>
    </row>
    <row r="16" spans="1:13" ht="15.75" customHeight="1" x14ac:dyDescent="0.25">
      <c r="A16" s="114"/>
      <c r="C16" s="24"/>
      <c r="D16" s="24"/>
      <c r="E16" s="24"/>
      <c r="F16" s="24"/>
      <c r="G16" s="24"/>
      <c r="H16" s="24"/>
      <c r="I16" s="24"/>
      <c r="J16" s="24"/>
    </row>
    <row r="17" spans="1:10" ht="15.75" customHeight="1" x14ac:dyDescent="0.25">
      <c r="A17" s="110" t="s">
        <v>241</v>
      </c>
      <c r="B17" s="24"/>
      <c r="C17" s="24"/>
      <c r="D17" s="25"/>
      <c r="E17" s="24"/>
      <c r="F17" s="24"/>
      <c r="G17" s="24"/>
      <c r="H17" s="24"/>
      <c r="I17" s="24"/>
      <c r="J17" s="24"/>
    </row>
    <row r="18" spans="1:10" ht="15.75" customHeight="1" x14ac:dyDescent="0.25">
      <c r="A18" s="22"/>
      <c r="B18" s="789"/>
      <c r="C18" s="789"/>
      <c r="D18" s="789"/>
      <c r="E18" s="789"/>
      <c r="F18" s="789"/>
      <c r="G18" s="789"/>
      <c r="H18" s="789"/>
      <c r="I18" s="789"/>
      <c r="J18" s="789"/>
    </row>
    <row r="19" spans="1:10" ht="15.75" customHeight="1" x14ac:dyDescent="0.2">
      <c r="A19" s="108"/>
      <c r="B19" s="786" t="s">
        <v>0</v>
      </c>
      <c r="C19" s="787"/>
      <c r="D19" s="787"/>
      <c r="E19" s="786" t="s">
        <v>1</v>
      </c>
      <c r="F19" s="787"/>
      <c r="G19" s="788"/>
      <c r="H19" s="787" t="s">
        <v>2</v>
      </c>
      <c r="I19" s="787"/>
      <c r="J19" s="788"/>
    </row>
    <row r="20" spans="1:10" ht="15.75" customHeight="1" x14ac:dyDescent="0.2">
      <c r="A20" s="105" t="s">
        <v>5</v>
      </c>
      <c r="B20" s="17">
        <v>45291</v>
      </c>
      <c r="C20" s="17">
        <v>45657</v>
      </c>
      <c r="D20" s="193" t="s">
        <v>3</v>
      </c>
      <c r="E20" s="17">
        <v>45291</v>
      </c>
      <c r="F20" s="17">
        <v>45657</v>
      </c>
      <c r="G20" s="193" t="s">
        <v>3</v>
      </c>
      <c r="H20" s="17">
        <v>45291</v>
      </c>
      <c r="I20" s="17">
        <v>45657</v>
      </c>
      <c r="J20" s="193" t="s">
        <v>3</v>
      </c>
    </row>
    <row r="21" spans="1:10" ht="15.75" customHeight="1" x14ac:dyDescent="0.2">
      <c r="A21" s="768"/>
      <c r="B21" s="12"/>
      <c r="C21" s="12"/>
      <c r="D21" s="14" t="s">
        <v>4</v>
      </c>
      <c r="E21" s="13"/>
      <c r="F21" s="13"/>
      <c r="G21" s="12" t="s">
        <v>4</v>
      </c>
      <c r="H21" s="13"/>
      <c r="I21" s="13"/>
      <c r="J21" s="12" t="s">
        <v>4</v>
      </c>
    </row>
    <row r="22" spans="1:10" s="35" customFormat="1" ht="15.75" customHeight="1" x14ac:dyDescent="0.2">
      <c r="A22" s="11" t="s">
        <v>23</v>
      </c>
      <c r="B22" s="180">
        <f>'Fremtind Livsforsikring'!B22+'DNB Livsforsikring'!B22+'Eika Forsikring AS'!B22+'Frende Livsforsikring'!B22+'Frende Skadeforsikring'!B22+'Gjensidige Forsikring'!B22+'Gjensidige Pensjon'!B22+'If Skadeforsikring NUF'!B22+KLP!B22+'KLP Skadeforsikring AS'!B22+'Landkreditt Forsikring'!B22+'Nordea Liv '!B22+'Oslo Pensjonsforsikring'!B22+'Protector Forsikring'!B22+'Sparebank 1 Forsikring'!B22+'Storebrand Livsforsikring'!B22+'Telenor Forsikring'!B22+'Tryg Forsikring'!B22+'WaterCircles F'!B22+'Euro Accident'!B22+'Ly Forsikring'!B22+'Youplus Livsforsikring'!B22+'Oslo Forsikring'!B22</f>
        <v>2247584.2824306325</v>
      </c>
      <c r="C22" s="180">
        <f>'Fremtind Livsforsikring'!C22+'DNB Livsforsikring'!C22+'Eika Forsikring AS'!C22+'Frende Livsforsikring'!C22+'Frende Skadeforsikring'!C22+'Gjensidige Forsikring'!C22+'Gjensidige Pensjon'!C22+'If Skadeforsikring NUF'!C22+KLP!C22+'KLP Skadeforsikring AS'!C22+'Landkreditt Forsikring'!C22+'Nordea Liv '!C22+'Oslo Pensjonsforsikring'!C22+'Protector Forsikring'!C22+'Sparebank 1 Forsikring'!C22+'Storebrand Livsforsikring'!C22+'Telenor Forsikring'!C22+'Tryg Forsikring'!C22+'WaterCircles F'!C22+'Euro Accident'!C22+'Ly Forsikring'!C22+'Youplus Livsforsikring'!C22+'Oslo Forsikring'!C22</f>
        <v>2435385.2719447161</v>
      </c>
      <c r="D22" s="8">
        <f t="shared" ref="D22:D37" si="5">IF(B22=0, "    ---- ", IF(ABS(ROUND(100/B22*C22-100,1))&lt;999,ROUND(100/B22*C22-100,1),IF(ROUND(100/B22*C22-100,1)&gt;999,999,-999)))</f>
        <v>8.4</v>
      </c>
      <c r="E22" s="180">
        <f>'Fremtind Livsforsikring'!F22+'DNB Livsforsikring'!F22+'Eika Forsikring AS'!F22+'Frende Livsforsikring'!F22+'Frende Skadeforsikring'!F22+'Gjensidige Forsikring'!F22+'Gjensidige Pensjon'!F22+'If Skadeforsikring NUF'!F22+KLP!F22+'KLP Skadeforsikring AS'!F22+'Landkreditt Forsikring'!F22+'Nordea Liv '!F22+'Oslo Pensjonsforsikring'!F22+'Protector Forsikring'!F22+'Sparebank 1 Forsikring'!F22+'Storebrand Livsforsikring'!F22+'Telenor Forsikring'!F22+'Tryg Forsikring'!F22+'WaterCircles F'!F22+'Euro Accident'!F22+'Ly Forsikring'!F22+'Youplus Livsforsikring'!F22+'Oslo Forsikring'!F22</f>
        <v>926122.45217000006</v>
      </c>
      <c r="F22" s="180">
        <f>'Fremtind Livsforsikring'!G22+'DNB Livsforsikring'!G22+'Eika Forsikring AS'!G22+'Frende Livsforsikring'!G22+'Frende Skadeforsikring'!G22+'Gjensidige Forsikring'!G22+'Gjensidige Pensjon'!G22+'If Skadeforsikring NUF'!G22+KLP!G22+'KLP Skadeforsikring AS'!G22+'Landkreditt Forsikring'!G22+'Nordea Liv '!G22+'Oslo Pensjonsforsikring'!G22+'Protector Forsikring'!G22+'Sparebank 1 Forsikring'!G22+'Storebrand Livsforsikring'!G22+'Telenor Forsikring'!G22+'Tryg Forsikring'!G22+'WaterCircles F'!G22+'Euro Accident'!G22+'Ly Forsikring'!G22+'Youplus Livsforsikring'!G22+'Oslo Forsikring'!G22</f>
        <v>1020142.8224500001</v>
      </c>
      <c r="G22" s="278">
        <f t="shared" ref="G22:G35" si="6">IF(E22=0, "    ---- ", IF(ABS(ROUND(100/E22*F22-100,1))&lt;999,ROUND(100/E22*F22-100,1),IF(ROUND(100/E22*F22-100,1)&gt;999,999,-999)))</f>
        <v>10.199999999999999</v>
      </c>
      <c r="H22" s="244">
        <f>SUM(B22,E22)</f>
        <v>3173706.7346006325</v>
      </c>
      <c r="I22" s="180">
        <f t="shared" ref="I22:I37" si="7">SUM(C22,F22)</f>
        <v>3455528.0943947164</v>
      </c>
      <c r="J22" s="21">
        <f t="shared" ref="J22:J37" si="8">IF(H22=0, "    ---- ", IF(ABS(ROUND(100/H22*I22-100,1))&lt;999,ROUND(100/H22*I22-100,1),IF(ROUND(100/H22*I22-100,1)&gt;999,999,-999)))</f>
        <v>8.9</v>
      </c>
    </row>
    <row r="23" spans="1:10" ht="15.75" customHeight="1" x14ac:dyDescent="0.2">
      <c r="A23" s="380" t="s">
        <v>389</v>
      </c>
      <c r="B23" s="36">
        <f>'Fremtind Livsforsikring'!B23+'DNB Livsforsikring'!B23+'Eika Forsikring AS'!B23+'Frende Livsforsikring'!B23+'Frende Skadeforsikring'!B23+'Gjensidige Forsikring'!B23+'Gjensidige Pensjon'!B23+'If Skadeforsikring NUF'!B23+KLP!B23+'KLP Skadeforsikring AS'!B23+'Landkreditt Forsikring'!B23+'Nordea Liv '!B23+'Oslo Pensjonsforsikring'!B23+'Protector Forsikring'!B23+'Sparebank 1 Forsikring'!B23+'Storebrand Livsforsikring'!B23+'Telenor Forsikring'!B23+'Tryg Forsikring'!B23+'WaterCircles F'!B23+'Euro Accident'!B23+'Ly Forsikring'!B23+'Youplus Livsforsikring'!B23+'Oslo Forsikring'!B23</f>
        <v>1288825.1467347781</v>
      </c>
      <c r="C23" s="36">
        <f>'Fremtind Livsforsikring'!C23+'DNB Livsforsikring'!C23+'Eika Forsikring AS'!C23+'Frende Livsforsikring'!C23+'Frende Skadeforsikring'!C23+'Gjensidige Forsikring'!C23+'Gjensidige Pensjon'!C23+'If Skadeforsikring NUF'!C23+KLP!C23+'KLP Skadeforsikring AS'!C23+'Landkreditt Forsikring'!C23+'Nordea Liv '!C23+'Oslo Pensjonsforsikring'!C23+'Protector Forsikring'!C23+'Sparebank 1 Forsikring'!C23+'Storebrand Livsforsikring'!C23+'Telenor Forsikring'!C23+'Tryg Forsikring'!C23+'WaterCircles F'!C23+'Euro Accident'!C23+'Ly Forsikring'!C23+'Youplus Livsforsikring'!C23+'Oslo Forsikring'!C23</f>
        <v>1446553.2543885547</v>
      </c>
      <c r="D23" s="23">
        <f>IF($A$1=4,IF(B23=0, "    ---- ", IF(ABS(ROUND(100/B23*C23-100,1))&lt;999,ROUND(100/B23*C23-100,1),IF(ROUND(100/B23*C23-100,1)&gt;999,999,-999))),"")</f>
        <v>12.2</v>
      </c>
      <c r="E23" s="36">
        <f>'Fremtind Livsforsikring'!F23+'DNB Livsforsikring'!F23+'Eika Forsikring AS'!F23+'Frende Livsforsikring'!F23+'Frende Skadeforsikring'!F23+'Gjensidige Forsikring'!F23+'Gjensidige Pensjon'!F23+'If Skadeforsikring NUF'!F23+KLP!F23+'KLP Skadeforsikring AS'!F23+'Landkreditt Forsikring'!F23+'Nordea Liv '!F23+'Oslo Pensjonsforsikring'!F23+'Protector Forsikring'!F23+'Sparebank 1 Forsikring'!F23+'Storebrand Livsforsikring'!F23+'Telenor Forsikring'!F23+'Tryg Forsikring'!F23+'WaterCircles F'!F23+'Euro Accident'!F23+'Ly Forsikring'!F23+'Youplus Livsforsikring'!F23+'Oslo Forsikring'!F23</f>
        <v>42049.900320000001</v>
      </c>
      <c r="F23" s="36">
        <f>'Fremtind Livsforsikring'!G23+'DNB Livsforsikring'!G23+'Eika Forsikring AS'!G23+'Frende Livsforsikring'!G23+'Frende Skadeforsikring'!G23+'Gjensidige Forsikring'!G23+'Gjensidige Pensjon'!G23+'If Skadeforsikring NUF'!G23+KLP!G23+'KLP Skadeforsikring AS'!G23+'Landkreditt Forsikring'!G23+'Nordea Liv '!G23+'Oslo Pensjonsforsikring'!G23+'Protector Forsikring'!G23+'Sparebank 1 Forsikring'!G23+'Storebrand Livsforsikring'!G23+'Telenor Forsikring'!G23+'Tryg Forsikring'!G23+'WaterCircles F'!G23+'Euro Accident'!G23+'Ly Forsikring'!G23+'Youplus Livsforsikring'!G23+'Oslo Forsikring'!G23</f>
        <v>47774.241179999997</v>
      </c>
      <c r="G23" s="121">
        <f>IF($A$1=4,IF(E23=0, "    ---- ", IF(ABS(ROUND(100/E23*F23-100,1))&lt;999,ROUND(100/E23*F23-100,1),IF(ROUND(100/E23*F23-100,1)&gt;999,999,-999))),"")</f>
        <v>13.6</v>
      </c>
      <c r="H23" s="178">
        <f t="shared" ref="H23:H37" si="9">SUM(B23,E23)</f>
        <v>1330875.0470547781</v>
      </c>
      <c r="I23" s="36">
        <f t="shared" si="7"/>
        <v>1494327.4955685546</v>
      </c>
      <c r="J23" s="20">
        <f t="shared" si="8"/>
        <v>12.3</v>
      </c>
    </row>
    <row r="24" spans="1:10" ht="15.75" customHeight="1" x14ac:dyDescent="0.2">
      <c r="A24" s="380" t="s">
        <v>390</v>
      </c>
      <c r="B24" s="36">
        <f>'Fremtind Livsforsikring'!B24+'DNB Livsforsikring'!B24+'Eika Forsikring AS'!B24+'Frende Livsforsikring'!B24+'Frende Skadeforsikring'!B24+'Gjensidige Forsikring'!B24+'Gjensidige Pensjon'!B24+'If Skadeforsikring NUF'!B24+KLP!B24+'KLP Skadeforsikring AS'!B24+'Landkreditt Forsikring'!B24+'Nordea Liv '!B24+'Oslo Pensjonsforsikring'!B24+'Protector Forsikring'!B24+'Sparebank 1 Forsikring'!B24+'Storebrand Livsforsikring'!B24+'Telenor Forsikring'!B24+'Tryg Forsikring'!B24+'WaterCircles F'!B24+'Euro Accident'!B24+'Ly Forsikring'!B24+'Youplus Livsforsikring'!B24+'Oslo Forsikring'!B24</f>
        <v>18711.653405855017</v>
      </c>
      <c r="C24" s="36">
        <f>'Fremtind Livsforsikring'!C24+'DNB Livsforsikring'!C24+'Eika Forsikring AS'!C24+'Frende Livsforsikring'!C24+'Frende Skadeforsikring'!C24+'Gjensidige Forsikring'!C24+'Gjensidige Pensjon'!C24+'If Skadeforsikring NUF'!C24+KLP!C24+'KLP Skadeforsikring AS'!C24+'Landkreditt Forsikring'!C24+'Nordea Liv '!C24+'Oslo Pensjonsforsikring'!C24+'Protector Forsikring'!C24+'Sparebank 1 Forsikring'!C24+'Storebrand Livsforsikring'!C24+'Telenor Forsikring'!C24+'Tryg Forsikring'!C24+'WaterCircles F'!C24+'Euro Accident'!C24+'Ly Forsikring'!C24+'Youplus Livsforsikring'!C24+'Oslo Forsikring'!C24</f>
        <v>11911.987466161359</v>
      </c>
      <c r="D24" s="23">
        <f t="shared" ref="D24:D25" si="10">IF($A$1=4,IF(B24=0, "    ---- ", IF(ABS(ROUND(100/B24*C24-100,1))&lt;999,ROUND(100/B24*C24-100,1),IF(ROUND(100/B24*C24-100,1)&gt;999,999,-999))),"")</f>
        <v>-36.299999999999997</v>
      </c>
      <c r="E24" s="36">
        <f>'Fremtind Livsforsikring'!F24+'DNB Livsforsikring'!F24+'Eika Forsikring AS'!F24+'Frende Livsforsikring'!F24+'Frende Skadeforsikring'!F24+'Gjensidige Forsikring'!F24+'Gjensidige Pensjon'!F24+'If Skadeforsikring NUF'!F24+KLP!F24+'KLP Skadeforsikring AS'!F24+'Landkreditt Forsikring'!F24+'Nordea Liv '!F24+'Oslo Pensjonsforsikring'!F24+'Protector Forsikring'!F24+'Sparebank 1 Forsikring'!F24+'Storebrand Livsforsikring'!F24+'Telenor Forsikring'!F24+'Tryg Forsikring'!F24+'WaterCircles F'!F24+'Euro Accident'!F24+'Ly Forsikring'!F24+'Youplus Livsforsikring'!F24+'Oslo Forsikring'!F24</f>
        <v>1029.1313100000011</v>
      </c>
      <c r="F24" s="36">
        <f>'Fremtind Livsforsikring'!G24+'DNB Livsforsikring'!G24+'Eika Forsikring AS'!G24+'Frende Livsforsikring'!G24+'Frende Skadeforsikring'!G24+'Gjensidige Forsikring'!G24+'Gjensidige Pensjon'!G24+'If Skadeforsikring NUF'!G24+KLP!G24+'KLP Skadeforsikring AS'!G24+'Landkreditt Forsikring'!G24+'Nordea Liv '!G24+'Oslo Pensjonsforsikring'!G24+'Protector Forsikring'!G24+'Sparebank 1 Forsikring'!G24+'Storebrand Livsforsikring'!G24+'Telenor Forsikring'!G24+'Tryg Forsikring'!G24+'WaterCircles F'!G24+'Euro Accident'!G24+'Ly Forsikring'!G24+'Youplus Livsforsikring'!G24+'Oslo Forsikring'!G24</f>
        <v>1007.2309299999999</v>
      </c>
      <c r="G24" s="121">
        <f t="shared" ref="G24:G25" si="11">IF($A$1=4,IF(E24=0, "    ---- ", IF(ABS(ROUND(100/E24*F24-100,1))&lt;999,ROUND(100/E24*F24-100,1),IF(ROUND(100/E24*F24-100,1)&gt;999,999,-999))),"")</f>
        <v>-2.1</v>
      </c>
      <c r="H24" s="178">
        <f t="shared" si="9"/>
        <v>19740.784715855018</v>
      </c>
      <c r="I24" s="36">
        <f t="shared" si="7"/>
        <v>12919.218396161359</v>
      </c>
      <c r="J24" s="8">
        <f t="shared" si="8"/>
        <v>-34.6</v>
      </c>
    </row>
    <row r="25" spans="1:10" ht="15.75" customHeight="1" x14ac:dyDescent="0.2">
      <c r="A25" s="380" t="s">
        <v>391</v>
      </c>
      <c r="B25" s="36">
        <f>'Fremtind Livsforsikring'!B25+'DNB Livsforsikring'!B25+'Eika Forsikring AS'!B25+'Frende Livsforsikring'!B25+'Frende Skadeforsikring'!B25+'Gjensidige Forsikring'!B25+'Gjensidige Pensjon'!B25+'If Skadeforsikring NUF'!B25+KLP!B25+'KLP Skadeforsikring AS'!B25+'Landkreditt Forsikring'!B25+'Nordea Liv '!B25+'Oslo Pensjonsforsikring'!B25+'Protector Forsikring'!B25+'Sparebank 1 Forsikring'!B25+'Storebrand Livsforsikring'!B25+'Telenor Forsikring'!B25+'Tryg Forsikring'!B25+'WaterCircles F'!B25+'Euro Accident'!B25+'Ly Forsikring'!B25+'Youplus Livsforsikring'!B25+'Oslo Forsikring'!B25</f>
        <v>20953</v>
      </c>
      <c r="C25" s="36">
        <f>'Fremtind Livsforsikring'!C25+'DNB Livsforsikring'!C25+'Eika Forsikring AS'!C25+'Frende Livsforsikring'!C25+'Frende Skadeforsikring'!C25+'Gjensidige Forsikring'!C25+'Gjensidige Pensjon'!C25+'If Skadeforsikring NUF'!C25+KLP!C25+'KLP Skadeforsikring AS'!C25+'Landkreditt Forsikring'!C25+'Nordea Liv '!C25+'Oslo Pensjonsforsikring'!C25+'Protector Forsikring'!C25+'Sparebank 1 Forsikring'!C25+'Storebrand Livsforsikring'!C25+'Telenor Forsikring'!C25+'Tryg Forsikring'!C25+'WaterCircles F'!C25+'Euro Accident'!C25+'Ly Forsikring'!C25+'Youplus Livsforsikring'!C25+'Oslo Forsikring'!C25</f>
        <v>20754</v>
      </c>
      <c r="D25" s="23">
        <f t="shared" si="10"/>
        <v>-0.9</v>
      </c>
      <c r="E25" s="36">
        <f>'Fremtind Livsforsikring'!F25+'DNB Livsforsikring'!F25+'Eika Forsikring AS'!F25+'Frende Livsforsikring'!F25+'Frende Skadeforsikring'!F25+'Gjensidige Forsikring'!F25+'Gjensidige Pensjon'!F25+'If Skadeforsikring NUF'!F25+KLP!F25+'KLP Skadeforsikring AS'!F25+'Landkreditt Forsikring'!F25+'Nordea Liv '!F25+'Oslo Pensjonsforsikring'!F25+'Protector Forsikring'!F25+'Sparebank 1 Forsikring'!F25+'Storebrand Livsforsikring'!F25+'Telenor Forsikring'!F25+'Tryg Forsikring'!F25+'WaterCircles F'!F25+'Euro Accident'!F25+'Ly Forsikring'!F25+'Youplus Livsforsikring'!F25+'Oslo Forsikring'!F25</f>
        <v>17299.18161</v>
      </c>
      <c r="F25" s="36">
        <f>'Fremtind Livsforsikring'!G25+'DNB Livsforsikring'!G25+'Eika Forsikring AS'!G25+'Frende Livsforsikring'!G25+'Frende Skadeforsikring'!G25+'Gjensidige Forsikring'!G25+'Gjensidige Pensjon'!G25+'If Skadeforsikring NUF'!G25+KLP!G25+'KLP Skadeforsikring AS'!G25+'Landkreditt Forsikring'!G25+'Nordea Liv '!G25+'Oslo Pensjonsforsikring'!G25+'Protector Forsikring'!G25+'Sparebank 1 Forsikring'!G25+'Storebrand Livsforsikring'!G25+'Telenor Forsikring'!G25+'Tryg Forsikring'!G25+'WaterCircles F'!G25+'Euro Accident'!G25+'Ly Forsikring'!G25+'Youplus Livsforsikring'!G25+'Oslo Forsikring'!G25</f>
        <v>14984.607199999999</v>
      </c>
      <c r="G25" s="121">
        <f t="shared" si="11"/>
        <v>-13.4</v>
      </c>
      <c r="H25" s="178">
        <f t="shared" si="9"/>
        <v>38252.18161</v>
      </c>
      <c r="I25" s="36">
        <f t="shared" si="7"/>
        <v>35738.607199999999</v>
      </c>
      <c r="J25" s="23">
        <f t="shared" si="8"/>
        <v>-6.6</v>
      </c>
    </row>
    <row r="26" spans="1:10" ht="15.75" customHeight="1" x14ac:dyDescent="0.2">
      <c r="A26" s="380" t="s">
        <v>392</v>
      </c>
      <c r="B26" s="36"/>
      <c r="C26" s="36"/>
      <c r="D26" s="23"/>
      <c r="E26" s="36">
        <f>'Fremtind Livsforsikring'!F26+'DNB Livsforsikring'!F26+'Eika Forsikring AS'!F26+'Frende Livsforsikring'!F26+'Frende Skadeforsikring'!F26+'Gjensidige Forsikring'!F26+'Gjensidige Pensjon'!F26+'If Skadeforsikring NUF'!F26+KLP!F26+'KLP Skadeforsikring AS'!F26+'Landkreditt Forsikring'!F26+'Nordea Liv '!F26+'Oslo Pensjonsforsikring'!F26+'Protector Forsikring'!F26+'Sparebank 1 Forsikring'!F26+'Storebrand Livsforsikring'!F26+'Telenor Forsikring'!F26+'Tryg Forsikring'!F26+'WaterCircles F'!F26+'Euro Accident'!F26+'Ly Forsikring'!F26+'Youplus Livsforsikring'!F26+'Oslo Forsikring'!F26</f>
        <v>865744.23892999999</v>
      </c>
      <c r="F26" s="36">
        <f>'Fremtind Livsforsikring'!G26+'DNB Livsforsikring'!G26+'Eika Forsikring AS'!G26+'Frende Livsforsikring'!G26+'Frende Skadeforsikring'!G26+'Gjensidige Forsikring'!G26+'Gjensidige Pensjon'!G26+'If Skadeforsikring NUF'!G26+KLP!G26+'KLP Skadeforsikring AS'!G26+'Landkreditt Forsikring'!G26+'Nordea Liv '!G26+'Oslo Pensjonsforsikring'!G26+'Protector Forsikring'!G26+'Sparebank 1 Forsikring'!G26+'Storebrand Livsforsikring'!G26+'Telenor Forsikring'!G26+'Tryg Forsikring'!G26+'WaterCircles F'!G26+'Euro Accident'!G26+'Ly Forsikring'!G26+'Youplus Livsforsikring'!G26+'Oslo Forsikring'!G26</f>
        <v>956376.74314000015</v>
      </c>
      <c r="G26" s="121">
        <f t="shared" ref="G26" si="12">IF($A$1=4,IF(E26=0, "    ---- ", IF(ABS(ROUND(100/E26*F26-100,1))&lt;999,ROUND(100/E26*F26-100,1),IF(ROUND(100/E26*F26-100,1)&gt;999,999,-999))),"")</f>
        <v>10.5</v>
      </c>
      <c r="H26" s="178">
        <f t="shared" ref="H26" si="13">SUM(B26,E26)</f>
        <v>865744.23892999999</v>
      </c>
      <c r="I26" s="36">
        <f t="shared" ref="I26" si="14">SUM(C26,F26)</f>
        <v>956376.74314000015</v>
      </c>
      <c r="J26" s="23">
        <f t="shared" ref="J26" si="15">IF(H26=0, "    ---- ", IF(ABS(ROUND(100/H26*I26-100,1))&lt;999,ROUND(100/H26*I26-100,1),IF(ROUND(100/H26*I26-100,1)&gt;999,999,-999)))</f>
        <v>10.5</v>
      </c>
    </row>
    <row r="27" spans="1:10" ht="15.75" customHeight="1" x14ac:dyDescent="0.2">
      <c r="A27" s="379" t="s">
        <v>11</v>
      </c>
      <c r="B27" s="36"/>
      <c r="C27" s="36"/>
      <c r="D27" s="23"/>
      <c r="E27" s="36"/>
      <c r="F27" s="36"/>
      <c r="G27" s="121"/>
      <c r="H27" s="178"/>
      <c r="I27" s="36"/>
      <c r="J27" s="23"/>
    </row>
    <row r="28" spans="1:10" ht="15.75" customHeight="1" x14ac:dyDescent="0.2">
      <c r="A28" s="39" t="s">
        <v>245</v>
      </c>
      <c r="B28" s="36">
        <f>'Fremtind Livsforsikring'!B28+'DNB Livsforsikring'!B28+'Eika Forsikring AS'!B28+'Frende Livsforsikring'!B28+'Frende Skadeforsikring'!B28+'Gjensidige Forsikring'!B28+'Gjensidige Pensjon'!B28+'If Skadeforsikring NUF'!B28+KLP!B28+'KLP Skadeforsikring AS'!B28+'Landkreditt Forsikring'!B28+'Nordea Liv '!B28+'Oslo Pensjonsforsikring'!B28+'Protector Forsikring'!B28+'Sparebank 1 Forsikring'!B28+'Storebrand Livsforsikring'!B28+'Telenor Forsikring'!B28+'Tryg Forsikring'!B28+'WaterCircles F'!B28+'Euro Accident'!B28+'Ly Forsikring'!B28+'Youplus Livsforsikring'!B28+'Oslo Forsikring'!B28</f>
        <v>2704998.4208875215</v>
      </c>
      <c r="C28" s="36">
        <f>'Fremtind Livsforsikring'!C28+'DNB Livsforsikring'!C28+'Eika Forsikring AS'!C28+'Frende Livsforsikring'!C28+'Frende Skadeforsikring'!C28+'Gjensidige Forsikring'!C28+'Gjensidige Pensjon'!C28+'If Skadeforsikring NUF'!C28+KLP!C28+'KLP Skadeforsikring AS'!C28+'Landkreditt Forsikring'!C28+'Nordea Liv '!C28+'Oslo Pensjonsforsikring'!C28+'Protector Forsikring'!C28+'Sparebank 1 Forsikring'!C28+'Storebrand Livsforsikring'!C28+'Telenor Forsikring'!C28+'Tryg Forsikring'!C28+'WaterCircles F'!C28+'Euro Accident'!C28+'Ly Forsikring'!C28+'Youplus Livsforsikring'!C28+'Oslo Forsikring'!C28</f>
        <v>2858089.8827068675</v>
      </c>
      <c r="D28" s="20">
        <f t="shared" si="5"/>
        <v>5.7</v>
      </c>
      <c r="E28" s="137"/>
      <c r="F28" s="137"/>
      <c r="G28" s="121"/>
      <c r="H28" s="178">
        <f t="shared" si="9"/>
        <v>2704998.4208875215</v>
      </c>
      <c r="I28" s="36">
        <f t="shared" si="7"/>
        <v>2858089.8827068675</v>
      </c>
      <c r="J28" s="20">
        <f t="shared" si="8"/>
        <v>5.7</v>
      </c>
    </row>
    <row r="29" spans="1:10" s="35" customFormat="1" ht="15.75" customHeight="1" x14ac:dyDescent="0.2">
      <c r="A29" s="10" t="s">
        <v>393</v>
      </c>
      <c r="B29" s="180">
        <f>'Fremtind Livsforsikring'!B29+'DNB Livsforsikring'!B29+'Eika Forsikring AS'!B29+'Frende Livsforsikring'!B29+'Frende Skadeforsikring'!B29+'Gjensidige Forsikring'!B29+'Gjensidige Pensjon'!B29+'If Skadeforsikring NUF'!B29+KLP!B29+'KLP Skadeforsikring AS'!B29+'Landkreditt Forsikring'!B29+'Nordea Liv '!B29+'Oslo Pensjonsforsikring'!B29+'Protector Forsikring'!B29+'Sparebank 1 Forsikring'!B29+'Storebrand Livsforsikring'!B29+'Telenor Forsikring'!B29+'Tryg Forsikring'!B29+'WaterCircles F'!B29+'Euro Accident'!B29+'Ly Forsikring'!B29+'Youplus Livsforsikring'!B29+'Oslo Forsikring'!B29</f>
        <v>43233004.963844411</v>
      </c>
      <c r="C29" s="180">
        <f>'Fremtind Livsforsikring'!C29+'DNB Livsforsikring'!C29+'Eika Forsikring AS'!C29+'Frende Livsforsikring'!C29+'Frende Skadeforsikring'!C29+'Gjensidige Forsikring'!C29+'Gjensidige Pensjon'!C29+'If Skadeforsikring NUF'!C29+KLP!C29+'KLP Skadeforsikring AS'!C29+'Landkreditt Forsikring'!C29+'Nordea Liv '!C29+'Oslo Pensjonsforsikring'!C29+'Protector Forsikring'!C29+'Sparebank 1 Forsikring'!C29+'Storebrand Livsforsikring'!C29+'Telenor Forsikring'!C29+'Tryg Forsikring'!C29+'WaterCircles F'!C29+'Euro Accident'!C29+'Ly Forsikring'!C29+'Youplus Livsforsikring'!C29+'Oslo Forsikring'!C29</f>
        <v>43541068.128634624</v>
      </c>
      <c r="D29" s="21">
        <f t="shared" si="5"/>
        <v>0.7</v>
      </c>
      <c r="E29" s="244">
        <f>'Fremtind Livsforsikring'!F29+'DNB Livsforsikring'!F29+'Eika Forsikring AS'!F29+'Frende Livsforsikring'!F29+'Frende Skadeforsikring'!F29+'Gjensidige Forsikring'!F29+'Gjensidige Pensjon'!F29+'If Skadeforsikring NUF'!F29+KLP!F29+'KLP Skadeforsikring AS'!F29+'Landkreditt Forsikring'!F29+'Nordea Liv '!F29+'Oslo Pensjonsforsikring'!F29+'Protector Forsikring'!F29+'Sparebank 1 Forsikring'!F29+'Storebrand Livsforsikring'!F29+'Telenor Forsikring'!F29+'Tryg Forsikring'!F29+'WaterCircles F'!F29+'Euro Accident'!F29+'Ly Forsikring'!F29+'Youplus Livsforsikring'!F29+'Oslo Forsikring'!F29</f>
        <v>26263221.20513</v>
      </c>
      <c r="F29" s="244">
        <f>'Fremtind Livsforsikring'!G29+'DNB Livsforsikring'!G29+'Eika Forsikring AS'!G29+'Frende Livsforsikring'!G29+'Frende Skadeforsikring'!G29+'Gjensidige Forsikring'!G29+'Gjensidige Pensjon'!G29+'If Skadeforsikring NUF'!G29+KLP!G29+'KLP Skadeforsikring AS'!G29+'Landkreditt Forsikring'!G29+'Nordea Liv '!G29+'Oslo Pensjonsforsikring'!G29+'Protector Forsikring'!G29+'Sparebank 1 Forsikring'!G29+'Storebrand Livsforsikring'!G29+'Telenor Forsikring'!G29+'Tryg Forsikring'!G29+'WaterCircles F'!G29+'Euro Accident'!G29+'Ly Forsikring'!G29+'Youplus Livsforsikring'!G29+'Oslo Forsikring'!G29</f>
        <v>29688658.38284</v>
      </c>
      <c r="G29" s="125">
        <f t="shared" si="6"/>
        <v>13</v>
      </c>
      <c r="H29" s="244">
        <f t="shared" si="9"/>
        <v>69496226.168974414</v>
      </c>
      <c r="I29" s="180">
        <f t="shared" si="7"/>
        <v>73229726.511474624</v>
      </c>
      <c r="J29" s="21">
        <f t="shared" si="8"/>
        <v>5.4</v>
      </c>
    </row>
    <row r="30" spans="1:10" ht="15.75" customHeight="1" x14ac:dyDescent="0.2">
      <c r="A30" s="380" t="s">
        <v>389</v>
      </c>
      <c r="B30" s="36">
        <f>'Fremtind Livsforsikring'!B30+'DNB Livsforsikring'!B30+'Eika Forsikring AS'!B30+'Frende Livsforsikring'!B30+'Frende Skadeforsikring'!B30+'Gjensidige Forsikring'!B30+'Gjensidige Pensjon'!B30+'If Skadeforsikring NUF'!B30+KLP!B30+'KLP Skadeforsikring AS'!B30+'Landkreditt Forsikring'!B30+'Nordea Liv '!B30+'Oslo Pensjonsforsikring'!B30+'Protector Forsikring'!B30+'Sparebank 1 Forsikring'!B30+'Storebrand Livsforsikring'!B30+'Telenor Forsikring'!B30+'Tryg Forsikring'!B30+'WaterCircles F'!B30+'Euro Accident'!B30+'Ly Forsikring'!B30+'Youplus Livsforsikring'!B30+'Oslo Forsikring'!B30</f>
        <v>17342946.471357334</v>
      </c>
      <c r="C30" s="36">
        <f>'Fremtind Livsforsikring'!C30+'DNB Livsforsikring'!C30+'Eika Forsikring AS'!C30+'Frende Livsforsikring'!C30+'Frende Skadeforsikring'!C30+'Gjensidige Forsikring'!C30+'Gjensidige Pensjon'!C30+'If Skadeforsikring NUF'!C30+KLP!C30+'KLP Skadeforsikring AS'!C30+'Landkreditt Forsikring'!C30+'Nordea Liv '!C30+'Oslo Pensjonsforsikring'!C30+'Protector Forsikring'!C30+'Sparebank 1 Forsikring'!C30+'Storebrand Livsforsikring'!C30+'Telenor Forsikring'!C30+'Tryg Forsikring'!C30+'WaterCircles F'!C30+'Euro Accident'!C30+'Ly Forsikring'!C30+'Youplus Livsforsikring'!C30+'Oslo Forsikring'!C30</f>
        <v>17952100.998311371</v>
      </c>
      <c r="D30" s="23">
        <f t="shared" ref="D30:D32" si="16">IF($A$1=4,IF(B30=0, "    ---- ", IF(ABS(ROUND(100/B30*C30-100,1))&lt;999,ROUND(100/B30*C30-100,1),IF(ROUND(100/B30*C30-100,1)&gt;999,999,-999))),"")</f>
        <v>3.5</v>
      </c>
      <c r="E30" s="36">
        <f>'Fremtind Livsforsikring'!F30+'DNB Livsforsikring'!F30+'Eika Forsikring AS'!F30+'Frende Livsforsikring'!F30+'Frende Skadeforsikring'!F30+'Gjensidige Forsikring'!F30+'Gjensidige Pensjon'!F30+'If Skadeforsikring NUF'!F30+KLP!F30+'KLP Skadeforsikring AS'!F30+'Landkreditt Forsikring'!F30+'Nordea Liv '!F30+'Oslo Pensjonsforsikring'!F30+'Protector Forsikring'!F30+'Sparebank 1 Forsikring'!F30+'Storebrand Livsforsikring'!F30+'Telenor Forsikring'!F30+'Tryg Forsikring'!F30+'WaterCircles F'!F30+'Euro Accident'!F30+'Ly Forsikring'!F30+'Youplus Livsforsikring'!F30+'Oslo Forsikring'!F30</f>
        <v>3585604.921845309</v>
      </c>
      <c r="F30" s="36">
        <f>'Fremtind Livsforsikring'!G30+'DNB Livsforsikring'!G30+'Eika Forsikring AS'!G30+'Frende Livsforsikring'!G30+'Frende Skadeforsikring'!G30+'Gjensidige Forsikring'!G30+'Gjensidige Pensjon'!G30+'If Skadeforsikring NUF'!G30+KLP!G30+'KLP Skadeforsikring AS'!G30+'Landkreditt Forsikring'!G30+'Nordea Liv '!G30+'Oslo Pensjonsforsikring'!G30+'Protector Forsikring'!G30+'Sparebank 1 Forsikring'!G30+'Storebrand Livsforsikring'!G30+'Telenor Forsikring'!G30+'Tryg Forsikring'!G30+'WaterCircles F'!G30+'Euro Accident'!G30+'Ly Forsikring'!G30+'Youplus Livsforsikring'!G30+'Oslo Forsikring'!G30</f>
        <v>3781212.2501406707</v>
      </c>
      <c r="G30" s="121">
        <f t="shared" ref="G30:G32" si="17">IF($A$1=4,IF(E30=0, "    ---- ", IF(ABS(ROUND(100/E30*F30-100,1))&lt;999,ROUND(100/E30*F30-100,1),IF(ROUND(100/E30*F30-100,1)&gt;999,999,-999))),"")</f>
        <v>5.5</v>
      </c>
      <c r="H30" s="178">
        <f t="shared" si="9"/>
        <v>20928551.393202644</v>
      </c>
      <c r="I30" s="36">
        <f t="shared" si="7"/>
        <v>21733313.248452041</v>
      </c>
      <c r="J30" s="20">
        <f t="shared" si="8"/>
        <v>3.8</v>
      </c>
    </row>
    <row r="31" spans="1:10" ht="15.75" customHeight="1" x14ac:dyDescent="0.2">
      <c r="A31" s="380" t="s">
        <v>390</v>
      </c>
      <c r="B31" s="36">
        <f>'Fremtind Livsforsikring'!B31+'DNB Livsforsikring'!B31+'Eika Forsikring AS'!B31+'Frende Livsforsikring'!B31+'Frende Skadeforsikring'!B31+'Gjensidige Forsikring'!B31+'Gjensidige Pensjon'!B31+'If Skadeforsikring NUF'!B31+KLP!B31+'KLP Skadeforsikring AS'!B31+'Landkreditt Forsikring'!B31+'Nordea Liv '!B31+'Oslo Pensjonsforsikring'!B31+'Protector Forsikring'!B31+'Sparebank 1 Forsikring'!B31+'Storebrand Livsforsikring'!B31+'Telenor Forsikring'!B31+'Tryg Forsikring'!B31+'WaterCircles F'!B31+'Euro Accident'!B31+'Ly Forsikring'!B31+'Youplus Livsforsikring'!B31+'Oslo Forsikring'!B31</f>
        <v>23432553.847099353</v>
      </c>
      <c r="C31" s="36">
        <f>'Fremtind Livsforsikring'!C31+'DNB Livsforsikring'!C31+'Eika Forsikring AS'!C31+'Frende Livsforsikring'!C31+'Frende Skadeforsikring'!C31+'Gjensidige Forsikring'!C31+'Gjensidige Pensjon'!C31+'If Skadeforsikring NUF'!C31+KLP!C31+'KLP Skadeforsikring AS'!C31+'Landkreditt Forsikring'!C31+'Nordea Liv '!C31+'Oslo Pensjonsforsikring'!C31+'Protector Forsikring'!C31+'Sparebank 1 Forsikring'!C31+'Storebrand Livsforsikring'!C31+'Telenor Forsikring'!C31+'Tryg Forsikring'!C31+'WaterCircles F'!C31+'Euro Accident'!C31+'Ly Forsikring'!C31+'Youplus Livsforsikring'!C31+'Oslo Forsikring'!C31</f>
        <v>23129232.82412497</v>
      </c>
      <c r="D31" s="23">
        <f t="shared" si="16"/>
        <v>-1.3</v>
      </c>
      <c r="E31" s="36">
        <f>'Fremtind Livsforsikring'!F31+'DNB Livsforsikring'!F31+'Eika Forsikring AS'!F31+'Frende Livsforsikring'!F31+'Frende Skadeforsikring'!F31+'Gjensidige Forsikring'!F31+'Gjensidige Pensjon'!F31+'If Skadeforsikring NUF'!F31+KLP!F31+'KLP Skadeforsikring AS'!F31+'Landkreditt Forsikring'!F31+'Nordea Liv '!F31+'Oslo Pensjonsforsikring'!F31+'Protector Forsikring'!F31+'Sparebank 1 Forsikring'!F31+'Storebrand Livsforsikring'!F31+'Telenor Forsikring'!F31+'Tryg Forsikring'!F31+'WaterCircles F'!F31+'Euro Accident'!F31+'Ly Forsikring'!F31+'Youplus Livsforsikring'!F31+'Oslo Forsikring'!F31</f>
        <v>7496895.894693275</v>
      </c>
      <c r="F31" s="36">
        <f>'Fremtind Livsforsikring'!G31+'DNB Livsforsikring'!G31+'Eika Forsikring AS'!G31+'Frende Livsforsikring'!G31+'Frende Skadeforsikring'!G31+'Gjensidige Forsikring'!G31+'Gjensidige Pensjon'!G31+'If Skadeforsikring NUF'!G31+KLP!G31+'KLP Skadeforsikring AS'!G31+'Landkreditt Forsikring'!G31+'Nordea Liv '!G31+'Oslo Pensjonsforsikring'!G31+'Protector Forsikring'!G31+'Sparebank 1 Forsikring'!G31+'Storebrand Livsforsikring'!G31+'Telenor Forsikring'!G31+'Tryg Forsikring'!G31+'WaterCircles F'!G31+'Euro Accident'!G31+'Ly Forsikring'!G31+'Youplus Livsforsikring'!G31+'Oslo Forsikring'!G31</f>
        <v>7607029.1699198587</v>
      </c>
      <c r="G31" s="121">
        <f t="shared" si="17"/>
        <v>1.5</v>
      </c>
      <c r="H31" s="178">
        <f t="shared" si="9"/>
        <v>30929449.741792627</v>
      </c>
      <c r="I31" s="36">
        <f t="shared" si="7"/>
        <v>30736261.994044829</v>
      </c>
      <c r="J31" s="20">
        <f t="shared" si="8"/>
        <v>-0.6</v>
      </c>
    </row>
    <row r="32" spans="1:10" ht="15.75" customHeight="1" x14ac:dyDescent="0.2">
      <c r="A32" s="380" t="s">
        <v>391</v>
      </c>
      <c r="B32" s="36">
        <f>'Fremtind Livsforsikring'!B32+'DNB Livsforsikring'!B32+'Eika Forsikring AS'!B32+'Frende Livsforsikring'!B32+'Frende Skadeforsikring'!B32+'Gjensidige Forsikring'!B32+'Gjensidige Pensjon'!B32+'If Skadeforsikring NUF'!B32+KLP!B32+'KLP Skadeforsikring AS'!B32+'Landkreditt Forsikring'!B32+'Nordea Liv '!B32+'Oslo Pensjonsforsikring'!B32+'Protector Forsikring'!B32+'Sparebank 1 Forsikring'!B32+'Storebrand Livsforsikring'!B32+'Telenor Forsikring'!B32+'Tryg Forsikring'!B32+'WaterCircles F'!B32+'Euro Accident'!B32+'Ly Forsikring'!B32+'Youplus Livsforsikring'!B32+'Oslo Forsikring'!B32</f>
        <v>2345290.3543877448</v>
      </c>
      <c r="C32" s="36">
        <f>'Fremtind Livsforsikring'!C32+'DNB Livsforsikring'!C32+'Eika Forsikring AS'!C32+'Frende Livsforsikring'!C32+'Frende Skadeforsikring'!C32+'Gjensidige Forsikring'!C32+'Gjensidige Pensjon'!C32+'If Skadeforsikring NUF'!C32+KLP!C32+'KLP Skadeforsikring AS'!C32+'Landkreditt Forsikring'!C32+'Nordea Liv '!C32+'Oslo Pensjonsforsikring'!C32+'Protector Forsikring'!C32+'Sparebank 1 Forsikring'!C32+'Storebrand Livsforsikring'!C32+'Telenor Forsikring'!C32+'Tryg Forsikring'!C32+'WaterCircles F'!C32+'Euro Accident'!C32+'Ly Forsikring'!C32+'Youplus Livsforsikring'!C32+'Oslo Forsikring'!C32</f>
        <v>2316855.721198278</v>
      </c>
      <c r="D32" s="23">
        <f t="shared" si="16"/>
        <v>-1.2</v>
      </c>
      <c r="E32" s="36">
        <f>'Fremtind Livsforsikring'!F32+'DNB Livsforsikring'!F32+'Eika Forsikring AS'!F32+'Frende Livsforsikring'!F32+'Frende Skadeforsikring'!F32+'Gjensidige Forsikring'!F32+'Gjensidige Pensjon'!F32+'If Skadeforsikring NUF'!F32+KLP!F32+'KLP Skadeforsikring AS'!F32+'Landkreditt Forsikring'!F32+'Nordea Liv '!F32+'Oslo Pensjonsforsikring'!F32+'Protector Forsikring'!F32+'Sparebank 1 Forsikring'!F32+'Storebrand Livsforsikring'!F32+'Telenor Forsikring'!F32+'Tryg Forsikring'!F32+'WaterCircles F'!F32+'Euro Accident'!F32+'Ly Forsikring'!F32+'Youplus Livsforsikring'!F32+'Oslo Forsikring'!F32</f>
        <v>6014429.0636686599</v>
      </c>
      <c r="F32" s="36">
        <f>'Fremtind Livsforsikring'!G32+'DNB Livsforsikring'!G32+'Eika Forsikring AS'!G32+'Frende Livsforsikring'!G32+'Frende Skadeforsikring'!G32+'Gjensidige Forsikring'!G32+'Gjensidige Pensjon'!G32+'If Skadeforsikring NUF'!G32+KLP!G32+'KLP Skadeforsikring AS'!G32+'Landkreditt Forsikring'!G32+'Nordea Liv '!G32+'Oslo Pensjonsforsikring'!G32+'Protector Forsikring'!G32+'Sparebank 1 Forsikring'!G32+'Storebrand Livsforsikring'!G32+'Telenor Forsikring'!G32+'Tryg Forsikring'!G32+'WaterCircles F'!G32+'Euro Accident'!G32+'Ly Forsikring'!G32+'Youplus Livsforsikring'!G32+'Oslo Forsikring'!G32</f>
        <v>6872665.6803232711</v>
      </c>
      <c r="G32" s="121">
        <f t="shared" si="17"/>
        <v>14.3</v>
      </c>
      <c r="H32" s="178">
        <f t="shared" si="9"/>
        <v>8359719.4180564042</v>
      </c>
      <c r="I32" s="36">
        <f t="shared" si="7"/>
        <v>9189521.4015215486</v>
      </c>
      <c r="J32" s="21">
        <f t="shared" si="8"/>
        <v>9.9</v>
      </c>
    </row>
    <row r="33" spans="1:10" ht="15.75" customHeight="1" x14ac:dyDescent="0.2">
      <c r="A33" s="380" t="s">
        <v>392</v>
      </c>
      <c r="B33" s="36"/>
      <c r="C33" s="36"/>
      <c r="D33" s="23"/>
      <c r="E33" s="36">
        <f>'Fremtind Livsforsikring'!F33+'DNB Livsforsikring'!F33+'Eika Forsikring AS'!F33+'Frende Livsforsikring'!F33+'Frende Skadeforsikring'!F33+'Gjensidige Forsikring'!F33+'Gjensidige Pensjon'!F33+'If Skadeforsikring NUF'!F33+KLP!F33+'KLP Skadeforsikring AS'!F33+'Landkreditt Forsikring'!F33+'Nordea Liv '!F33+'Oslo Pensjonsforsikring'!F33+'Protector Forsikring'!F33+'Sparebank 1 Forsikring'!F33+'Storebrand Livsforsikring'!F33+'Telenor Forsikring'!F33+'Tryg Forsikring'!F33+'WaterCircles F'!F33+'Euro Accident'!F33+'Ly Forsikring'!F33+'Youplus Livsforsikring'!F33+'Oslo Forsikring'!F33</f>
        <v>9166291.3249227591</v>
      </c>
      <c r="F33" s="36">
        <f>'Fremtind Livsforsikring'!G33+'DNB Livsforsikring'!G33+'Eika Forsikring AS'!G33+'Frende Livsforsikring'!G33+'Frende Skadeforsikring'!G33+'Gjensidige Forsikring'!G33+'Gjensidige Pensjon'!G33+'If Skadeforsikring NUF'!G33+KLP!G33+'KLP Skadeforsikring AS'!G33+'Landkreditt Forsikring'!G33+'Nordea Liv '!G33+'Oslo Pensjonsforsikring'!G33+'Protector Forsikring'!G33+'Sparebank 1 Forsikring'!G33+'Storebrand Livsforsikring'!G33+'Telenor Forsikring'!G33+'Tryg Forsikring'!G33+'WaterCircles F'!G33+'Euro Accident'!G33+'Ly Forsikring'!G33+'Youplus Livsforsikring'!G33+'Oslo Forsikring'!G33</f>
        <v>11427751.282456201</v>
      </c>
      <c r="G33" s="121">
        <f t="shared" ref="G33" si="18">IF($A$1=4,IF(E33=0, "    ---- ", IF(ABS(ROUND(100/E33*F33-100,1))&lt;999,ROUND(100/E33*F33-100,1),IF(ROUND(100/E33*F33-100,1)&gt;999,999,-999))),"")</f>
        <v>24.7</v>
      </c>
      <c r="H33" s="178">
        <f t="shared" ref="H33" si="19">SUM(B33,E33)</f>
        <v>9166291.3249227591</v>
      </c>
      <c r="I33" s="36">
        <f t="shared" ref="I33" si="20">SUM(C33,F33)</f>
        <v>11427751.282456201</v>
      </c>
      <c r="J33" s="21">
        <f t="shared" ref="J33" si="21">IF(H33=0, "    ---- ", IF(ABS(ROUND(100/H33*I33-100,1))&lt;999,ROUND(100/H33*I33-100,1),IF(ROUND(100/H33*I33-100,1)&gt;999,999,-999)))</f>
        <v>24.7</v>
      </c>
    </row>
    <row r="34" spans="1:10" s="35" customFormat="1" ht="15.75" customHeight="1" x14ac:dyDescent="0.2">
      <c r="A34" s="10" t="s">
        <v>387</v>
      </c>
      <c r="B34" s="180">
        <f>'Fremtind Livsforsikring'!B34+'DNB Livsforsikring'!B34+'Eika Forsikring AS'!B34+'Frende Livsforsikring'!B34+'Frende Skadeforsikring'!B34+'Gjensidige Forsikring'!B34+'Gjensidige Pensjon'!B34+'If Skadeforsikring NUF'!B34+KLP!B34+'KLP Skadeforsikring AS'!B34+'Landkreditt Forsikring'!B34+'Nordea Liv '!B34+'Oslo Pensjonsforsikring'!B34+'Protector Forsikring'!B34+'Sparebank 1 Forsikring'!B34+'Storebrand Livsforsikring'!B34+'Telenor Forsikring'!B34+'Tryg Forsikring'!B34+'WaterCircles F'!B34+'Euro Accident'!B34+'Ly Forsikring'!B34+'Youplus Livsforsikring'!B34+'Oslo Forsikring'!B34</f>
        <v>19992.180420000001</v>
      </c>
      <c r="C34" s="180">
        <f>'Fremtind Livsforsikring'!C34+'DNB Livsforsikring'!C34+'Eika Forsikring AS'!C34+'Frende Livsforsikring'!C34+'Frende Skadeforsikring'!C34+'Gjensidige Forsikring'!C34+'Gjensidige Pensjon'!C34+'If Skadeforsikring NUF'!C34+KLP!C34+'KLP Skadeforsikring AS'!C34+'Landkreditt Forsikring'!C34+'Nordea Liv '!C34+'Oslo Pensjonsforsikring'!C34+'Protector Forsikring'!C34+'Sparebank 1 Forsikring'!C34+'Storebrand Livsforsikring'!C34+'Telenor Forsikring'!C34+'Tryg Forsikring'!C34+'WaterCircles F'!C34+'Euro Accident'!C34+'Ly Forsikring'!C34+'Youplus Livsforsikring'!C34+'Oslo Forsikring'!C34</f>
        <v>48342.408739999999</v>
      </c>
      <c r="D34" s="21">
        <f t="shared" si="5"/>
        <v>141.80000000000001</v>
      </c>
      <c r="E34" s="244">
        <f>'Fremtind Livsforsikring'!F34+'DNB Livsforsikring'!F34+'Eika Forsikring AS'!F34+'Frende Livsforsikring'!F34+'Frende Skadeforsikring'!F34+'Gjensidige Forsikring'!F34+'Gjensidige Pensjon'!F34+'If Skadeforsikring NUF'!F34+KLP!F34+'KLP Skadeforsikring AS'!F34+'Landkreditt Forsikring'!F34+'Nordea Liv '!F34+'Oslo Pensjonsforsikring'!F34+'Protector Forsikring'!F34+'Sparebank 1 Forsikring'!F34+'Storebrand Livsforsikring'!F34+'Telenor Forsikring'!F34+'Tryg Forsikring'!F34+'WaterCircles F'!F34+'Euro Accident'!F34+'Ly Forsikring'!F34+'Youplus Livsforsikring'!F34+'Oslo Forsikring'!F34</f>
        <v>312886.84065999993</v>
      </c>
      <c r="F34" s="244">
        <f>'Fremtind Livsforsikring'!G34+'DNB Livsforsikring'!G34+'Eika Forsikring AS'!G34+'Frende Livsforsikring'!G34+'Frende Skadeforsikring'!G34+'Gjensidige Forsikring'!G34+'Gjensidige Pensjon'!G34+'If Skadeforsikring NUF'!G34+KLP!G34+'KLP Skadeforsikring AS'!G34+'Landkreditt Forsikring'!G34+'Nordea Liv '!G34+'Oslo Pensjonsforsikring'!G34+'Protector Forsikring'!G34+'Sparebank 1 Forsikring'!G34+'Storebrand Livsforsikring'!G34+'Telenor Forsikring'!G34+'Tryg Forsikring'!G34+'WaterCircles F'!G34+'Euro Accident'!G34+'Ly Forsikring'!G34+'Youplus Livsforsikring'!G34+'Oslo Forsikring'!G34</f>
        <v>-426149.39205000002</v>
      </c>
      <c r="G34" s="125">
        <f t="shared" si="6"/>
        <v>-236.2</v>
      </c>
      <c r="H34" s="244">
        <f t="shared" si="9"/>
        <v>332879.02107999992</v>
      </c>
      <c r="I34" s="180">
        <f t="shared" si="7"/>
        <v>-377806.98331000004</v>
      </c>
      <c r="J34" s="21">
        <f t="shared" si="8"/>
        <v>-213.5</v>
      </c>
    </row>
    <row r="35" spans="1:10" s="35" customFormat="1" ht="15.75" customHeight="1" x14ac:dyDescent="0.2">
      <c r="A35" s="10" t="s">
        <v>388</v>
      </c>
      <c r="B35" s="180">
        <f>'Fremtind Livsforsikring'!B35+'DNB Livsforsikring'!B35+'Eika Forsikring AS'!B35+'Frende Livsforsikring'!B35+'Frende Skadeforsikring'!B35+'Gjensidige Forsikring'!B35+'Gjensidige Pensjon'!B35+'If Skadeforsikring NUF'!B35+KLP!B35+'KLP Skadeforsikring AS'!B35+'Landkreditt Forsikring'!B35+'Nordea Liv '!B35+'Oslo Pensjonsforsikring'!B35+'Protector Forsikring'!B35+'Sparebank 1 Forsikring'!B35+'Storebrand Livsforsikring'!B35+'Telenor Forsikring'!B35+'Tryg Forsikring'!B35+'WaterCircles F'!B35+'Euro Accident'!B35+'Ly Forsikring'!B35+'Youplus Livsforsikring'!B35+'Oslo Forsikring'!B35</f>
        <v>-94485.066869999995</v>
      </c>
      <c r="C35" s="180">
        <f>'Fremtind Livsforsikring'!C35+'DNB Livsforsikring'!C35+'Eika Forsikring AS'!C35+'Frende Livsforsikring'!C35+'Frende Skadeforsikring'!C35+'Gjensidige Forsikring'!C35+'Gjensidige Pensjon'!C35+'If Skadeforsikring NUF'!C35+KLP!C35+'KLP Skadeforsikring AS'!C35+'Landkreditt Forsikring'!C35+'Nordea Liv '!C35+'Oslo Pensjonsforsikring'!C35+'Protector Forsikring'!C35+'Sparebank 1 Forsikring'!C35+'Storebrand Livsforsikring'!C35+'Telenor Forsikring'!C35+'Tryg Forsikring'!C35+'WaterCircles F'!C35+'Euro Accident'!C35+'Ly Forsikring'!C35+'Youplus Livsforsikring'!C35+'Oslo Forsikring'!C35</f>
        <v>-600888.58449000004</v>
      </c>
      <c r="D35" s="21">
        <f t="shared" si="5"/>
        <v>536</v>
      </c>
      <c r="E35" s="244">
        <f>'Fremtind Livsforsikring'!F35+'DNB Livsforsikring'!F35+'Eika Forsikring AS'!F35+'Frende Livsforsikring'!F35+'Frende Skadeforsikring'!F35+'Gjensidige Forsikring'!F35+'Gjensidige Pensjon'!F35+'If Skadeforsikring NUF'!F35+KLP!F35+'KLP Skadeforsikring AS'!F35+'Landkreditt Forsikring'!F35+'Nordea Liv '!F35+'Oslo Pensjonsforsikring'!F35+'Protector Forsikring'!F35+'Sparebank 1 Forsikring'!F35+'Storebrand Livsforsikring'!F35+'Telenor Forsikring'!F35+'Tryg Forsikring'!F35+'WaterCircles F'!F35+'Euro Accident'!F35+'Ly Forsikring'!F35+'Youplus Livsforsikring'!F35+'Oslo Forsikring'!F35</f>
        <v>145511.62112999998</v>
      </c>
      <c r="F35" s="244">
        <f>'Fremtind Livsforsikring'!G35+'DNB Livsforsikring'!G35+'Eika Forsikring AS'!G35+'Frende Livsforsikring'!G35+'Frende Skadeforsikring'!G35+'Gjensidige Forsikring'!G35+'Gjensidige Pensjon'!G35+'If Skadeforsikring NUF'!G35+KLP!G35+'KLP Skadeforsikring AS'!G35+'Landkreditt Forsikring'!G35+'Nordea Liv '!G35+'Oslo Pensjonsforsikring'!G35+'Protector Forsikring'!G35+'Sparebank 1 Forsikring'!G35+'Storebrand Livsforsikring'!G35+'Telenor Forsikring'!G35+'Tryg Forsikring'!G35+'WaterCircles F'!G35+'Euro Accident'!G35+'Ly Forsikring'!G35+'Youplus Livsforsikring'!G35+'Oslo Forsikring'!G35</f>
        <v>217687.45806</v>
      </c>
      <c r="G35" s="125">
        <f t="shared" si="6"/>
        <v>49.6</v>
      </c>
      <c r="H35" s="244">
        <f t="shared" si="9"/>
        <v>51026.55425999999</v>
      </c>
      <c r="I35" s="180">
        <f t="shared" si="7"/>
        <v>-383201.12643000006</v>
      </c>
      <c r="J35" s="21">
        <f t="shared" si="8"/>
        <v>-851</v>
      </c>
    </row>
    <row r="36" spans="1:10" s="35" customFormat="1" ht="15.75" customHeight="1" x14ac:dyDescent="0.2">
      <c r="A36" s="9" t="s">
        <v>253</v>
      </c>
      <c r="B36" s="180">
        <f>'Fremtind Livsforsikring'!B36+'DNB Livsforsikring'!B36+'Eika Forsikring AS'!B36+'Frende Livsforsikring'!B36+'Frende Skadeforsikring'!B36+'Gjensidige Forsikring'!B36+'Gjensidige Pensjon'!B36+'If Skadeforsikring NUF'!B36+KLP!B36+'KLP Skadeforsikring AS'!B36+'Landkreditt Forsikring'!B36+'Nordea Liv '!B36+'Oslo Pensjonsforsikring'!B36+'Protector Forsikring'!B36+'Sparebank 1 Forsikring'!B36+'Storebrand Livsforsikring'!B36+'Telenor Forsikring'!B36+'Tryg Forsikring'!B36+'WaterCircles F'!B36+'Euro Accident'!B36+'Ly Forsikring'!B36+'Youplus Livsforsikring'!B36+'Oslo Forsikring'!B36</f>
        <v>6946.7439999999997</v>
      </c>
      <c r="C36" s="180">
        <f>'Fremtind Livsforsikring'!C36+'DNB Livsforsikring'!C36+'Eika Forsikring AS'!C36+'Frende Livsforsikring'!C36+'Frende Skadeforsikring'!C36+'Gjensidige Forsikring'!C36+'Gjensidige Pensjon'!C36+'If Skadeforsikring NUF'!C36+KLP!C36+'KLP Skadeforsikring AS'!C36+'Landkreditt Forsikring'!C36+'Nordea Liv '!C36+'Oslo Pensjonsforsikring'!C36+'Protector Forsikring'!C36+'Sparebank 1 Forsikring'!C36+'Storebrand Livsforsikring'!C36+'Telenor Forsikring'!C36+'Tryg Forsikring'!C36+'WaterCircles F'!C36+'Euro Accident'!C36+'Ly Forsikring'!C36+'Youplus Livsforsikring'!C36+'Oslo Forsikring'!C36</f>
        <v>9099.726999999999</v>
      </c>
      <c r="D36" s="8">
        <f t="shared" si="5"/>
        <v>31</v>
      </c>
      <c r="E36" s="255"/>
      <c r="F36" s="255"/>
      <c r="G36" s="125"/>
      <c r="H36" s="244">
        <f t="shared" si="9"/>
        <v>6946.7439999999997</v>
      </c>
      <c r="I36" s="180">
        <f t="shared" si="7"/>
        <v>9099.726999999999</v>
      </c>
      <c r="J36" s="8">
        <f t="shared" si="8"/>
        <v>31</v>
      </c>
    </row>
    <row r="37" spans="1:10" s="35" customFormat="1" ht="15.75" customHeight="1" x14ac:dyDescent="0.2">
      <c r="A37" s="9" t="s">
        <v>394</v>
      </c>
      <c r="B37" s="180">
        <f>'Fremtind Livsforsikring'!B37+'DNB Livsforsikring'!B37+'Eika Forsikring AS'!B37+'Frende Livsforsikring'!B37+'Frende Skadeforsikring'!B37+'Gjensidige Forsikring'!B37+'Gjensidige Pensjon'!B37+'If Skadeforsikring NUF'!B37+KLP!B37+'KLP Skadeforsikring AS'!B37+'Landkreditt Forsikring'!B37+'Nordea Liv '!B37+'Oslo Pensjonsforsikring'!B37+'Protector Forsikring'!B37+'Sparebank 1 Forsikring'!B37+'Storebrand Livsforsikring'!B37+'Telenor Forsikring'!B37+'Tryg Forsikring'!B37+'WaterCircles F'!B37+'Euro Accident'!B37+'Ly Forsikring'!B37+'Youplus Livsforsikring'!B37+'Oslo Forsikring'!B37</f>
        <v>2676868.9602299999</v>
      </c>
      <c r="C37" s="180">
        <f>'Fremtind Livsforsikring'!C37+'DNB Livsforsikring'!C37+'Eika Forsikring AS'!C37+'Frende Livsforsikring'!C37+'Frende Skadeforsikring'!C37+'Gjensidige Forsikring'!C37+'Gjensidige Pensjon'!C37+'If Skadeforsikring NUF'!C37+KLP!C37+'KLP Skadeforsikring AS'!C37+'Landkreditt Forsikring'!C37+'Nordea Liv '!C37+'Oslo Pensjonsforsikring'!C37+'Protector Forsikring'!C37+'Sparebank 1 Forsikring'!C37+'Storebrand Livsforsikring'!C37+'Telenor Forsikring'!C37+'Tryg Forsikring'!C37+'WaterCircles F'!C37+'Euro Accident'!C37+'Ly Forsikring'!C37+'Youplus Livsforsikring'!C37+'Oslo Forsikring'!C37</f>
        <v>2499130.8920299998</v>
      </c>
      <c r="D37" s="21">
        <f t="shared" si="5"/>
        <v>-6.6</v>
      </c>
      <c r="E37" s="260"/>
      <c r="F37" s="260"/>
      <c r="G37" s="125"/>
      <c r="H37" s="244">
        <f t="shared" si="9"/>
        <v>2676868.9602299999</v>
      </c>
      <c r="I37" s="180">
        <f t="shared" si="7"/>
        <v>2499130.8920299998</v>
      </c>
      <c r="J37" s="21">
        <f t="shared" si="8"/>
        <v>-6.6</v>
      </c>
    </row>
    <row r="38" spans="1:10" s="35" customFormat="1" ht="15.75" customHeight="1" x14ac:dyDescent="0.2">
      <c r="A38" s="9" t="s">
        <v>395</v>
      </c>
      <c r="B38" s="180"/>
      <c r="C38" s="180"/>
      <c r="D38" s="21"/>
      <c r="E38" s="255"/>
      <c r="F38" s="255"/>
      <c r="G38" s="125"/>
      <c r="H38" s="244"/>
      <c r="I38" s="180"/>
      <c r="J38" s="21"/>
    </row>
    <row r="39" spans="1:10" s="35" customFormat="1" ht="15.75" customHeight="1" x14ac:dyDescent="0.2">
      <c r="A39" s="15" t="s">
        <v>396</v>
      </c>
      <c r="B39" s="214"/>
      <c r="C39" s="214"/>
      <c r="D39" s="30"/>
      <c r="E39" s="261"/>
      <c r="F39" s="261"/>
      <c r="G39" s="123"/>
      <c r="H39" s="250"/>
      <c r="I39" s="214"/>
      <c r="J39" s="30"/>
    </row>
    <row r="40" spans="1:10" ht="15.75" customHeight="1" x14ac:dyDescent="0.2">
      <c r="A40" s="35"/>
    </row>
    <row r="41" spans="1:10" ht="15.75" customHeight="1" x14ac:dyDescent="0.2">
      <c r="A41" s="114"/>
    </row>
    <row r="42" spans="1:10" ht="15.75" customHeight="1" x14ac:dyDescent="0.25">
      <c r="A42" s="110" t="s">
        <v>242</v>
      </c>
      <c r="B42" s="789"/>
      <c r="C42" s="789"/>
      <c r="D42" s="789"/>
      <c r="E42" s="789"/>
      <c r="F42" s="789"/>
      <c r="G42" s="789"/>
      <c r="H42" s="789"/>
      <c r="I42" s="789"/>
      <c r="J42" s="789"/>
    </row>
    <row r="43" spans="1:10" ht="15.75" customHeight="1" x14ac:dyDescent="0.25">
      <c r="A43" s="120"/>
      <c r="B43" s="235"/>
      <c r="C43" s="235"/>
      <c r="D43" s="235"/>
      <c r="E43" s="235"/>
      <c r="F43" s="235"/>
      <c r="G43" s="235"/>
      <c r="H43" s="235"/>
      <c r="I43" s="235"/>
      <c r="J43" s="235"/>
    </row>
    <row r="44" spans="1:10" ht="15.75" customHeight="1" x14ac:dyDescent="0.25">
      <c r="A44" s="191"/>
      <c r="B44" s="262" t="s">
        <v>0</v>
      </c>
      <c r="C44" s="263"/>
      <c r="D44" s="196"/>
      <c r="E44" s="34"/>
      <c r="F44" s="34"/>
      <c r="G44" s="32"/>
      <c r="H44" s="34"/>
      <c r="I44" s="34"/>
      <c r="J44" s="32"/>
    </row>
    <row r="45" spans="1:10" ht="15.75" customHeight="1" x14ac:dyDescent="0.2">
      <c r="A45" s="105"/>
      <c r="B45" s="17">
        <v>45291</v>
      </c>
      <c r="C45" s="17">
        <v>45657</v>
      </c>
      <c r="D45" s="194" t="s">
        <v>3</v>
      </c>
      <c r="E45" s="34"/>
      <c r="F45" s="34"/>
      <c r="G45" s="32"/>
      <c r="H45" s="34"/>
      <c r="I45" s="34"/>
      <c r="J45" s="32"/>
    </row>
    <row r="46" spans="1:10" ht="15.75" customHeight="1" x14ac:dyDescent="0.2">
      <c r="A46" s="768"/>
      <c r="B46" s="7"/>
      <c r="C46" s="195"/>
      <c r="D46" s="14" t="s">
        <v>4</v>
      </c>
      <c r="E46" s="32"/>
      <c r="F46" s="32"/>
      <c r="G46" s="32"/>
      <c r="H46" s="32"/>
      <c r="I46" s="32"/>
      <c r="J46" s="32"/>
    </row>
    <row r="47" spans="1:10" s="35" customFormat="1" ht="15.75" customHeight="1" x14ac:dyDescent="0.2">
      <c r="A47" s="11" t="s">
        <v>23</v>
      </c>
      <c r="B47" s="180">
        <f>'Fremtind Livsforsikring'!B47+'DNB Livsforsikring'!B47+'Eika Forsikring AS'!B47+'Frende Livsforsikring'!B47+'Frende Skadeforsikring'!B47+'Gjensidige Forsikring'!B47+'Gjensidige Pensjon'!B47+'If Skadeforsikring NUF'!B47+KLP!B47+'KLP Skadeforsikring AS'!B47+'Landkreditt Forsikring'!B47+'Nordea Liv '!B47+'Oslo Pensjonsforsikring'!B47+'Protector Forsikring'!B47+'Sparebank 1 Forsikring'!B47+'Storebrand Livsforsikring'!B47+'Telenor Forsikring'!B47+'Tryg Forsikring'!B47+'WaterCircles F'!B47+'Euro Accident'!B47+'Ly Forsikring'!B47+'Youplus Livsforsikring'!B47+'Oslo Forsikring'!B47</f>
        <v>5979338.5896699987</v>
      </c>
      <c r="C47" s="180">
        <f>'Fremtind Livsforsikring'!C47+'DNB Livsforsikring'!C47+'Eika Forsikring AS'!C47+'Frende Livsforsikring'!C47+'Frende Skadeforsikring'!C47+'Gjensidige Forsikring'!C47+'Gjensidige Pensjon'!C47+'If Skadeforsikring NUF'!C47+KLP!C47+'KLP Skadeforsikring AS'!C47+'Landkreditt Forsikring'!C47+'Nordea Liv '!C47+'Oslo Pensjonsforsikring'!C47+'Protector Forsikring'!C47+'Sparebank 1 Forsikring'!C47+'Storebrand Livsforsikring'!C47+'Telenor Forsikring'!C47+'Tryg Forsikring'!C47+'WaterCircles F'!C47+'Euro Accident'!C47+'Ly Forsikring'!C47+'Youplus Livsforsikring'!C47+'Oslo Forsikring'!C47</f>
        <v>6579876.2890899992</v>
      </c>
      <c r="D47" s="21">
        <f t="shared" ref="D47:D57" si="22">IF(B47=0, "    ---- ", IF(ABS(ROUND(100/B47*C47-100,1))&lt;999,ROUND(100/B47*C47-100,1),IF(ROUND(100/B47*C47-100,1)&gt;999,999,-999)))</f>
        <v>10</v>
      </c>
      <c r="E47" s="333"/>
      <c r="F47" s="334"/>
      <c r="G47" s="26"/>
      <c r="H47" s="335"/>
      <c r="I47" s="335"/>
      <c r="J47" s="26"/>
    </row>
    <row r="48" spans="1:10" ht="15.75" customHeight="1" x14ac:dyDescent="0.2">
      <c r="A48" s="18" t="s">
        <v>397</v>
      </c>
      <c r="B48" s="36">
        <f>'Fremtind Livsforsikring'!B48+'DNB Livsforsikring'!B48+'Eika Forsikring AS'!B48+'Frende Livsforsikring'!B48+'Frende Skadeforsikring'!B48+'Gjensidige Forsikring'!B48+'Gjensidige Pensjon'!B48+'If Skadeforsikring NUF'!B48+KLP!B48+'KLP Skadeforsikring AS'!B48+'Landkreditt Forsikring'!B48+'Nordea Liv '!B48+'Oslo Pensjonsforsikring'!B48+'Protector Forsikring'!B48+'Sparebank 1 Forsikring'!B48+'Storebrand Livsforsikring'!B48+'Telenor Forsikring'!B48+'Tryg Forsikring'!B48+'WaterCircles F'!B48+'Euro Accident'!B48+'Ly Forsikring'!B48+'Youplus Livsforsikring'!B48+'Oslo Forsikring'!B48</f>
        <v>3392582.1873500003</v>
      </c>
      <c r="C48" s="36">
        <f>'Fremtind Livsforsikring'!C48+'DNB Livsforsikring'!C48+'Eika Forsikring AS'!C48+'Frende Livsforsikring'!C48+'Frende Skadeforsikring'!C48+'Gjensidige Forsikring'!C48+'Gjensidige Pensjon'!C48+'If Skadeforsikring NUF'!C48+KLP!C48+'KLP Skadeforsikring AS'!C48+'Landkreditt Forsikring'!C48+'Nordea Liv '!C48+'Oslo Pensjonsforsikring'!C48+'Protector Forsikring'!C48+'Sparebank 1 Forsikring'!C48+'Storebrand Livsforsikring'!C48+'Telenor Forsikring'!C48+'Tryg Forsikring'!C48+'WaterCircles F'!C48+'Euro Accident'!C48+'Ly Forsikring'!C48+'Youplus Livsforsikring'!C48+'Oslo Forsikring'!C48</f>
        <v>3708314.1749800001</v>
      </c>
      <c r="D48" s="21">
        <f t="shared" si="22"/>
        <v>9.3000000000000007</v>
      </c>
      <c r="E48" s="29"/>
      <c r="F48" s="3"/>
      <c r="G48" s="28"/>
      <c r="H48" s="27"/>
      <c r="I48" s="27"/>
      <c r="J48" s="26"/>
    </row>
    <row r="49" spans="1:10" ht="15.75" customHeight="1" x14ac:dyDescent="0.2">
      <c r="A49" s="18" t="s">
        <v>398</v>
      </c>
      <c r="B49" s="140">
        <f>'Fremtind Livsforsikring'!B49+'DNB Livsforsikring'!B49+'Eika Forsikring AS'!B49+'Frende Livsforsikring'!B49+'Frende Skadeforsikring'!B49+'Gjensidige Forsikring'!B49+'Gjensidige Pensjon'!B49+'If Skadeforsikring NUF'!B49+KLP!B49+'KLP Skadeforsikring AS'!B49+'Landkreditt Forsikring'!B49+'Nordea Liv '!B49+'Oslo Pensjonsforsikring'!B49+'Protector Forsikring'!B49+'Sparebank 1 Forsikring'!B49+'Storebrand Livsforsikring'!B49+'Telenor Forsikring'!B49+'Tryg Forsikring'!B49+'WaterCircles F'!B49+'Euro Accident'!B49+'Ly Forsikring'!B49+'Youplus Livsforsikring'!B49+'Oslo Forsikring'!B49</f>
        <v>2586756.4023200003</v>
      </c>
      <c r="C49" s="140">
        <f>'Fremtind Livsforsikring'!C49+'DNB Livsforsikring'!C49+'Eika Forsikring AS'!C49+'Frende Livsforsikring'!C49+'Frende Skadeforsikring'!C49+'Gjensidige Forsikring'!C49+'Gjensidige Pensjon'!C49+'If Skadeforsikring NUF'!C49+KLP!C49+'KLP Skadeforsikring AS'!C49+'Landkreditt Forsikring'!C49+'Nordea Liv '!C49+'Oslo Pensjonsforsikring'!C49+'Protector Forsikring'!C49+'Sparebank 1 Forsikring'!C49+'Storebrand Livsforsikring'!C49+'Telenor Forsikring'!C49+'Tryg Forsikring'!C49+'WaterCircles F'!C49+'Euro Accident'!C49+'Ly Forsikring'!C49+'Youplus Livsforsikring'!C49+'Oslo Forsikring'!C49</f>
        <v>2871562.11411</v>
      </c>
      <c r="D49" s="21">
        <f t="shared" si="22"/>
        <v>11</v>
      </c>
      <c r="E49" s="29"/>
      <c r="F49" s="3"/>
      <c r="G49" s="28"/>
      <c r="H49" s="31"/>
      <c r="I49" s="31"/>
      <c r="J49" s="26"/>
    </row>
    <row r="50" spans="1:10" ht="15.75" customHeight="1" x14ac:dyDescent="0.2">
      <c r="A50" s="234" t="s">
        <v>6</v>
      </c>
      <c r="B50" s="36">
        <f>'Fremtind Livsforsikring'!B50+'DNB Livsforsikring'!B50+'Eika Forsikring AS'!B50+'Frende Livsforsikring'!B50+'Frende Skadeforsikring'!B50+'Gjensidige Forsikring'!B50+'Gjensidige Pensjon'!B50+'If Skadeforsikring NUF'!B50+KLP!B50+'KLP Skadeforsikring AS'!B50+'Landkreditt Forsikring'!B50+'Nordea Liv '!B50+'Oslo Pensjonsforsikring'!B50+'Protector Forsikring'!B50+'Sparebank 1 Forsikring'!B50+'Storebrand Livsforsikring'!B50+'Telenor Forsikring'!B50+'Tryg Forsikring'!B50+'WaterCircles F'!B50+'Euro Accident'!B50+'Ly Forsikring'!B50+'Youplus Livsforsikring'!B50+'Oslo Forsikring'!B50</f>
        <v>-28</v>
      </c>
      <c r="C50" s="36">
        <f>'Fremtind Livsforsikring'!C50+'DNB Livsforsikring'!C50+'Eika Forsikring AS'!C50+'Frende Livsforsikring'!C50+'Frende Skadeforsikring'!C50+'Gjensidige Forsikring'!C50+'Gjensidige Pensjon'!C50+'If Skadeforsikring NUF'!C50+KLP!C50+'KLP Skadeforsikring AS'!C50+'Landkreditt Forsikring'!C50+'Nordea Liv '!C50+'Oslo Pensjonsforsikring'!C50+'Protector Forsikring'!C50+'Sparebank 1 Forsikring'!C50+'Storebrand Livsforsikring'!C50+'Telenor Forsikring'!C50+'Tryg Forsikring'!C50+'WaterCircles F'!C50+'Euro Accident'!C50+'Ly Forsikring'!C50+'Youplus Livsforsikring'!C50+'Oslo Forsikring'!C50</f>
        <v>-11.84037</v>
      </c>
      <c r="D50" s="23">
        <f t="shared" ref="D50:D52" si="23">IF($A$1=4,IF(B50=0, "    ---- ", IF(ABS(ROUND(100/B50*C50-100,1))&lt;999,ROUND(100/B50*C50-100,1),IF(ROUND(100/B50*C50-100,1)&gt;999,999,-999))),"")</f>
        <v>-57.7</v>
      </c>
      <c r="E50" s="29"/>
      <c r="F50" s="3"/>
      <c r="G50" s="28"/>
      <c r="H50" s="27"/>
      <c r="I50" s="27"/>
      <c r="J50" s="26"/>
    </row>
    <row r="51" spans="1:10" ht="15.75" customHeight="1" x14ac:dyDescent="0.2">
      <c r="A51" s="234" t="s">
        <v>7</v>
      </c>
      <c r="B51" s="36">
        <f>'Fremtind Livsforsikring'!B51+'DNB Livsforsikring'!B51+'Eika Forsikring AS'!B51+'Frende Livsforsikring'!B51+'Frende Skadeforsikring'!B51+'Gjensidige Forsikring'!B51+'Gjensidige Pensjon'!B51+'If Skadeforsikring NUF'!B51+KLP!B51+'KLP Skadeforsikring AS'!B51+'Landkreditt Forsikring'!B51+'Nordea Liv '!B51+'Oslo Pensjonsforsikring'!B51+'Protector Forsikring'!B51+'Sparebank 1 Forsikring'!B51+'Storebrand Livsforsikring'!B51+'Telenor Forsikring'!B51+'Tryg Forsikring'!B51+'WaterCircles F'!B51+'Euro Accident'!B51+'Ly Forsikring'!B51+'Youplus Livsforsikring'!B51+'Oslo Forsikring'!B51</f>
        <v>2542960.7990000001</v>
      </c>
      <c r="C51" s="36">
        <f>'Fremtind Livsforsikring'!C51+'DNB Livsforsikring'!C51+'Eika Forsikring AS'!C51+'Frende Livsforsikring'!C51+'Frende Skadeforsikring'!C51+'Gjensidige Forsikring'!C51+'Gjensidige Pensjon'!C51+'If Skadeforsikring NUF'!C51+KLP!C51+'KLP Skadeforsikring AS'!C51+'Landkreditt Forsikring'!C51+'Nordea Liv '!C51+'Oslo Pensjonsforsikring'!C51+'Protector Forsikring'!C51+'Sparebank 1 Forsikring'!C51+'Storebrand Livsforsikring'!C51+'Telenor Forsikring'!C51+'Tryg Forsikring'!C51+'WaterCircles F'!C51+'Euro Accident'!C51+'Ly Forsikring'!C51+'Youplus Livsforsikring'!C51+'Oslo Forsikring'!C51</f>
        <v>2829442.9522899999</v>
      </c>
      <c r="D51" s="23">
        <f t="shared" si="23"/>
        <v>11.3</v>
      </c>
      <c r="E51" s="29"/>
      <c r="F51" s="3"/>
      <c r="G51" s="28"/>
      <c r="H51" s="27"/>
      <c r="I51" s="27"/>
      <c r="J51" s="26"/>
    </row>
    <row r="52" spans="1:10" ht="15.75" customHeight="1" x14ac:dyDescent="0.2">
      <c r="A52" s="234" t="s">
        <v>8</v>
      </c>
      <c r="B52" s="36">
        <f>'Fremtind Livsforsikring'!B52+'DNB Livsforsikring'!B52+'Eika Forsikring AS'!B52+'Frende Livsforsikring'!B52+'Frende Skadeforsikring'!B52+'Gjensidige Forsikring'!B52+'Gjensidige Pensjon'!B52+'If Skadeforsikring NUF'!B52+KLP!B52+'KLP Skadeforsikring AS'!B52+'Landkreditt Forsikring'!B52+'Nordea Liv '!B52+'Oslo Pensjonsforsikring'!B52+'Protector Forsikring'!B52+'Sparebank 1 Forsikring'!B52+'Storebrand Livsforsikring'!B52+'Telenor Forsikring'!B52+'Tryg Forsikring'!B52+'WaterCircles F'!B52+'Euro Accident'!B52+'Ly Forsikring'!B52+'Youplus Livsforsikring'!B52+'Oslo Forsikring'!B52</f>
        <v>43823.603320000097</v>
      </c>
      <c r="C52" s="36">
        <f>'Fremtind Livsforsikring'!C52+'DNB Livsforsikring'!C52+'Eika Forsikring AS'!C52+'Frende Livsforsikring'!C52+'Frende Skadeforsikring'!C52+'Gjensidige Forsikring'!C52+'Gjensidige Pensjon'!C52+'If Skadeforsikring NUF'!C52+KLP!C52+'KLP Skadeforsikring AS'!C52+'Landkreditt Forsikring'!C52+'Nordea Liv '!C52+'Oslo Pensjonsforsikring'!C52+'Protector Forsikring'!C52+'Sparebank 1 Forsikring'!C52+'Storebrand Livsforsikring'!C52+'Telenor Forsikring'!C52+'Tryg Forsikring'!C52+'WaterCircles F'!C52+'Euro Accident'!C52+'Ly Forsikring'!C52+'Youplus Livsforsikring'!C52+'Oslo Forsikring'!C52</f>
        <v>42131.002189999999</v>
      </c>
      <c r="D52" s="23">
        <f t="shared" si="23"/>
        <v>-3.9</v>
      </c>
      <c r="E52" s="29"/>
      <c r="F52" s="3"/>
      <c r="G52" s="28"/>
      <c r="H52" s="27"/>
      <c r="I52" s="27"/>
      <c r="J52" s="26"/>
    </row>
    <row r="53" spans="1:10" s="35" customFormat="1" ht="15.75" customHeight="1" x14ac:dyDescent="0.2">
      <c r="A53" s="10" t="s">
        <v>399</v>
      </c>
      <c r="B53" s="180">
        <f>'Fremtind Livsforsikring'!B53+'DNB Livsforsikring'!B53+'Eika Forsikring AS'!B53+'Frende Livsforsikring'!B53+'Frende Skadeforsikring'!B53+'Gjensidige Forsikring'!B53+'Gjensidige Pensjon'!B53+'If Skadeforsikring NUF'!B53+KLP!B53+'KLP Skadeforsikring AS'!B53+'Landkreditt Forsikring'!B53+'Nordea Liv '!B53+'Oslo Pensjonsforsikring'!B53+'Protector Forsikring'!B53+'Sparebank 1 Forsikring'!B53+'Storebrand Livsforsikring'!B53+'Telenor Forsikring'!B53+'Tryg Forsikring'!B53+'WaterCircles F'!B53+'Euro Accident'!B53+'Ly Forsikring'!B53+'Youplus Livsforsikring'!B53+'Oslo Forsikring'!B53</f>
        <v>207957.59899999999</v>
      </c>
      <c r="C53" s="180">
        <f>'Fremtind Livsforsikring'!C53+'DNB Livsforsikring'!C53+'Eika Forsikring AS'!C53+'Frende Livsforsikring'!C53+'Frende Skadeforsikring'!C53+'Gjensidige Forsikring'!C53+'Gjensidige Pensjon'!C53+'If Skadeforsikring NUF'!C53+KLP!C53+'KLP Skadeforsikring AS'!C53+'Landkreditt Forsikring'!C53+'Nordea Liv '!C53+'Oslo Pensjonsforsikring'!C53+'Protector Forsikring'!C53+'Sparebank 1 Forsikring'!C53+'Storebrand Livsforsikring'!C53+'Telenor Forsikring'!C53+'Tryg Forsikring'!C53+'WaterCircles F'!C53+'Euro Accident'!C53+'Ly Forsikring'!C53+'Youplus Livsforsikring'!C53+'Oslo Forsikring'!C53</f>
        <v>219133.33467784812</v>
      </c>
      <c r="D53" s="21">
        <f t="shared" si="22"/>
        <v>5.4</v>
      </c>
      <c r="E53" s="333"/>
      <c r="F53" s="334"/>
      <c r="G53" s="26"/>
      <c r="H53" s="127"/>
      <c r="I53" s="127"/>
      <c r="J53" s="26"/>
    </row>
    <row r="54" spans="1:10" ht="15.75" customHeight="1" x14ac:dyDescent="0.2">
      <c r="A54" s="18" t="s">
        <v>397</v>
      </c>
      <c r="B54" s="36">
        <f>'Fremtind Livsforsikring'!B54+'DNB Livsforsikring'!B54+'Eika Forsikring AS'!B54+'Frende Livsforsikring'!B54+'Frende Skadeforsikring'!B54+'Gjensidige Forsikring'!B54+'Gjensidige Pensjon'!B54+'If Skadeforsikring NUF'!B54+KLP!B54+'KLP Skadeforsikring AS'!B54+'Landkreditt Forsikring'!B54+'Nordea Liv '!B54+'Oslo Pensjonsforsikring'!B54+'Protector Forsikring'!B54+'Sparebank 1 Forsikring'!B54+'Storebrand Livsforsikring'!B54+'Telenor Forsikring'!B54+'Tryg Forsikring'!B54+'WaterCircles F'!B54+'Euro Accident'!B54+'Ly Forsikring'!B54+'Youplus Livsforsikring'!B54+'Oslo Forsikring'!B54</f>
        <v>207011.59899999999</v>
      </c>
      <c r="C54" s="36">
        <f>'Fremtind Livsforsikring'!C54+'DNB Livsforsikring'!C54+'Eika Forsikring AS'!C54+'Frende Livsforsikring'!C54+'Frende Skadeforsikring'!C54+'Gjensidige Forsikring'!C54+'Gjensidige Pensjon'!C54+'If Skadeforsikring NUF'!C54+KLP!C54+'KLP Skadeforsikring AS'!C54+'Landkreditt Forsikring'!C54+'Nordea Liv '!C54+'Oslo Pensjonsforsikring'!C54+'Protector Forsikring'!C54+'Sparebank 1 Forsikring'!C54+'Storebrand Livsforsikring'!C54+'Telenor Forsikring'!C54+'Tryg Forsikring'!C54+'WaterCircles F'!C54+'Euro Accident'!C54+'Ly Forsikring'!C54+'Youplus Livsforsikring'!C54+'Oslo Forsikring'!C54</f>
        <v>218144.33467784812</v>
      </c>
      <c r="D54" s="21">
        <f t="shared" si="22"/>
        <v>5.4</v>
      </c>
      <c r="E54" s="29"/>
      <c r="F54" s="3"/>
      <c r="G54" s="28"/>
      <c r="H54" s="27"/>
      <c r="I54" s="27"/>
      <c r="J54" s="26"/>
    </row>
    <row r="55" spans="1:10" ht="15.75" customHeight="1" x14ac:dyDescent="0.2">
      <c r="A55" s="18" t="s">
        <v>398</v>
      </c>
      <c r="B55" s="36">
        <f>'Fremtind Livsforsikring'!B55+'DNB Livsforsikring'!B55+'Eika Forsikring AS'!B55+'Frende Livsforsikring'!B55+'Frende Skadeforsikring'!B55+'Gjensidige Forsikring'!B55+'Gjensidige Pensjon'!B55+'If Skadeforsikring NUF'!B55+KLP!B55+'KLP Skadeforsikring AS'!B55+'Landkreditt Forsikring'!B55+'Nordea Liv '!B55+'Oslo Pensjonsforsikring'!B55+'Protector Forsikring'!B55+'Sparebank 1 Forsikring'!B55+'Storebrand Livsforsikring'!B55+'Telenor Forsikring'!B55+'Tryg Forsikring'!B55+'WaterCircles F'!B55+'Euro Accident'!B55+'Ly Forsikring'!B55+'Youplus Livsforsikring'!B55+'Oslo Forsikring'!B55</f>
        <v>946</v>
      </c>
      <c r="C55" s="36">
        <f>'Fremtind Livsforsikring'!C55+'DNB Livsforsikring'!C55+'Eika Forsikring AS'!C55+'Frende Livsforsikring'!C55+'Frende Skadeforsikring'!C55+'Gjensidige Forsikring'!C55+'Gjensidige Pensjon'!C55+'If Skadeforsikring NUF'!C55+KLP!C55+'KLP Skadeforsikring AS'!C55+'Landkreditt Forsikring'!C55+'Nordea Liv '!C55+'Oslo Pensjonsforsikring'!C55+'Protector Forsikring'!C55+'Sparebank 1 Forsikring'!C55+'Storebrand Livsforsikring'!C55+'Telenor Forsikring'!C55+'Tryg Forsikring'!C55+'WaterCircles F'!C55+'Euro Accident'!C55+'Ly Forsikring'!C55+'Youplus Livsforsikring'!C55+'Oslo Forsikring'!C55</f>
        <v>989</v>
      </c>
      <c r="D55" s="21">
        <f t="shared" si="22"/>
        <v>4.5</v>
      </c>
      <c r="E55" s="29"/>
      <c r="F55" s="3"/>
      <c r="G55" s="28"/>
      <c r="H55" s="27"/>
      <c r="I55" s="27"/>
      <c r="J55" s="26"/>
    </row>
    <row r="56" spans="1:10" s="35" customFormat="1" ht="15.75" customHeight="1" x14ac:dyDescent="0.2">
      <c r="A56" s="10" t="s">
        <v>400</v>
      </c>
      <c r="B56" s="180">
        <f>'Fremtind Livsforsikring'!B56+'DNB Livsforsikring'!B56+'Eika Forsikring AS'!B56+'Frende Livsforsikring'!B56+'Frende Skadeforsikring'!B56+'Gjensidige Forsikring'!B56+'Gjensidige Pensjon'!B56+'If Skadeforsikring NUF'!B56+KLP!B56+'KLP Skadeforsikring AS'!B56+'Landkreditt Forsikring'!B56+'Nordea Liv '!B56+'Oslo Pensjonsforsikring'!B56+'Protector Forsikring'!B56+'Sparebank 1 Forsikring'!B56+'Storebrand Livsforsikring'!B56+'Telenor Forsikring'!B56+'Tryg Forsikring'!B56+'WaterCircles F'!B56+'Euro Accident'!B56+'Ly Forsikring'!B56+'Youplus Livsforsikring'!B56+'Oslo Forsikring'!B56</f>
        <v>124140.079</v>
      </c>
      <c r="C56" s="180">
        <f>'Fremtind Livsforsikring'!C56+'DNB Livsforsikring'!C56+'Eika Forsikring AS'!C56+'Frende Livsforsikring'!C56+'Frende Skadeforsikring'!C56+'Gjensidige Forsikring'!C56+'Gjensidige Pensjon'!C56+'If Skadeforsikring NUF'!C56+KLP!C56+'KLP Skadeforsikring AS'!C56+'Landkreditt Forsikring'!C56+'Nordea Liv '!C56+'Oslo Pensjonsforsikring'!C56+'Protector Forsikring'!C56+'Sparebank 1 Forsikring'!C56+'Storebrand Livsforsikring'!C56+'Telenor Forsikring'!C56+'Tryg Forsikring'!C56+'WaterCircles F'!C56+'Euro Accident'!C56+'Ly Forsikring'!C56+'Youplus Livsforsikring'!C56+'Oslo Forsikring'!C56</f>
        <v>239121.538</v>
      </c>
      <c r="D56" s="21">
        <f t="shared" si="22"/>
        <v>92.6</v>
      </c>
      <c r="E56" s="333"/>
      <c r="F56" s="334"/>
      <c r="G56" s="26"/>
      <c r="H56" s="127"/>
      <c r="I56" s="127"/>
      <c r="J56" s="26"/>
    </row>
    <row r="57" spans="1:10" ht="15.75" customHeight="1" x14ac:dyDescent="0.2">
      <c r="A57" s="18" t="s">
        <v>397</v>
      </c>
      <c r="B57" s="36">
        <f>'Fremtind Livsforsikring'!B57+'DNB Livsforsikring'!B57+'Eika Forsikring AS'!B57+'Frende Livsforsikring'!B57+'Frende Skadeforsikring'!B57+'Gjensidige Forsikring'!B57+'Gjensidige Pensjon'!B57+'If Skadeforsikring NUF'!B57+KLP!B57+'KLP Skadeforsikring AS'!B57+'Landkreditt Forsikring'!B57+'Nordea Liv '!B57+'Oslo Pensjonsforsikring'!B57+'Protector Forsikring'!B57+'Sparebank 1 Forsikring'!B57+'Storebrand Livsforsikring'!B57+'Telenor Forsikring'!B57+'Tryg Forsikring'!B57+'WaterCircles F'!B57+'Euro Accident'!B57+'Ly Forsikring'!B57+'Youplus Livsforsikring'!B57+'Oslo Forsikring'!B57</f>
        <v>124140.079</v>
      </c>
      <c r="C57" s="36">
        <f>'Fremtind Livsforsikring'!C57+'DNB Livsforsikring'!C57+'Eika Forsikring AS'!C57+'Frende Livsforsikring'!C57+'Frende Skadeforsikring'!C57+'Gjensidige Forsikring'!C57+'Gjensidige Pensjon'!C57+'If Skadeforsikring NUF'!C57+KLP!C57+'KLP Skadeforsikring AS'!C57+'Landkreditt Forsikring'!C57+'Nordea Liv '!C57+'Oslo Pensjonsforsikring'!C57+'Protector Forsikring'!C57+'Sparebank 1 Forsikring'!C57+'Storebrand Livsforsikring'!C57+'Telenor Forsikring'!C57+'Tryg Forsikring'!C57+'WaterCircles F'!C57+'Euro Accident'!C57+'Ly Forsikring'!C57+'Youplus Livsforsikring'!C57+'Oslo Forsikring'!C57</f>
        <v>239121.538</v>
      </c>
      <c r="D57" s="21">
        <f t="shared" si="22"/>
        <v>92.6</v>
      </c>
      <c r="E57" s="29"/>
      <c r="F57" s="3"/>
      <c r="G57" s="28"/>
      <c r="H57" s="27"/>
      <c r="I57" s="27"/>
      <c r="J57" s="26"/>
    </row>
    <row r="58" spans="1:10" ht="15.75" customHeight="1" x14ac:dyDescent="0.2">
      <c r="A58" s="18" t="s">
        <v>398</v>
      </c>
      <c r="B58" s="37"/>
      <c r="C58" s="37"/>
      <c r="D58" s="30"/>
      <c r="E58" s="29"/>
      <c r="F58" s="3"/>
      <c r="G58" s="28"/>
      <c r="H58" s="27"/>
      <c r="I58" s="27"/>
      <c r="J58" s="26"/>
    </row>
    <row r="59" spans="1:10" ht="15.75" customHeight="1" x14ac:dyDescent="0.25">
      <c r="A59" s="114"/>
      <c r="B59" s="24"/>
      <c r="C59" s="24"/>
      <c r="D59" s="24"/>
      <c r="E59" s="24"/>
      <c r="F59" s="24"/>
      <c r="G59" s="24"/>
      <c r="H59" s="24"/>
      <c r="I59" s="24"/>
      <c r="J59" s="24"/>
    </row>
    <row r="60" spans="1:10" ht="15.75" customHeight="1" x14ac:dyDescent="0.2">
      <c r="A60" s="114"/>
    </row>
    <row r="61" spans="1:10" ht="15.75" customHeight="1" x14ac:dyDescent="0.25">
      <c r="A61" s="110" t="s">
        <v>243</v>
      </c>
      <c r="C61" s="22"/>
      <c r="D61" s="4"/>
      <c r="E61" s="22"/>
      <c r="F61" s="22"/>
      <c r="G61" s="4"/>
      <c r="H61" s="22"/>
      <c r="I61" s="22"/>
      <c r="J61" s="4"/>
    </row>
    <row r="62" spans="1:10" ht="20.100000000000001" customHeight="1" x14ac:dyDescent="0.25">
      <c r="A62" s="22"/>
      <c r="B62" s="789"/>
      <c r="C62" s="789"/>
      <c r="D62" s="789"/>
      <c r="E62" s="789"/>
      <c r="F62" s="789"/>
      <c r="G62" s="789"/>
      <c r="H62" s="789"/>
      <c r="I62" s="789"/>
      <c r="J62" s="789"/>
    </row>
    <row r="63" spans="1:10" ht="15.75" customHeight="1" x14ac:dyDescent="0.2">
      <c r="A63" s="108"/>
      <c r="B63" s="786" t="s">
        <v>0</v>
      </c>
      <c r="C63" s="787"/>
      <c r="D63" s="787"/>
      <c r="E63" s="786" t="s">
        <v>1</v>
      </c>
      <c r="F63" s="787"/>
      <c r="G63" s="788"/>
      <c r="H63" s="787" t="s">
        <v>2</v>
      </c>
      <c r="I63" s="787"/>
      <c r="J63" s="788"/>
    </row>
    <row r="64" spans="1:10" ht="15.75" customHeight="1" x14ac:dyDescent="0.2">
      <c r="A64" s="105"/>
      <c r="B64" s="17">
        <v>45291</v>
      </c>
      <c r="C64" s="17">
        <v>45657</v>
      </c>
      <c r="D64" s="16" t="s">
        <v>3</v>
      </c>
      <c r="E64" s="17">
        <v>45291</v>
      </c>
      <c r="F64" s="17">
        <v>45657</v>
      </c>
      <c r="G64" s="16" t="s">
        <v>3</v>
      </c>
      <c r="H64" s="17">
        <v>45291</v>
      </c>
      <c r="I64" s="17">
        <v>45657</v>
      </c>
      <c r="J64" s="16" t="s">
        <v>3</v>
      </c>
    </row>
    <row r="65" spans="1:10" ht="15.75" customHeight="1" x14ac:dyDescent="0.2">
      <c r="A65" s="768"/>
      <c r="B65" s="12"/>
      <c r="C65" s="12"/>
      <c r="D65" s="14" t="s">
        <v>4</v>
      </c>
      <c r="E65" s="13"/>
      <c r="F65" s="13"/>
      <c r="G65" s="12" t="s">
        <v>4</v>
      </c>
      <c r="H65" s="13"/>
      <c r="I65" s="13"/>
      <c r="J65" s="12" t="s">
        <v>4</v>
      </c>
    </row>
    <row r="66" spans="1:10" s="35" customFormat="1" ht="15.75" customHeight="1" x14ac:dyDescent="0.2">
      <c r="A66" s="11" t="s">
        <v>23</v>
      </c>
      <c r="B66" s="264">
        <f>'Fremtind Livsforsikring'!B66+'DNB Livsforsikring'!B66+'Eika Forsikring AS'!B66+'Frende Livsforsikring'!B66+'Frende Skadeforsikring'!B66+'Gjensidige Forsikring'!B66+'Gjensidige Pensjon'!B66+'If Skadeforsikring NUF'!B66+KLP!B66+'KLP Skadeforsikring AS'!B66+'Landkreditt Forsikring'!B66+'Nordea Liv '!B66+'Oslo Pensjonsforsikring'!B66+'Protector Forsikring'!B66+'Sparebank 1 Forsikring'!B66+'Storebrand Livsforsikring'!B66+'Telenor Forsikring'!B66+'Tryg Forsikring'!B66+'WaterCircles F'!B66+'Euro Accident'!B66+'Ly Forsikring'!B66+'Youplus Livsforsikring'!B66+'Oslo Forsikring'!B66</f>
        <v>8715736.6442499999</v>
      </c>
      <c r="C66" s="264">
        <f>'Fremtind Livsforsikring'!C66+'DNB Livsforsikring'!C66+'Eika Forsikring AS'!C66+'Frende Livsforsikring'!C66+'Frende Skadeforsikring'!C66+'Gjensidige Forsikring'!C66+'Gjensidige Pensjon'!C66+'If Skadeforsikring NUF'!C66+KLP!C66+'KLP Skadeforsikring AS'!C66+'Landkreditt Forsikring'!C66+'Nordea Liv '!C66+'Oslo Pensjonsforsikring'!C66+'Protector Forsikring'!C66+'Sparebank 1 Forsikring'!C66+'Storebrand Livsforsikring'!C66+'Telenor Forsikring'!C66+'Tryg Forsikring'!C66+'WaterCircles F'!C66+'Euro Accident'!C66+'Ly Forsikring'!C66+'Youplus Livsforsikring'!C66+'Oslo Forsikring'!C66</f>
        <v>8817279.4202000014</v>
      </c>
      <c r="D66" s="21">
        <f t="shared" ref="D66:D111" si="24">IF(B66=0, "    ---- ", IF(ABS(ROUND(100/B66*C66-100,1))&lt;999,ROUND(100/B66*C66-100,1),IF(ROUND(100/B66*C66-100,1)&gt;999,999,-999)))</f>
        <v>1.2</v>
      </c>
      <c r="E66" s="180">
        <f>'Fremtind Livsforsikring'!F66+'DNB Livsforsikring'!F66+'Eika Forsikring AS'!F66+'Frende Livsforsikring'!F66+'Frende Skadeforsikring'!F66+'Gjensidige Forsikring'!F66+'Gjensidige Pensjon'!F66+'If Skadeforsikring NUF'!F66+KLP!F66+'KLP Skadeforsikring AS'!F66+'Landkreditt Forsikring'!F66+'Nordea Liv '!F66+'Oslo Pensjonsforsikring'!F66+'Protector Forsikring'!F66+'Sparebank 1 Forsikring'!F66+'Storebrand Livsforsikring'!F66+'Telenor Forsikring'!F66+'Tryg Forsikring'!F66+'WaterCircles F'!F66+'Euro Accident'!F66+'Ly Forsikring'!F66+'Youplus Livsforsikring'!F66+'Oslo Forsikring'!F66</f>
        <v>49792574.160915874</v>
      </c>
      <c r="F66" s="180">
        <f>'Fremtind Livsforsikring'!G66+'DNB Livsforsikring'!G66+'Eika Forsikring AS'!G66+'Frende Livsforsikring'!G66+'Frende Skadeforsikring'!G66+'Gjensidige Forsikring'!G66+'Gjensidige Pensjon'!G66+'If Skadeforsikring NUF'!G66+KLP!G66+'KLP Skadeforsikring AS'!G66+'Landkreditt Forsikring'!G66+'Nordea Liv '!G66+'Oslo Pensjonsforsikring'!G66+'Protector Forsikring'!G66+'Sparebank 1 Forsikring'!G66+'Storebrand Livsforsikring'!G66+'Telenor Forsikring'!G66+'Tryg Forsikring'!G66+'WaterCircles F'!G66+'Euro Accident'!G66+'Ly Forsikring'!G66+'Youplus Livsforsikring'!G66+'Oslo Forsikring'!G66</f>
        <v>54720089.956119999</v>
      </c>
      <c r="G66" s="125">
        <f t="shared" ref="G66:G125" si="25">IF(E66=0, "    ---- ", IF(ABS(ROUND(100/E66*F66-100,1))&lt;999,ROUND(100/E66*F66-100,1),IF(ROUND(100/E66*F66-100,1)&gt;999,999,-999)))</f>
        <v>9.9</v>
      </c>
      <c r="H66" s="264">
        <f t="shared" ref="H66:H86" si="26">SUM(B66,E66)</f>
        <v>58508310.805165872</v>
      </c>
      <c r="I66" s="264">
        <f t="shared" ref="I66:I86" si="27">SUM(C66,F66)</f>
        <v>63537369.376320004</v>
      </c>
      <c r="J66" s="21">
        <f t="shared" ref="J66:J111" si="28">IF(H66=0, "    ---- ", IF(ABS(ROUND(100/H66*I66-100,1))&lt;999,ROUND(100/H66*I66-100,1),IF(ROUND(100/H66*I66-100,1)&gt;999,999,-999)))</f>
        <v>8.6</v>
      </c>
    </row>
    <row r="67" spans="1:10" ht="15.75" customHeight="1" x14ac:dyDescent="0.25">
      <c r="A67" s="18" t="s">
        <v>9</v>
      </c>
      <c r="B67" s="178">
        <f>'Fremtind Livsforsikring'!B67+'DNB Livsforsikring'!B67+'Eika Forsikring AS'!B67+'Frende Livsforsikring'!B67+'Frende Skadeforsikring'!B67+'Gjensidige Forsikring'!B67+'Gjensidige Pensjon'!B67+'If Skadeforsikring NUF'!B67+KLP!B67+'KLP Skadeforsikring AS'!B67+'Landkreditt Forsikring'!B67+'Nordea Liv '!B67+'Oslo Pensjonsforsikring'!B67+'Protector Forsikring'!B67+'Sparebank 1 Forsikring'!B67+'Storebrand Livsforsikring'!B67+'Telenor Forsikring'!B67+'Tryg Forsikring'!B67+'WaterCircles F'!B67+'Euro Accident'!B67+'Ly Forsikring'!B67+'Youplus Livsforsikring'!B67+'Oslo Forsikring'!B67</f>
        <v>5143712.4517645594</v>
      </c>
      <c r="C67" s="178">
        <f>'Fremtind Livsforsikring'!C67+'DNB Livsforsikring'!C67+'Eika Forsikring AS'!C67+'Frende Livsforsikring'!C67+'Frende Skadeforsikring'!C67+'Gjensidige Forsikring'!C67+'Gjensidige Pensjon'!C67+'If Skadeforsikring NUF'!C67+KLP!C67+'KLP Skadeforsikring AS'!C67+'Landkreditt Forsikring'!C67+'Nordea Liv '!C67+'Oslo Pensjonsforsikring'!C67+'Protector Forsikring'!C67+'Sparebank 1 Forsikring'!C67+'Storebrand Livsforsikring'!C67+'Telenor Forsikring'!C67+'Tryg Forsikring'!C67+'WaterCircles F'!C67+'Euro Accident'!C67+'Ly Forsikring'!C67+'Youplus Livsforsikring'!C67+'Oslo Forsikring'!C67</f>
        <v>4746933.4747245898</v>
      </c>
      <c r="D67" s="185">
        <f t="shared" si="24"/>
        <v>-7.7</v>
      </c>
      <c r="E67" s="36"/>
      <c r="F67" s="36"/>
      <c r="G67" s="121"/>
      <c r="H67" s="181">
        <f t="shared" si="26"/>
        <v>5143712.4517645594</v>
      </c>
      <c r="I67" s="181">
        <f t="shared" si="27"/>
        <v>4746933.4747245898</v>
      </c>
      <c r="J67" s="20">
        <f t="shared" si="28"/>
        <v>-7.7</v>
      </c>
    </row>
    <row r="68" spans="1:10" ht="15.75" customHeight="1" x14ac:dyDescent="0.25">
      <c r="A68" s="18" t="s">
        <v>10</v>
      </c>
      <c r="B68" s="178">
        <f>'Fremtind Livsforsikring'!B68+'DNB Livsforsikring'!B68+'Eika Forsikring AS'!B68+'Frende Livsforsikring'!B68+'Frende Skadeforsikring'!B68+'Gjensidige Forsikring'!B68+'Gjensidige Pensjon'!B68+'If Skadeforsikring NUF'!B68+KLP!B68+'KLP Skadeforsikring AS'!B68+'Landkreditt Forsikring'!B68+'Nordea Liv '!B68+'Oslo Pensjonsforsikring'!B68+'Protector Forsikring'!B68+'Sparebank 1 Forsikring'!B68+'Storebrand Livsforsikring'!B68+'Telenor Forsikring'!B68+'Tryg Forsikring'!B68+'WaterCircles F'!B68+'Euro Accident'!B68+'Ly Forsikring'!B68+'Youplus Livsforsikring'!B68+'Oslo Forsikring'!B68</f>
        <v>39152.623399999997</v>
      </c>
      <c r="C68" s="178">
        <f>'Fremtind Livsforsikring'!C68+'DNB Livsforsikring'!C68+'Eika Forsikring AS'!C68+'Frende Livsforsikring'!C68+'Frende Skadeforsikring'!C68+'Gjensidige Forsikring'!C68+'Gjensidige Pensjon'!C68+'If Skadeforsikring NUF'!C68+KLP!C68+'KLP Skadeforsikring AS'!C68+'Landkreditt Forsikring'!C68+'Nordea Liv '!C68+'Oslo Pensjonsforsikring'!C68+'Protector Forsikring'!C68+'Sparebank 1 Forsikring'!C68+'Storebrand Livsforsikring'!C68+'Telenor Forsikring'!C68+'Tryg Forsikring'!C68+'WaterCircles F'!C68+'Euro Accident'!C68+'Ly Forsikring'!C68+'Youplus Livsforsikring'!C68+'Oslo Forsikring'!C68</f>
        <v>29813.744979999999</v>
      </c>
      <c r="D68" s="185">
        <f t="shared" si="24"/>
        <v>-23.9</v>
      </c>
      <c r="E68" s="36">
        <f>'Fremtind Livsforsikring'!F68+'DNB Livsforsikring'!F68+'Eika Forsikring AS'!F68+'Frende Livsforsikring'!F68+'Frende Skadeforsikring'!F68+'Gjensidige Forsikring'!F68+'Gjensidige Pensjon'!F68+'If Skadeforsikring NUF'!F68+KLP!F68+'KLP Skadeforsikring AS'!F68+'Landkreditt Forsikring'!F68+'Nordea Liv '!F68+'Oslo Pensjonsforsikring'!F68+'Protector Forsikring'!F68+'Sparebank 1 Forsikring'!F68+'Storebrand Livsforsikring'!F68+'Telenor Forsikring'!F68+'Tryg Forsikring'!F68+'WaterCircles F'!F68+'Euro Accident'!F68+'Ly Forsikring'!F68+'Youplus Livsforsikring'!F68+'Oslo Forsikring'!F68</f>
        <v>47668972.360285878</v>
      </c>
      <c r="F68" s="36">
        <f>'Fremtind Livsforsikring'!G68+'DNB Livsforsikring'!G68+'Eika Forsikring AS'!G68+'Frende Livsforsikring'!G68+'Frende Skadeforsikring'!G68+'Gjensidige Forsikring'!G68+'Gjensidige Pensjon'!G68+'If Skadeforsikring NUF'!G68+KLP!G68+'KLP Skadeforsikring AS'!G68+'Landkreditt Forsikring'!G68+'Nordea Liv '!G68+'Oslo Pensjonsforsikring'!G68+'Protector Forsikring'!G68+'Sparebank 1 Forsikring'!G68+'Storebrand Livsforsikring'!G68+'Telenor Forsikring'!G68+'Tryg Forsikring'!G68+'WaterCircles F'!G68+'Euro Accident'!G68+'Ly Forsikring'!G68+'Youplus Livsforsikring'!G68+'Oslo Forsikring'!G68</f>
        <v>52614807.915200002</v>
      </c>
      <c r="G68" s="121">
        <f t="shared" si="25"/>
        <v>10.4</v>
      </c>
      <c r="H68" s="181">
        <f t="shared" si="26"/>
        <v>47708124.983685881</v>
      </c>
      <c r="I68" s="181">
        <f t="shared" si="27"/>
        <v>52644621.660180002</v>
      </c>
      <c r="J68" s="20">
        <f t="shared" si="28"/>
        <v>10.3</v>
      </c>
    </row>
    <row r="69" spans="1:10" ht="15.75" customHeight="1" x14ac:dyDescent="0.2">
      <c r="A69" s="234" t="s">
        <v>401</v>
      </c>
      <c r="B69" s="36">
        <f>'Fremtind Livsforsikring'!B69+'DNB Livsforsikring'!B69+'Eika Forsikring AS'!B69+'Frende Livsforsikring'!B69+'Frende Skadeforsikring'!B69+'Gjensidige Forsikring'!B69+'Gjensidige Pensjon'!B69+'If Skadeforsikring NUF'!B69+KLP!B69+'KLP Skadeforsikring AS'!B69+'Landkreditt Forsikring'!B69+'Nordea Liv '!B69+'Oslo Pensjonsforsikring'!B69+'Protector Forsikring'!B69+'Sparebank 1 Forsikring'!B69+'Storebrand Livsforsikring'!B69+'Telenor Forsikring'!B69+'Tryg Forsikring'!B69+'WaterCircles F'!B69+'Euro Accident'!B69+'Ly Forsikring'!B69+'Youplus Livsforsikring'!B69+'Oslo Forsikring'!B69</f>
        <v>653</v>
      </c>
      <c r="C69" s="36">
        <f>'Fremtind Livsforsikring'!C69+'DNB Livsforsikring'!C69+'Eika Forsikring AS'!C69+'Frende Livsforsikring'!C69+'Frende Skadeforsikring'!C69+'Gjensidige Forsikring'!C69+'Gjensidige Pensjon'!C69+'If Skadeforsikring NUF'!C69+KLP!C69+'KLP Skadeforsikring AS'!C69+'Landkreditt Forsikring'!C69+'Nordea Liv '!C69+'Oslo Pensjonsforsikring'!C69+'Protector Forsikring'!C69+'Sparebank 1 Forsikring'!C69+'Storebrand Livsforsikring'!C69+'Telenor Forsikring'!C69+'Tryg Forsikring'!C69+'WaterCircles F'!C69+'Euro Accident'!C69+'Ly Forsikring'!C69+'Youplus Livsforsikring'!C69+'Oslo Forsikring'!C69</f>
        <v>318</v>
      </c>
      <c r="D69" s="23">
        <f>IF($A$1=4,IF(B69=0, "    ---- ", IF(ABS(ROUND(100/B69*C69-100,1))&lt;999,ROUND(100/B69*C69-100,1),IF(ROUND(100/B69*C69-100,1)&gt;999,999,-999))),"")</f>
        <v>-51.3</v>
      </c>
      <c r="E69" s="36">
        <f>'Fremtind Livsforsikring'!F69+'DNB Livsforsikring'!F69+'Eika Forsikring AS'!F69+'Frende Livsforsikring'!F69+'Frende Skadeforsikring'!F69+'Gjensidige Forsikring'!F69+'Gjensidige Pensjon'!F69+'If Skadeforsikring NUF'!F69+KLP!F69+'KLP Skadeforsikring AS'!F69+'Landkreditt Forsikring'!F69+'Nordea Liv '!F69+'Oslo Pensjonsforsikring'!F69+'Protector Forsikring'!F69+'Sparebank 1 Forsikring'!F69+'Storebrand Livsforsikring'!F69+'Telenor Forsikring'!F69+'Tryg Forsikring'!F69+'WaterCircles F'!F69+'Euro Accident'!F69+'Ly Forsikring'!F69+'Youplus Livsforsikring'!F69+'Oslo Forsikring'!F69</f>
        <v>2593.43569588024</v>
      </c>
      <c r="F69" s="36">
        <f>'Fremtind Livsforsikring'!G69+'DNB Livsforsikring'!G69+'Eika Forsikring AS'!G69+'Frende Livsforsikring'!G69+'Frende Skadeforsikring'!G69+'Gjensidige Forsikring'!G69+'Gjensidige Pensjon'!G69+'If Skadeforsikring NUF'!G69+KLP!G69+'KLP Skadeforsikring AS'!G69+'Landkreditt Forsikring'!G69+'Nordea Liv '!G69+'Oslo Pensjonsforsikring'!G69+'Protector Forsikring'!G69+'Sparebank 1 Forsikring'!G69+'Storebrand Livsforsikring'!G69+'Telenor Forsikring'!G69+'Tryg Forsikring'!G69+'WaterCircles F'!G69+'Euro Accident'!G69+'Ly Forsikring'!G69+'Youplus Livsforsikring'!G69+'Oslo Forsikring'!G69</f>
        <v>2524.7269999999999</v>
      </c>
      <c r="G69" s="121">
        <f t="shared" si="25"/>
        <v>-2.6</v>
      </c>
      <c r="H69" s="181">
        <f t="shared" si="26"/>
        <v>3246.43569588024</v>
      </c>
      <c r="I69" s="181">
        <f t="shared" si="27"/>
        <v>2842.7269999999999</v>
      </c>
      <c r="J69" s="20">
        <f t="shared" si="28"/>
        <v>-12.4</v>
      </c>
    </row>
    <row r="70" spans="1:10" ht="15.75" customHeight="1" x14ac:dyDescent="0.2">
      <c r="A70" s="234" t="s">
        <v>12</v>
      </c>
      <c r="B70" s="179"/>
      <c r="C70" s="179"/>
      <c r="D70" s="23"/>
      <c r="E70" s="36"/>
      <c r="F70" s="36"/>
      <c r="G70" s="121"/>
      <c r="H70" s="181"/>
      <c r="I70" s="181"/>
      <c r="J70" s="20"/>
    </row>
    <row r="71" spans="1:10" ht="15.75" customHeight="1" x14ac:dyDescent="0.2">
      <c r="A71" s="234" t="s">
        <v>13</v>
      </c>
      <c r="B71" s="179"/>
      <c r="C71" s="179"/>
      <c r="D71" s="23"/>
      <c r="E71" s="36">
        <f>'Fremtind Livsforsikring'!F71+'DNB Livsforsikring'!F71+'Eika Forsikring AS'!F71+'Frende Livsforsikring'!F71+'Frende Skadeforsikring'!F71+'Gjensidige Forsikring'!F71+'Gjensidige Pensjon'!F71+'If Skadeforsikring NUF'!F71+KLP!F71+'KLP Skadeforsikring AS'!F71+'Landkreditt Forsikring'!F71+'Nordea Liv '!F71+'Oslo Pensjonsforsikring'!F71+'Protector Forsikring'!F71+'Sparebank 1 Forsikring'!F71+'Storebrand Livsforsikring'!F71+'Telenor Forsikring'!F71+'Tryg Forsikring'!F71+'WaterCircles F'!F71+'Euro Accident'!F71+'Ly Forsikring'!F71+'Youplus Livsforsikring'!F71+'Oslo Forsikring'!F71</f>
        <v>2593.43569588024</v>
      </c>
      <c r="F71" s="36">
        <f>'Fremtind Livsforsikring'!G71+'DNB Livsforsikring'!G71+'Eika Forsikring AS'!G71+'Frende Livsforsikring'!G71+'Frende Skadeforsikring'!G71+'Gjensidige Forsikring'!G71+'Gjensidige Pensjon'!G71+'If Skadeforsikring NUF'!G71+KLP!G71+'KLP Skadeforsikring AS'!G71+'Landkreditt Forsikring'!G71+'Nordea Liv '!G71+'Oslo Pensjonsforsikring'!G71+'Protector Forsikring'!G71+'Sparebank 1 Forsikring'!G71+'Storebrand Livsforsikring'!G71+'Telenor Forsikring'!G71+'Tryg Forsikring'!G71+'WaterCircles F'!G71+'Euro Accident'!G71+'Ly Forsikring'!G71+'Youplus Livsforsikring'!G71+'Oslo Forsikring'!G71</f>
        <v>2524.7269999999999</v>
      </c>
      <c r="G71" s="121">
        <f t="shared" si="25"/>
        <v>-2.6</v>
      </c>
      <c r="H71" s="181">
        <f t="shared" si="26"/>
        <v>2593.43569588024</v>
      </c>
      <c r="I71" s="181">
        <f t="shared" si="27"/>
        <v>2524.7269999999999</v>
      </c>
      <c r="J71" s="20">
        <f t="shared" si="28"/>
        <v>-2.6</v>
      </c>
    </row>
    <row r="72" spans="1:10" ht="15.75" customHeight="1" x14ac:dyDescent="0.2">
      <c r="A72" s="234" t="s">
        <v>402</v>
      </c>
      <c r="B72" s="36">
        <f>'Fremtind Livsforsikring'!B72+'DNB Livsforsikring'!B72+'Eika Forsikring AS'!B72+'Frende Livsforsikring'!B72+'Frende Skadeforsikring'!B72+'Gjensidige Forsikring'!B72+'Gjensidige Pensjon'!B72+'If Skadeforsikring NUF'!B72+KLP!B72+'KLP Skadeforsikring AS'!B72+'Landkreditt Forsikring'!B72+'Nordea Liv '!B72+'Oslo Pensjonsforsikring'!B72+'Protector Forsikring'!B72+'Sparebank 1 Forsikring'!B72+'Storebrand Livsforsikring'!B72+'Telenor Forsikring'!B72+'Tryg Forsikring'!B72+'WaterCircles F'!B72+'Euro Accident'!B72+'Ly Forsikring'!B72+'Youplus Livsforsikring'!B72+'Oslo Forsikring'!B72</f>
        <v>38499.623399999997</v>
      </c>
      <c r="C72" s="36">
        <f>'Fremtind Livsforsikring'!C72+'DNB Livsforsikring'!C72+'Eika Forsikring AS'!C72+'Frende Livsforsikring'!C72+'Frende Skadeforsikring'!C72+'Gjensidige Forsikring'!C72+'Gjensidige Pensjon'!C72+'If Skadeforsikring NUF'!C72+KLP!C72+'KLP Skadeforsikring AS'!C72+'Landkreditt Forsikring'!C72+'Nordea Liv '!C72+'Oslo Pensjonsforsikring'!C72+'Protector Forsikring'!C72+'Sparebank 1 Forsikring'!C72+'Storebrand Livsforsikring'!C72+'Telenor Forsikring'!C72+'Tryg Forsikring'!C72+'WaterCircles F'!C72+'Euro Accident'!C72+'Ly Forsikring'!C72+'Youplus Livsforsikring'!C72+'Oslo Forsikring'!C72</f>
        <v>29495.744979999999</v>
      </c>
      <c r="D72" s="23">
        <f>IF($A$1=4,IF(B72=0, "    ---- ", IF(ABS(ROUND(100/B72*C72-100,1))&lt;999,ROUND(100/B72*C72-100,1),IF(ROUND(100/B72*C72-100,1)&gt;999,999,-999))),"")</f>
        <v>-23.4</v>
      </c>
      <c r="E72" s="36">
        <f>'Fremtind Livsforsikring'!F72+'DNB Livsforsikring'!F72+'Eika Forsikring AS'!F72+'Frende Livsforsikring'!F72+'Frende Skadeforsikring'!F72+'Gjensidige Forsikring'!F72+'Gjensidige Pensjon'!F72+'If Skadeforsikring NUF'!F72+KLP!F72+'KLP Skadeforsikring AS'!F72+'Landkreditt Forsikring'!F72+'Nordea Liv '!F72+'Oslo Pensjonsforsikring'!F72+'Protector Forsikring'!F72+'Sparebank 1 Forsikring'!F72+'Storebrand Livsforsikring'!F72+'Telenor Forsikring'!F72+'Tryg Forsikring'!F72+'WaterCircles F'!F72+'Euro Accident'!F72+'Ly Forsikring'!F72+'Youplus Livsforsikring'!F72+'Oslo Forsikring'!F72</f>
        <v>47666378.924589999</v>
      </c>
      <c r="F72" s="36">
        <f>'Fremtind Livsforsikring'!G72+'DNB Livsforsikring'!G72+'Eika Forsikring AS'!G72+'Frende Livsforsikring'!G72+'Frende Skadeforsikring'!G72+'Gjensidige Forsikring'!G72+'Gjensidige Pensjon'!G72+'If Skadeforsikring NUF'!G72+KLP!G72+'KLP Skadeforsikring AS'!G72+'Landkreditt Forsikring'!G72+'Nordea Liv '!G72+'Oslo Pensjonsforsikring'!G72+'Protector Forsikring'!G72+'Sparebank 1 Forsikring'!G72+'Storebrand Livsforsikring'!G72+'Telenor Forsikring'!G72+'Tryg Forsikring'!G72+'WaterCircles F'!G72+'Euro Accident'!G72+'Ly Forsikring'!G72+'Youplus Livsforsikring'!G72+'Oslo Forsikring'!G72</f>
        <v>52612283.188200004</v>
      </c>
      <c r="G72" s="121">
        <f t="shared" si="25"/>
        <v>10.4</v>
      </c>
      <c r="H72" s="181">
        <f t="shared" si="26"/>
        <v>47704878.547990002</v>
      </c>
      <c r="I72" s="181">
        <f t="shared" si="27"/>
        <v>52641778.933180004</v>
      </c>
      <c r="J72" s="21">
        <f t="shared" si="28"/>
        <v>10.3</v>
      </c>
    </row>
    <row r="73" spans="1:10" ht="15.75" customHeight="1" x14ac:dyDescent="0.2">
      <c r="A73" s="234" t="s">
        <v>12</v>
      </c>
      <c r="B73" s="179"/>
      <c r="C73" s="179"/>
      <c r="D73" s="23"/>
      <c r="E73" s="36">
        <f>'Fremtind Livsforsikring'!F73+'DNB Livsforsikring'!F73+'Eika Forsikring AS'!F73+'Frende Livsforsikring'!F73+'Frende Skadeforsikring'!F73+'Gjensidige Forsikring'!F73+'Gjensidige Pensjon'!F73+'If Skadeforsikring NUF'!F73+KLP!F73+'KLP Skadeforsikring AS'!F73+'Landkreditt Forsikring'!F73+'Nordea Liv '!F73+'Oslo Pensjonsforsikring'!F73+'Protector Forsikring'!F73+'Sparebank 1 Forsikring'!F73+'Storebrand Livsforsikring'!F73+'Telenor Forsikring'!F73+'Tryg Forsikring'!F73+'WaterCircles F'!F73+'Euro Accident'!F73+'Ly Forsikring'!F73+'Youplus Livsforsikring'!F73+'Oslo Forsikring'!F73</f>
        <v>13.475103297704001</v>
      </c>
      <c r="F73" s="36">
        <f>'Fremtind Livsforsikring'!G73+'DNB Livsforsikring'!G73+'Eika Forsikring AS'!G73+'Frende Livsforsikring'!G73+'Frende Skadeforsikring'!G73+'Gjensidige Forsikring'!G73+'Gjensidige Pensjon'!G73+'If Skadeforsikring NUF'!G73+KLP!G73+'KLP Skadeforsikring AS'!G73+'Landkreditt Forsikring'!G73+'Nordea Liv '!G73+'Oslo Pensjonsforsikring'!G73+'Protector Forsikring'!G73+'Sparebank 1 Forsikring'!G73+'Storebrand Livsforsikring'!G73+'Telenor Forsikring'!G73+'Tryg Forsikring'!G73+'WaterCircles F'!G73+'Euro Accident'!G73+'Ly Forsikring'!G73+'Youplus Livsforsikring'!G73+'Oslo Forsikring'!G73</f>
        <v>0</v>
      </c>
      <c r="G73" s="121">
        <f t="shared" si="25"/>
        <v>-100</v>
      </c>
      <c r="H73" s="181">
        <f t="shared" si="26"/>
        <v>13.475103297704001</v>
      </c>
      <c r="I73" s="181">
        <f t="shared" si="27"/>
        <v>0</v>
      </c>
      <c r="J73" s="20">
        <f t="shared" si="28"/>
        <v>-100</v>
      </c>
    </row>
    <row r="74" spans="1:10" ht="15.75" customHeight="1" x14ac:dyDescent="0.2">
      <c r="A74" s="234" t="s">
        <v>13</v>
      </c>
      <c r="B74" s="179"/>
      <c r="C74" s="179"/>
      <c r="D74" s="23"/>
      <c r="E74" s="36">
        <f>'Fremtind Livsforsikring'!F74+'DNB Livsforsikring'!F74+'Eika Forsikring AS'!F74+'Frende Livsforsikring'!F74+'Frende Skadeforsikring'!F74+'Gjensidige Forsikring'!F74+'Gjensidige Pensjon'!F74+'If Skadeforsikring NUF'!F74+KLP!F74+'KLP Skadeforsikring AS'!F74+'Landkreditt Forsikring'!F74+'Nordea Liv '!F74+'Oslo Pensjonsforsikring'!F74+'Protector Forsikring'!F74+'Sparebank 1 Forsikring'!F74+'Storebrand Livsforsikring'!F74+'Telenor Forsikring'!F74+'Tryg Forsikring'!F74+'WaterCircles F'!F74+'Euro Accident'!F74+'Ly Forsikring'!F74+'Youplus Livsforsikring'!F74+'Oslo Forsikring'!F74</f>
        <v>47666365.449486695</v>
      </c>
      <c r="F74" s="36">
        <f>'Fremtind Livsforsikring'!G74+'DNB Livsforsikring'!G74+'Eika Forsikring AS'!G74+'Frende Livsforsikring'!G74+'Frende Skadeforsikring'!G74+'Gjensidige Forsikring'!G74+'Gjensidige Pensjon'!G74+'If Skadeforsikring NUF'!G74+KLP!G74+'KLP Skadeforsikring AS'!G74+'Landkreditt Forsikring'!G74+'Nordea Liv '!G74+'Oslo Pensjonsforsikring'!G74+'Protector Forsikring'!G74+'Sparebank 1 Forsikring'!G74+'Storebrand Livsforsikring'!G74+'Telenor Forsikring'!G74+'Tryg Forsikring'!G74+'WaterCircles F'!G74+'Euro Accident'!G74+'Ly Forsikring'!G74+'Youplus Livsforsikring'!G74+'Oslo Forsikring'!G74</f>
        <v>52612283.188200004</v>
      </c>
      <c r="G74" s="121">
        <f t="shared" si="25"/>
        <v>10.4</v>
      </c>
      <c r="H74" s="181">
        <f t="shared" si="26"/>
        <v>47666365.449486695</v>
      </c>
      <c r="I74" s="181">
        <f t="shared" si="27"/>
        <v>52612283.188200004</v>
      </c>
      <c r="J74" s="20">
        <f t="shared" si="28"/>
        <v>10.4</v>
      </c>
    </row>
    <row r="75" spans="1:10" ht="15.75" customHeight="1" x14ac:dyDescent="0.2">
      <c r="A75" s="18" t="s">
        <v>308</v>
      </c>
      <c r="B75" s="36">
        <f>'Fremtind Livsforsikring'!B75+'DNB Livsforsikring'!B75+'Eika Forsikring AS'!B75+'Frende Livsforsikring'!B75+'Frende Skadeforsikring'!B75+'Gjensidige Forsikring'!B75+'Gjensidige Pensjon'!B75+'If Skadeforsikring NUF'!B75+KLP!B75+'KLP Skadeforsikring AS'!B75+'Landkreditt Forsikring'!B75+'Nordea Liv '!B75+'Oslo Pensjonsforsikring'!B75+'Protector Forsikring'!B75+'Sparebank 1 Forsikring'!B75+'Storebrand Livsforsikring'!B75+'Telenor Forsikring'!B75+'Tryg Forsikring'!B75+'WaterCircles F'!B75+'Euro Accident'!B75+'Ly Forsikring'!B75+'Youplus Livsforsikring'!B75+'Oslo Forsikring'!B75</f>
        <v>766094.63748000003</v>
      </c>
      <c r="C75" s="36">
        <f>'Fremtind Livsforsikring'!C75+'DNB Livsforsikring'!C75+'Eika Forsikring AS'!C75+'Frende Livsforsikring'!C75+'Frende Skadeforsikring'!C75+'Gjensidige Forsikring'!C75+'Gjensidige Pensjon'!C75+'If Skadeforsikring NUF'!C75+KLP!C75+'KLP Skadeforsikring AS'!C75+'Landkreditt Forsikring'!C75+'Nordea Liv '!C75+'Oslo Pensjonsforsikring'!C75+'Protector Forsikring'!C75+'Sparebank 1 Forsikring'!C75+'Storebrand Livsforsikring'!C75+'Telenor Forsikring'!C75+'Tryg Forsikring'!C75+'WaterCircles F'!C75+'Euro Accident'!C75+'Ly Forsikring'!C75+'Youplus Livsforsikring'!C75+'Oslo Forsikring'!C75</f>
        <v>805051.11046999996</v>
      </c>
      <c r="D75" s="20">
        <f t="shared" si="24"/>
        <v>5.0999999999999996</v>
      </c>
      <c r="E75" s="36">
        <f>'Fremtind Livsforsikring'!F75+'DNB Livsforsikring'!F75+'Eika Forsikring AS'!F75+'Frende Livsforsikring'!F75+'Frende Skadeforsikring'!F75+'Gjensidige Forsikring'!F75+'Gjensidige Pensjon'!F75+'If Skadeforsikring NUF'!F75+KLP!F75+'KLP Skadeforsikring AS'!F75+'Landkreditt Forsikring'!F75+'Nordea Liv '!F75+'Oslo Pensjonsforsikring'!F75+'Protector Forsikring'!F75+'Sparebank 1 Forsikring'!F75+'Storebrand Livsforsikring'!F75+'Telenor Forsikring'!F75+'Tryg Forsikring'!F75+'WaterCircles F'!F75+'Euro Accident'!F75+'Ly Forsikring'!F75+'Youplus Livsforsikring'!F75+'Oslo Forsikring'!F75</f>
        <v>2123601.80063</v>
      </c>
      <c r="F75" s="36">
        <f>'Fremtind Livsforsikring'!G75+'DNB Livsforsikring'!G75+'Eika Forsikring AS'!G75+'Frende Livsforsikring'!G75+'Frende Skadeforsikring'!G75+'Gjensidige Forsikring'!G75+'Gjensidige Pensjon'!G75+'If Skadeforsikring NUF'!G75+KLP!G75+'KLP Skadeforsikring AS'!G75+'Landkreditt Forsikring'!G75+'Nordea Liv '!G75+'Oslo Pensjonsforsikring'!G75+'Protector Forsikring'!G75+'Sparebank 1 Forsikring'!G75+'Storebrand Livsforsikring'!G75+'Telenor Forsikring'!G75+'Tryg Forsikring'!G75+'WaterCircles F'!G75+'Euro Accident'!G75+'Ly Forsikring'!G75+'Youplus Livsforsikring'!G75+'Oslo Forsikring'!G75</f>
        <v>2105282.0409200001</v>
      </c>
      <c r="G75" s="121">
        <f t="shared" si="25"/>
        <v>-0.9</v>
      </c>
      <c r="H75" s="181">
        <f t="shared" si="26"/>
        <v>2889696.43811</v>
      </c>
      <c r="I75" s="181">
        <f t="shared" si="27"/>
        <v>2910333.1513900002</v>
      </c>
      <c r="J75" s="20">
        <f t="shared" si="28"/>
        <v>0.7</v>
      </c>
    </row>
    <row r="76" spans="1:10" ht="15.75" customHeight="1" x14ac:dyDescent="0.2">
      <c r="A76" s="18" t="s">
        <v>307</v>
      </c>
      <c r="B76" s="36">
        <f>'Fremtind Livsforsikring'!B76+'DNB Livsforsikring'!B76+'Eika Forsikring AS'!B76+'Frende Livsforsikring'!B76+'Frende Skadeforsikring'!B76+'Gjensidige Forsikring'!B76+'Gjensidige Pensjon'!B76+'If Skadeforsikring NUF'!B76+KLP!B76+'KLP Skadeforsikring AS'!B76+'Landkreditt Forsikring'!B76+'Nordea Liv '!B76+'Oslo Pensjonsforsikring'!B76+'Protector Forsikring'!B76+'Sparebank 1 Forsikring'!B76+'Storebrand Livsforsikring'!B76+'Telenor Forsikring'!B76+'Tryg Forsikring'!B76+'WaterCircles F'!B76+'Euro Accident'!B76+'Ly Forsikring'!B76+'Youplus Livsforsikring'!B76+'Oslo Forsikring'!B76</f>
        <v>2766776.9316054396</v>
      </c>
      <c r="C76" s="36">
        <f>'Fremtind Livsforsikring'!C76+'DNB Livsforsikring'!C76+'Eika Forsikring AS'!C76+'Frende Livsforsikring'!C76+'Frende Skadeforsikring'!C76+'Gjensidige Forsikring'!C76+'Gjensidige Pensjon'!C76+'If Skadeforsikring NUF'!C76+KLP!C76+'KLP Skadeforsikring AS'!C76+'Landkreditt Forsikring'!C76+'Nordea Liv '!C76+'Oslo Pensjonsforsikring'!C76+'Protector Forsikring'!C76+'Sparebank 1 Forsikring'!C76+'Storebrand Livsforsikring'!C76+'Telenor Forsikring'!C76+'Tryg Forsikring'!C76+'WaterCircles F'!C76+'Euro Accident'!C76+'Ly Forsikring'!C76+'Youplus Livsforsikring'!C76+'Oslo Forsikring'!C76</f>
        <v>3235481.0900254101</v>
      </c>
      <c r="D76" s="20">
        <f t="shared" ref="D76" si="29">IF(B76=0, "    ---- ", IF(ABS(ROUND(100/B76*C76-100,1))&lt;999,ROUND(100/B76*C76-100,1),IF(ROUND(100/B76*C76-100,1)&gt;999,999,-999)))</f>
        <v>16.899999999999999</v>
      </c>
      <c r="E76" s="36"/>
      <c r="F76" s="36"/>
      <c r="G76" s="121"/>
      <c r="H76" s="181">
        <f t="shared" ref="H76" si="30">SUM(B76,E76)</f>
        <v>2766776.9316054396</v>
      </c>
      <c r="I76" s="181">
        <f t="shared" ref="I76" si="31">SUM(C76,F76)</f>
        <v>3235481.0900254101</v>
      </c>
      <c r="J76" s="20">
        <f t="shared" ref="J76" si="32">IF(H76=0, "    ---- ", IF(ABS(ROUND(100/H76*I76-100,1))&lt;999,ROUND(100/H76*I76-100,1),IF(ROUND(100/H76*I76-100,1)&gt;999,999,-999)))</f>
        <v>16.899999999999999</v>
      </c>
    </row>
    <row r="77" spans="1:10" ht="15.75" customHeight="1" x14ac:dyDescent="0.2">
      <c r="A77" s="18" t="s">
        <v>403</v>
      </c>
      <c r="B77" s="36">
        <f>'Fremtind Livsforsikring'!B77+'DNB Livsforsikring'!B77+'Eika Forsikring AS'!B77+'Frende Livsforsikring'!B77+'Frende Skadeforsikring'!B77+'Gjensidige Forsikring'!B77+'Gjensidige Pensjon'!B77+'If Skadeforsikring NUF'!B77+KLP!B77+'KLP Skadeforsikring AS'!B77+'Landkreditt Forsikring'!B77+'Nordea Liv '!B77+'Oslo Pensjonsforsikring'!B77+'Protector Forsikring'!B77+'Sparebank 1 Forsikring'!B77+'Storebrand Livsforsikring'!B77+'Telenor Forsikring'!B77+'Tryg Forsikring'!B77+'WaterCircles F'!B77+'Euro Accident'!B77+'Ly Forsikring'!B77+'Youplus Livsforsikring'!B77+'Oslo Forsikring'!B77</f>
        <v>5072109.5441645598</v>
      </c>
      <c r="C77" s="36">
        <f>'Fremtind Livsforsikring'!C77+'DNB Livsforsikring'!C77+'Eika Forsikring AS'!C77+'Frende Livsforsikring'!C77+'Frende Skadeforsikring'!C77+'Gjensidige Forsikring'!C77+'Gjensidige Pensjon'!C77+'If Skadeforsikring NUF'!C77+KLP!C77+'KLP Skadeforsikring AS'!C77+'Landkreditt Forsikring'!C77+'Nordea Liv '!C77+'Oslo Pensjonsforsikring'!C77+'Protector Forsikring'!C77+'Sparebank 1 Forsikring'!C77+'Storebrand Livsforsikring'!C77+'Telenor Forsikring'!C77+'Tryg Forsikring'!C77+'WaterCircles F'!C77+'Euro Accident'!C77+'Ly Forsikring'!C77+'Youplus Livsforsikring'!C77+'Oslo Forsikring'!C77</f>
        <v>4681821.2177045904</v>
      </c>
      <c r="D77" s="20">
        <f t="shared" si="24"/>
        <v>-7.7</v>
      </c>
      <c r="E77" s="36">
        <f>'Fremtind Livsforsikring'!F77+'DNB Livsforsikring'!F77+'Eika Forsikring AS'!F77+'Frende Livsforsikring'!F77+'Frende Skadeforsikring'!F77+'Gjensidige Forsikring'!F77+'Gjensidige Pensjon'!F77+'If Skadeforsikring NUF'!F77+KLP!F77+'KLP Skadeforsikring AS'!F77+'Landkreditt Forsikring'!F77+'Nordea Liv '!F77+'Oslo Pensjonsforsikring'!F77+'Protector Forsikring'!F77+'Sparebank 1 Forsikring'!F77+'Storebrand Livsforsikring'!F77+'Telenor Forsikring'!F77+'Tryg Forsikring'!F77+'WaterCircles F'!F77+'Euro Accident'!F77+'Ly Forsikring'!F77+'Youplus Livsforsikring'!F77+'Oslo Forsikring'!F77</f>
        <v>47656202.355379999</v>
      </c>
      <c r="F77" s="36">
        <f>'Fremtind Livsforsikring'!G77+'DNB Livsforsikring'!G77+'Eika Forsikring AS'!G77+'Frende Livsforsikring'!G77+'Frende Skadeforsikring'!G77+'Gjensidige Forsikring'!G77+'Gjensidige Pensjon'!G77+'If Skadeforsikring NUF'!G77+KLP!G77+'KLP Skadeforsikring AS'!G77+'Landkreditt Forsikring'!G77+'Nordea Liv '!G77+'Oslo Pensjonsforsikring'!G77+'Protector Forsikring'!G77+'Sparebank 1 Forsikring'!G77+'Storebrand Livsforsikring'!G77+'Telenor Forsikring'!G77+'Tryg Forsikring'!G77+'WaterCircles F'!G77+'Euro Accident'!G77+'Ly Forsikring'!G77+'Youplus Livsforsikring'!G77+'Oslo Forsikring'!G77</f>
        <v>52601812.098200001</v>
      </c>
      <c r="G77" s="121">
        <f t="shared" si="25"/>
        <v>10.4</v>
      </c>
      <c r="H77" s="181">
        <f t="shared" si="26"/>
        <v>52728311.899544559</v>
      </c>
      <c r="I77" s="181">
        <f t="shared" si="27"/>
        <v>57283633.315904588</v>
      </c>
      <c r="J77" s="20">
        <f t="shared" si="28"/>
        <v>8.6</v>
      </c>
    </row>
    <row r="78" spans="1:10" ht="15.75" customHeight="1" x14ac:dyDescent="0.2">
      <c r="A78" s="18" t="s">
        <v>9</v>
      </c>
      <c r="B78" s="36">
        <f>'Fremtind Livsforsikring'!B78+'DNB Livsforsikring'!B78+'Eika Forsikring AS'!B78+'Frende Livsforsikring'!B78+'Frende Skadeforsikring'!B78+'Gjensidige Forsikring'!B78+'Gjensidige Pensjon'!B78+'If Skadeforsikring NUF'!B78+KLP!B78+'KLP Skadeforsikring AS'!B78+'Landkreditt Forsikring'!B78+'Nordea Liv '!B78+'Oslo Pensjonsforsikring'!B78+'Protector Forsikring'!B78+'Sparebank 1 Forsikring'!B78+'Storebrand Livsforsikring'!B78+'Telenor Forsikring'!B78+'Tryg Forsikring'!B78+'WaterCircles F'!B78+'Euro Accident'!B78+'Ly Forsikring'!B78+'Youplus Livsforsikring'!B78+'Oslo Forsikring'!B78</f>
        <v>5032963.9207645599</v>
      </c>
      <c r="C78" s="36">
        <f>'Fremtind Livsforsikring'!C78+'DNB Livsforsikring'!C78+'Eika Forsikring AS'!C78+'Frende Livsforsikring'!C78+'Frende Skadeforsikring'!C78+'Gjensidige Forsikring'!C78+'Gjensidige Pensjon'!C78+'If Skadeforsikring NUF'!C78+KLP!C78+'KLP Skadeforsikring AS'!C78+'Landkreditt Forsikring'!C78+'Nordea Liv '!C78+'Oslo Pensjonsforsikring'!C78+'Protector Forsikring'!C78+'Sparebank 1 Forsikring'!C78+'Storebrand Livsforsikring'!C78+'Telenor Forsikring'!C78+'Tryg Forsikring'!C78+'WaterCircles F'!C78+'Euro Accident'!C78+'Ly Forsikring'!C78+'Youplus Livsforsikring'!C78+'Oslo Forsikring'!C78</f>
        <v>4652007.4727245905</v>
      </c>
      <c r="D78" s="20">
        <f t="shared" si="24"/>
        <v>-7.6</v>
      </c>
      <c r="E78" s="36"/>
      <c r="F78" s="36"/>
      <c r="G78" s="121"/>
      <c r="H78" s="181">
        <f t="shared" si="26"/>
        <v>5032963.9207645599</v>
      </c>
      <c r="I78" s="181">
        <f t="shared" si="27"/>
        <v>4652007.4727245905</v>
      </c>
      <c r="J78" s="20">
        <f t="shared" si="28"/>
        <v>-7.6</v>
      </c>
    </row>
    <row r="79" spans="1:10" ht="15.75" customHeight="1" x14ac:dyDescent="0.2">
      <c r="A79" s="18" t="s">
        <v>429</v>
      </c>
      <c r="B79" s="36">
        <f>'Fremtind Livsforsikring'!B79+'DNB Livsforsikring'!B79+'Eika Forsikring AS'!B79+'Frende Livsforsikring'!B79+'Frende Skadeforsikring'!B79+'Gjensidige Forsikring'!B79+'Gjensidige Pensjon'!B79+'If Skadeforsikring NUF'!B79+KLP!B79+'KLP Skadeforsikring AS'!B79+'Landkreditt Forsikring'!B79+'Nordea Liv '!B79+'Oslo Pensjonsforsikring'!B79+'Protector Forsikring'!B79+'Sparebank 1 Forsikring'!B79+'Storebrand Livsforsikring'!B79+'Telenor Forsikring'!B79+'Tryg Forsikring'!B79+'WaterCircles F'!B79+'Euro Accident'!B79+'Ly Forsikring'!B79+'Youplus Livsforsikring'!B79+'Oslo Forsikring'!B79</f>
        <v>39145.623399999997</v>
      </c>
      <c r="C79" s="36">
        <f>'Fremtind Livsforsikring'!C79+'DNB Livsforsikring'!C79+'Eika Forsikring AS'!C79+'Frende Livsforsikring'!C79+'Frende Skadeforsikring'!C79+'Gjensidige Forsikring'!C79+'Gjensidige Pensjon'!C79+'If Skadeforsikring NUF'!C79+KLP!C79+'KLP Skadeforsikring AS'!C79+'Landkreditt Forsikring'!C79+'Nordea Liv '!C79+'Oslo Pensjonsforsikring'!C79+'Protector Forsikring'!C79+'Sparebank 1 Forsikring'!C79+'Storebrand Livsforsikring'!C79+'Telenor Forsikring'!C79+'Tryg Forsikring'!C79+'WaterCircles F'!C79+'Euro Accident'!C79+'Ly Forsikring'!C79+'Youplus Livsforsikring'!C79+'Oslo Forsikring'!C79</f>
        <v>29813.744979999999</v>
      </c>
      <c r="D79" s="20">
        <f t="shared" si="24"/>
        <v>-23.8</v>
      </c>
      <c r="E79" s="36">
        <f>'Fremtind Livsforsikring'!F79+'DNB Livsforsikring'!F79+'Eika Forsikring AS'!F79+'Frende Livsforsikring'!F79+'Frende Skadeforsikring'!F79+'Gjensidige Forsikring'!F79+'Gjensidige Pensjon'!F79+'If Skadeforsikring NUF'!F79+KLP!F79+'KLP Skadeforsikring AS'!F79+'Landkreditt Forsikring'!F79+'Nordea Liv '!F79+'Oslo Pensjonsforsikring'!F79+'Protector Forsikring'!F79+'Sparebank 1 Forsikring'!F79+'Storebrand Livsforsikring'!F79+'Telenor Forsikring'!F79+'Tryg Forsikring'!F79+'WaterCircles F'!F79+'Euro Accident'!F79+'Ly Forsikring'!F79+'Youplus Livsforsikring'!F79+'Oslo Forsikring'!F79</f>
        <v>47656202.355379999</v>
      </c>
      <c r="F79" s="36">
        <f>'Fremtind Livsforsikring'!G79+'DNB Livsforsikring'!G79+'Eika Forsikring AS'!G79+'Frende Livsforsikring'!G79+'Frende Skadeforsikring'!G79+'Gjensidige Forsikring'!G79+'Gjensidige Pensjon'!G79+'If Skadeforsikring NUF'!G79+KLP!G79+'KLP Skadeforsikring AS'!G79+'Landkreditt Forsikring'!G79+'Nordea Liv '!G79+'Oslo Pensjonsforsikring'!G79+'Protector Forsikring'!G79+'Sparebank 1 Forsikring'!G79+'Storebrand Livsforsikring'!G79+'Telenor Forsikring'!G79+'Tryg Forsikring'!G79+'WaterCircles F'!G79+'Euro Accident'!G79+'Ly Forsikring'!G79+'Youplus Livsforsikring'!G79+'Oslo Forsikring'!G79</f>
        <v>52601812.098200001</v>
      </c>
      <c r="G79" s="121">
        <f t="shared" si="25"/>
        <v>10.4</v>
      </c>
      <c r="H79" s="181">
        <f t="shared" si="26"/>
        <v>47695347.978780001</v>
      </c>
      <c r="I79" s="181">
        <f t="shared" si="27"/>
        <v>52631625.843180001</v>
      </c>
      <c r="J79" s="20">
        <f t="shared" si="28"/>
        <v>10.3</v>
      </c>
    </row>
    <row r="80" spans="1:10" ht="15.75" customHeight="1" x14ac:dyDescent="0.2">
      <c r="A80" s="234" t="s">
        <v>401</v>
      </c>
      <c r="B80" s="36"/>
      <c r="C80" s="36"/>
      <c r="D80" s="23"/>
      <c r="E80" s="36"/>
      <c r="F80" s="36"/>
      <c r="G80" s="121"/>
      <c r="H80" s="181"/>
      <c r="I80" s="181"/>
      <c r="J80" s="20"/>
    </row>
    <row r="81" spans="1:13" ht="15.75" customHeight="1" x14ac:dyDescent="0.2">
      <c r="A81" s="234" t="s">
        <v>12</v>
      </c>
      <c r="B81" s="179"/>
      <c r="C81" s="179"/>
      <c r="D81" s="23"/>
      <c r="E81" s="36"/>
      <c r="F81" s="36"/>
      <c r="G81" s="121"/>
      <c r="H81" s="181"/>
      <c r="I81" s="181"/>
      <c r="J81" s="20"/>
    </row>
    <row r="82" spans="1:13" ht="15.75" customHeight="1" x14ac:dyDescent="0.2">
      <c r="A82" s="234" t="s">
        <v>13</v>
      </c>
      <c r="B82" s="179"/>
      <c r="C82" s="179"/>
      <c r="D82" s="23"/>
      <c r="E82" s="36"/>
      <c r="F82" s="36"/>
      <c r="G82" s="121"/>
      <c r="H82" s="181"/>
      <c r="I82" s="181"/>
      <c r="J82" s="20"/>
    </row>
    <row r="83" spans="1:13" ht="15.75" customHeight="1" x14ac:dyDescent="0.2">
      <c r="A83" s="234" t="s">
        <v>402</v>
      </c>
      <c r="B83" s="36">
        <f>'Fremtind Livsforsikring'!B83+'DNB Livsforsikring'!B83+'Eika Forsikring AS'!B83+'Frende Livsforsikring'!B83+'Frende Skadeforsikring'!B83+'Gjensidige Forsikring'!B83+'Gjensidige Pensjon'!B83+'If Skadeforsikring NUF'!B83+KLP!B83+'KLP Skadeforsikring AS'!B83+'Landkreditt Forsikring'!B83+'Nordea Liv '!B83+'Oslo Pensjonsforsikring'!B83+'Protector Forsikring'!B83+'Sparebank 1 Forsikring'!B83+'Storebrand Livsforsikring'!B83+'Telenor Forsikring'!B83+'Tryg Forsikring'!B83+'WaterCircles F'!B83+'Euro Accident'!B83+'Ly Forsikring'!B83+'Youplus Livsforsikring'!B83+'Oslo Forsikring'!B83</f>
        <v>39145.623399999997</v>
      </c>
      <c r="C83" s="36">
        <f>'Fremtind Livsforsikring'!C83+'DNB Livsforsikring'!C83+'Eika Forsikring AS'!C83+'Frende Livsforsikring'!C83+'Frende Skadeforsikring'!C83+'Gjensidige Forsikring'!C83+'Gjensidige Pensjon'!C83+'If Skadeforsikring NUF'!C83+KLP!C83+'KLP Skadeforsikring AS'!C83+'Landkreditt Forsikring'!C83+'Nordea Liv '!C83+'Oslo Pensjonsforsikring'!C83+'Protector Forsikring'!C83+'Sparebank 1 Forsikring'!C83+'Storebrand Livsforsikring'!C83+'Telenor Forsikring'!C83+'Tryg Forsikring'!C83+'WaterCircles F'!C83+'Euro Accident'!C83+'Ly Forsikring'!C83+'Youplus Livsforsikring'!C83+'Oslo Forsikring'!C83</f>
        <v>29813.744979999999</v>
      </c>
      <c r="D83" s="23">
        <f t="shared" ref="D83" si="33">IF($A$1=4,IF(B83=0, "    ---- ", IF(ABS(ROUND(100/B83*C83-100,1))&lt;999,ROUND(100/B83*C83-100,1),IF(ROUND(100/B83*C83-100,1)&gt;999,999,-999))),"")</f>
        <v>-23.8</v>
      </c>
      <c r="E83" s="36">
        <f>'Fremtind Livsforsikring'!F83+'DNB Livsforsikring'!F83+'Eika Forsikring AS'!F83+'Frende Livsforsikring'!F83+'Frende Skadeforsikring'!F83+'Gjensidige Forsikring'!F83+'Gjensidige Pensjon'!F83+'If Skadeforsikring NUF'!F83+KLP!F83+'KLP Skadeforsikring AS'!F83+'Landkreditt Forsikring'!F83+'Nordea Liv '!F83+'Oslo Pensjonsforsikring'!F83+'Protector Forsikring'!F83+'Sparebank 1 Forsikring'!F83+'Storebrand Livsforsikring'!F83+'Telenor Forsikring'!F83+'Tryg Forsikring'!F83+'WaterCircles F'!F83+'Euro Accident'!F83+'Ly Forsikring'!F83+'Youplus Livsforsikring'!F83+'Oslo Forsikring'!F83</f>
        <v>47656202.355379999</v>
      </c>
      <c r="F83" s="36">
        <f>'Fremtind Livsforsikring'!G83+'DNB Livsforsikring'!G83+'Eika Forsikring AS'!G83+'Frende Livsforsikring'!G83+'Frende Skadeforsikring'!G83+'Gjensidige Forsikring'!G83+'Gjensidige Pensjon'!G83+'If Skadeforsikring NUF'!G83+KLP!G83+'KLP Skadeforsikring AS'!G83+'Landkreditt Forsikring'!G83+'Nordea Liv '!G83+'Oslo Pensjonsforsikring'!G83+'Protector Forsikring'!G83+'Sparebank 1 Forsikring'!G83+'Storebrand Livsforsikring'!G83+'Telenor Forsikring'!G83+'Tryg Forsikring'!G83+'WaterCircles F'!G83+'Euro Accident'!G83+'Ly Forsikring'!G83+'Youplus Livsforsikring'!G83+'Oslo Forsikring'!G83</f>
        <v>52601812.098200001</v>
      </c>
      <c r="G83" s="121">
        <f t="shared" si="25"/>
        <v>10.4</v>
      </c>
      <c r="H83" s="181">
        <f t="shared" si="26"/>
        <v>47695347.978780001</v>
      </c>
      <c r="I83" s="181">
        <f t="shared" si="27"/>
        <v>52631625.843180001</v>
      </c>
      <c r="J83" s="21">
        <f t="shared" si="28"/>
        <v>10.3</v>
      </c>
    </row>
    <row r="84" spans="1:13" ht="15.75" customHeight="1" x14ac:dyDescent="0.2">
      <c r="A84" s="234" t="s">
        <v>12</v>
      </c>
      <c r="B84" s="179"/>
      <c r="C84" s="179"/>
      <c r="D84" s="23"/>
      <c r="E84" s="36">
        <f>'Fremtind Livsforsikring'!F84+'DNB Livsforsikring'!F84+'Eika Forsikring AS'!F84+'Frende Livsforsikring'!F84+'Frende Skadeforsikring'!F84+'Gjensidige Forsikring'!F84+'Gjensidige Pensjon'!F84+'If Skadeforsikring NUF'!F84+KLP!F84+'KLP Skadeforsikring AS'!F84+'Landkreditt Forsikring'!F84+'Nordea Liv '!F84+'Oslo Pensjonsforsikring'!F84+'Protector Forsikring'!F84+'Sparebank 1 Forsikring'!F84+'Storebrand Livsforsikring'!F84+'Telenor Forsikring'!F84+'Tryg Forsikring'!F84+'WaterCircles F'!F84+'Euro Accident'!F84+'Ly Forsikring'!F84+'Youplus Livsforsikring'!F84+'Oslo Forsikring'!F84</f>
        <v>13.475103297704001</v>
      </c>
      <c r="F84" s="36">
        <f>'Fremtind Livsforsikring'!G84+'DNB Livsforsikring'!G84+'Eika Forsikring AS'!G84+'Frende Livsforsikring'!G84+'Frende Skadeforsikring'!G84+'Gjensidige Forsikring'!G84+'Gjensidige Pensjon'!G84+'If Skadeforsikring NUF'!G84+KLP!G84+'KLP Skadeforsikring AS'!G84+'Landkreditt Forsikring'!G84+'Nordea Liv '!G84+'Oslo Pensjonsforsikring'!G84+'Protector Forsikring'!G84+'Sparebank 1 Forsikring'!G84+'Storebrand Livsforsikring'!G84+'Telenor Forsikring'!G84+'Tryg Forsikring'!G84+'WaterCircles F'!G84+'Euro Accident'!G84+'Ly Forsikring'!G84+'Youplus Livsforsikring'!G84+'Oslo Forsikring'!G84</f>
        <v>0</v>
      </c>
      <c r="G84" s="121">
        <f t="shared" si="25"/>
        <v>-100</v>
      </c>
      <c r="H84" s="181">
        <f t="shared" si="26"/>
        <v>13.475103297704001</v>
      </c>
      <c r="I84" s="181">
        <f t="shared" si="27"/>
        <v>0</v>
      </c>
      <c r="J84" s="20">
        <f t="shared" si="28"/>
        <v>-100</v>
      </c>
    </row>
    <row r="85" spans="1:13" ht="15.75" customHeight="1" x14ac:dyDescent="0.2">
      <c r="A85" s="234" t="s">
        <v>13</v>
      </c>
      <c r="B85" s="179"/>
      <c r="C85" s="179"/>
      <c r="D85" s="23"/>
      <c r="E85" s="36">
        <f>'Fremtind Livsforsikring'!F85+'DNB Livsforsikring'!F85+'Eika Forsikring AS'!F85+'Frende Livsforsikring'!F85+'Frende Skadeforsikring'!F85+'Gjensidige Forsikring'!F85+'Gjensidige Pensjon'!F85+'If Skadeforsikring NUF'!F85+KLP!F85+'KLP Skadeforsikring AS'!F85+'Landkreditt Forsikring'!F85+'Nordea Liv '!F85+'Oslo Pensjonsforsikring'!F85+'Protector Forsikring'!F85+'Sparebank 1 Forsikring'!F85+'Storebrand Livsforsikring'!F85+'Telenor Forsikring'!F85+'Tryg Forsikring'!F85+'WaterCircles F'!F85+'Euro Accident'!F85+'Ly Forsikring'!F85+'Youplus Livsforsikring'!F85+'Oslo Forsikring'!F85</f>
        <v>47656188.880276695</v>
      </c>
      <c r="F85" s="36">
        <f>'Fremtind Livsforsikring'!G85+'DNB Livsforsikring'!G85+'Eika Forsikring AS'!G85+'Frende Livsforsikring'!G85+'Frende Skadeforsikring'!G85+'Gjensidige Forsikring'!G85+'Gjensidige Pensjon'!G85+'If Skadeforsikring NUF'!G85+KLP!G85+'KLP Skadeforsikring AS'!G85+'Landkreditt Forsikring'!G85+'Nordea Liv '!G85+'Oslo Pensjonsforsikring'!G85+'Protector Forsikring'!G85+'Sparebank 1 Forsikring'!G85+'Storebrand Livsforsikring'!G85+'Telenor Forsikring'!G85+'Tryg Forsikring'!G85+'WaterCircles F'!G85+'Euro Accident'!G85+'Ly Forsikring'!G85+'Youplus Livsforsikring'!G85+'Oslo Forsikring'!G85</f>
        <v>52601812.098200001</v>
      </c>
      <c r="G85" s="121">
        <f t="shared" si="25"/>
        <v>10.4</v>
      </c>
      <c r="H85" s="181">
        <f t="shared" si="26"/>
        <v>47656188.880276695</v>
      </c>
      <c r="I85" s="181">
        <f t="shared" si="27"/>
        <v>52601812.098200001</v>
      </c>
      <c r="J85" s="20">
        <f t="shared" si="28"/>
        <v>10.4</v>
      </c>
    </row>
    <row r="86" spans="1:13" ht="15.75" customHeight="1" x14ac:dyDescent="0.2">
      <c r="A86" s="18" t="s">
        <v>404</v>
      </c>
      <c r="B86" s="178">
        <f>'Fremtind Livsforsikring'!B86+'DNB Livsforsikring'!B86+'Eika Forsikring AS'!B86+'Frende Livsforsikring'!B86+'Frende Skadeforsikring'!B86+'Gjensidige Forsikring'!B86+'Gjensidige Pensjon'!B86+'If Skadeforsikring NUF'!B86+KLP!B86+'KLP Skadeforsikring AS'!B86+'Landkreditt Forsikring'!B86+'Nordea Liv '!B86+'Oslo Pensjonsforsikring'!B86+'Protector Forsikring'!B86+'Sparebank 1 Forsikring'!B86+'Storebrand Livsforsikring'!B86+'Telenor Forsikring'!B86+'Tryg Forsikring'!B86+'WaterCircles F'!B86+'Euro Accident'!B86+'Ly Forsikring'!B86+'Youplus Livsforsikring'!B86+'Oslo Forsikring'!B86</f>
        <v>110755.24600000001</v>
      </c>
      <c r="C86" s="178">
        <f>'Fremtind Livsforsikring'!C86+'DNB Livsforsikring'!C86+'Eika Forsikring AS'!C86+'Frende Livsforsikring'!C86+'Frende Skadeforsikring'!C86+'Gjensidige Forsikring'!C86+'Gjensidige Pensjon'!C86+'If Skadeforsikring NUF'!C86+KLP!C86+'KLP Skadeforsikring AS'!C86+'Landkreditt Forsikring'!C86+'Nordea Liv '!C86+'Oslo Pensjonsforsikring'!C86+'Protector Forsikring'!C86+'Sparebank 1 Forsikring'!C86+'Storebrand Livsforsikring'!C86+'Telenor Forsikring'!C86+'Tryg Forsikring'!C86+'WaterCircles F'!C86+'Euro Accident'!C86+'Ly Forsikring'!C86+'Youplus Livsforsikring'!C86+'Oslo Forsikring'!C86</f>
        <v>94926.335999999996</v>
      </c>
      <c r="D86" s="20">
        <f t="shared" si="24"/>
        <v>-14.3</v>
      </c>
      <c r="E86" s="36">
        <f>'Fremtind Livsforsikring'!F86+'DNB Livsforsikring'!F86+'Eika Forsikring AS'!F86+'Frende Livsforsikring'!F86+'Frende Skadeforsikring'!F86+'Gjensidige Forsikring'!F86+'Gjensidige Pensjon'!F86+'If Skadeforsikring NUF'!F86+KLP!F86+'KLP Skadeforsikring AS'!F86+'Landkreditt Forsikring'!F86+'Nordea Liv '!F86+'Oslo Pensjonsforsikring'!F86+'Protector Forsikring'!F86+'Sparebank 1 Forsikring'!F86+'Storebrand Livsforsikring'!F86+'Telenor Forsikring'!F86+'Tryg Forsikring'!F86+'WaterCircles F'!F86+'Euro Accident'!F86+'Ly Forsikring'!F86+'Youplus Livsforsikring'!F86+'Oslo Forsikring'!F86</f>
        <v>12770.00921</v>
      </c>
      <c r="F86" s="36">
        <f>'Fremtind Livsforsikring'!G86+'DNB Livsforsikring'!G86+'Eika Forsikring AS'!G86+'Frende Livsforsikring'!G86+'Frende Skadeforsikring'!G86+'Gjensidige Forsikring'!G86+'Gjensidige Pensjon'!G86+'If Skadeforsikring NUF'!G86+KLP!G86+'KLP Skadeforsikring AS'!G86+'Landkreditt Forsikring'!G86+'Nordea Liv '!G86+'Oslo Pensjonsforsikring'!G86+'Protector Forsikring'!G86+'Sparebank 1 Forsikring'!G86+'Storebrand Livsforsikring'!G86+'Telenor Forsikring'!G86+'Tryg Forsikring'!G86+'WaterCircles F'!G86+'Euro Accident'!G86+'Ly Forsikring'!G86+'Youplus Livsforsikring'!G86+'Oslo Forsikring'!G86</f>
        <v>12995.816999999999</v>
      </c>
      <c r="G86" s="121">
        <f t="shared" si="25"/>
        <v>1.8</v>
      </c>
      <c r="H86" s="181">
        <f t="shared" si="26"/>
        <v>123525.25521000002</v>
      </c>
      <c r="I86" s="181">
        <f t="shared" si="27"/>
        <v>107922.15299999999</v>
      </c>
      <c r="J86" s="20">
        <f t="shared" si="28"/>
        <v>-12.6</v>
      </c>
    </row>
    <row r="87" spans="1:13" s="35" customFormat="1" ht="15.75" customHeight="1" x14ac:dyDescent="0.2">
      <c r="A87" s="10" t="s">
        <v>386</v>
      </c>
      <c r="B87" s="244">
        <f>'Fremtind Livsforsikring'!B87+'DNB Livsforsikring'!B87+'Eika Forsikring AS'!B87+'Frende Livsforsikring'!B87+'Frende Skadeforsikring'!B87+'Gjensidige Forsikring'!B87+'Gjensidige Pensjon'!B87+'If Skadeforsikring NUF'!B87+KLP!B87+'KLP Skadeforsikring AS'!B87+'Landkreditt Forsikring'!B87+'Nordea Liv '!B87+'Oslo Pensjonsforsikring'!B87+'Protector Forsikring'!B87+'Sparebank 1 Forsikring'!B87+'Storebrand Livsforsikring'!B87+'Telenor Forsikring'!B87+'Tryg Forsikring'!B87+'WaterCircles F'!B87+'Euro Accident'!B87+'Ly Forsikring'!B87+'Youplus Livsforsikring'!B87+'Oslo Forsikring'!B87</f>
        <v>396210719.48118377</v>
      </c>
      <c r="C87" s="244">
        <f>'Fremtind Livsforsikring'!C87+'DNB Livsforsikring'!C87+'Eika Forsikring AS'!C87+'Frende Livsforsikring'!C87+'Frende Skadeforsikring'!C87+'Gjensidige Forsikring'!C87+'Gjensidige Pensjon'!C87+'If Skadeforsikring NUF'!C87+KLP!C87+'KLP Skadeforsikring AS'!C87+'Landkreditt Forsikring'!C87+'Nordea Liv '!C87+'Oslo Pensjonsforsikring'!C87+'Protector Forsikring'!C87+'Sparebank 1 Forsikring'!C87+'Storebrand Livsforsikring'!C87+'Telenor Forsikring'!C87+'Tryg Forsikring'!C87+'WaterCircles F'!C87+'Euro Accident'!C87+'Ly Forsikring'!C87+'Youplus Livsforsikring'!C87+'Oslo Forsikring'!C87</f>
        <v>405944595.5139876</v>
      </c>
      <c r="D87" s="21">
        <f t="shared" si="24"/>
        <v>2.5</v>
      </c>
      <c r="E87" s="180">
        <f>'Fremtind Livsforsikring'!F87+'DNB Livsforsikring'!F87+'Eika Forsikring AS'!F87+'Frende Livsforsikring'!F87+'Frende Skadeforsikring'!F87+'Gjensidige Forsikring'!F87+'Gjensidige Pensjon'!F87+'If Skadeforsikring NUF'!F87+KLP!F87+'KLP Skadeforsikring AS'!F87+'Landkreditt Forsikring'!F87+'Nordea Liv '!F87+'Oslo Pensjonsforsikring'!F87+'Protector Forsikring'!F87+'Sparebank 1 Forsikring'!F87+'Storebrand Livsforsikring'!F87+'Telenor Forsikring'!F87+'Tryg Forsikring'!F87+'WaterCircles F'!F87+'Euro Accident'!F87+'Ly Forsikring'!F87+'Youplus Livsforsikring'!F87+'Oslo Forsikring'!F87</f>
        <v>543777999.99286485</v>
      </c>
      <c r="F87" s="180">
        <f>'Fremtind Livsforsikring'!G87+'DNB Livsforsikring'!G87+'Eika Forsikring AS'!G87+'Frende Livsforsikring'!G87+'Frende Skadeforsikring'!G87+'Gjensidige Forsikring'!G87+'Gjensidige Pensjon'!G87+'If Skadeforsikring NUF'!G87+KLP!G87+'KLP Skadeforsikring AS'!G87+'Landkreditt Forsikring'!G87+'Nordea Liv '!G87+'Oslo Pensjonsforsikring'!G87+'Protector Forsikring'!G87+'Sparebank 1 Forsikring'!G87+'Storebrand Livsforsikring'!G87+'Telenor Forsikring'!G87+'Tryg Forsikring'!G87+'WaterCircles F'!G87+'Euro Accident'!G87+'Ly Forsikring'!G87+'Youplus Livsforsikring'!G87+'Oslo Forsikring'!G87</f>
        <v>665325030.94028997</v>
      </c>
      <c r="G87" s="125">
        <f t="shared" si="25"/>
        <v>22.4</v>
      </c>
      <c r="H87" s="264">
        <f t="shared" ref="H87:H111" si="34">SUM(B87,E87)</f>
        <v>939988719.47404861</v>
      </c>
      <c r="I87" s="264">
        <f t="shared" ref="I87:I111" si="35">SUM(C87,F87)</f>
        <v>1071269626.4542775</v>
      </c>
      <c r="J87" s="21">
        <f t="shared" si="28"/>
        <v>14</v>
      </c>
    </row>
    <row r="88" spans="1:13" ht="15.75" customHeight="1" x14ac:dyDescent="0.2">
      <c r="A88" s="18" t="s">
        <v>9</v>
      </c>
      <c r="B88" s="178">
        <f>'Fremtind Livsforsikring'!B88+'DNB Livsforsikring'!B88+'Eika Forsikring AS'!B88+'Frende Livsforsikring'!B88+'Frende Skadeforsikring'!B88+'Gjensidige Forsikring'!B88+'Gjensidige Pensjon'!B88+'If Skadeforsikring NUF'!B88+KLP!B88+'KLP Skadeforsikring AS'!B88+'Landkreditt Forsikring'!B88+'Nordea Liv '!B88+'Oslo Pensjonsforsikring'!B88+'Protector Forsikring'!B88+'Sparebank 1 Forsikring'!B88+'Storebrand Livsforsikring'!B88+'Telenor Forsikring'!B88+'Tryg Forsikring'!B88+'WaterCircles F'!B88+'Euro Accident'!B88+'Ly Forsikring'!B88+'Youplus Livsforsikring'!B88+'Oslo Forsikring'!B88</f>
        <v>378294040.78676367</v>
      </c>
      <c r="C88" s="178">
        <f>'Fremtind Livsforsikring'!C88+'DNB Livsforsikring'!C88+'Eika Forsikring AS'!C88+'Frende Livsforsikring'!C88+'Frende Skadeforsikring'!C88+'Gjensidige Forsikring'!C88+'Gjensidige Pensjon'!C88+'If Skadeforsikring NUF'!C88+KLP!C88+'KLP Skadeforsikring AS'!C88+'Landkreditt Forsikring'!C88+'Nordea Liv '!C88+'Oslo Pensjonsforsikring'!C88+'Protector Forsikring'!C88+'Sparebank 1 Forsikring'!C88+'Storebrand Livsforsikring'!C88+'Telenor Forsikring'!C88+'Tryg Forsikring'!C88+'WaterCircles F'!C88+'Euro Accident'!C88+'Ly Forsikring'!C88+'Youplus Livsforsikring'!C88+'Oslo Forsikring'!C88</f>
        <v>384254467.61105758</v>
      </c>
      <c r="D88" s="20">
        <f t="shared" si="24"/>
        <v>1.6</v>
      </c>
      <c r="E88" s="36"/>
      <c r="F88" s="36"/>
      <c r="G88" s="121"/>
      <c r="H88" s="181">
        <f t="shared" si="34"/>
        <v>378294040.78676367</v>
      </c>
      <c r="I88" s="181">
        <f t="shared" si="35"/>
        <v>384254467.61105758</v>
      </c>
      <c r="J88" s="20">
        <f t="shared" si="28"/>
        <v>1.6</v>
      </c>
      <c r="M88" s="22"/>
    </row>
    <row r="89" spans="1:13" ht="15.75" customHeight="1" x14ac:dyDescent="0.2">
      <c r="A89" s="18" t="s">
        <v>10</v>
      </c>
      <c r="B89" s="178">
        <f>'Fremtind Livsforsikring'!B89+'DNB Livsforsikring'!B89+'Eika Forsikring AS'!B89+'Frende Livsforsikring'!B89+'Frende Skadeforsikring'!B89+'Gjensidige Forsikring'!B89+'Gjensidige Pensjon'!B89+'If Skadeforsikring NUF'!B89+KLP!B89+'KLP Skadeforsikring AS'!B89+'Landkreditt Forsikring'!B89+'Nordea Liv '!B89+'Oslo Pensjonsforsikring'!B89+'Protector Forsikring'!B89+'Sparebank 1 Forsikring'!B89+'Storebrand Livsforsikring'!B89+'Telenor Forsikring'!B89+'Tryg Forsikring'!B89+'WaterCircles F'!B89+'Euro Accident'!B89+'Ly Forsikring'!B89+'Youplus Livsforsikring'!B89+'Oslo Forsikring'!B89</f>
        <v>2213062.5095199998</v>
      </c>
      <c r="C89" s="178">
        <f>'Fremtind Livsforsikring'!C89+'DNB Livsforsikring'!C89+'Eika Forsikring AS'!C89+'Frende Livsforsikring'!C89+'Frende Skadeforsikring'!C89+'Gjensidige Forsikring'!C89+'Gjensidige Pensjon'!C89+'If Skadeforsikring NUF'!C89+KLP!C89+'KLP Skadeforsikring AS'!C89+'Landkreditt Forsikring'!C89+'Nordea Liv '!C89+'Oslo Pensjonsforsikring'!C89+'Protector Forsikring'!C89+'Sparebank 1 Forsikring'!C89+'Storebrand Livsforsikring'!C89+'Telenor Forsikring'!C89+'Tryg Forsikring'!C89+'WaterCircles F'!C89+'Euro Accident'!C89+'Ly Forsikring'!C89+'Youplus Livsforsikring'!C89+'Oslo Forsikring'!C89</f>
        <v>2423996.5242499998</v>
      </c>
      <c r="D89" s="20">
        <f t="shared" si="24"/>
        <v>9.5</v>
      </c>
      <c r="E89" s="36">
        <f>'Fremtind Livsforsikring'!F89+'DNB Livsforsikring'!F89+'Eika Forsikring AS'!F89+'Frende Livsforsikring'!F89+'Frende Skadeforsikring'!F89+'Gjensidige Forsikring'!F89+'Gjensidige Pensjon'!F89+'If Skadeforsikring NUF'!F89+KLP!F89+'KLP Skadeforsikring AS'!F89+'Landkreditt Forsikring'!F89+'Nordea Liv '!F89+'Oslo Pensjonsforsikring'!F89+'Protector Forsikring'!F89+'Sparebank 1 Forsikring'!F89+'Storebrand Livsforsikring'!F89+'Telenor Forsikring'!F89+'Tryg Forsikring'!F89+'WaterCircles F'!F89+'Euro Accident'!F89+'Ly Forsikring'!F89+'Youplus Livsforsikring'!F89+'Oslo Forsikring'!F89</f>
        <v>535941632.63485491</v>
      </c>
      <c r="F89" s="36">
        <f>'Fremtind Livsforsikring'!G89+'DNB Livsforsikring'!G89+'Eika Forsikring AS'!G89+'Frende Livsforsikring'!G89+'Frende Skadeforsikring'!G89+'Gjensidige Forsikring'!G89+'Gjensidige Pensjon'!G89+'If Skadeforsikring NUF'!G89+KLP!G89+'KLP Skadeforsikring AS'!G89+'Landkreditt Forsikring'!G89+'Nordea Liv '!G89+'Oslo Pensjonsforsikring'!G89+'Protector Forsikring'!G89+'Sparebank 1 Forsikring'!G89+'Storebrand Livsforsikring'!G89+'Telenor Forsikring'!G89+'Tryg Forsikring'!G89+'WaterCircles F'!G89+'Euro Accident'!G89+'Ly Forsikring'!G89+'Youplus Livsforsikring'!G89+'Oslo Forsikring'!G89</f>
        <v>655020178.53183997</v>
      </c>
      <c r="G89" s="121">
        <f t="shared" si="25"/>
        <v>22.2</v>
      </c>
      <c r="H89" s="181">
        <f t="shared" si="34"/>
        <v>538154695.14437497</v>
      </c>
      <c r="I89" s="181">
        <f t="shared" si="35"/>
        <v>657444175.05609</v>
      </c>
      <c r="J89" s="20">
        <f t="shared" si="28"/>
        <v>22.2</v>
      </c>
      <c r="M89" s="22"/>
    </row>
    <row r="90" spans="1:13" ht="15.75" customHeight="1" x14ac:dyDescent="0.2">
      <c r="A90" s="234" t="s">
        <v>401</v>
      </c>
      <c r="B90" s="36"/>
      <c r="C90" s="36"/>
      <c r="D90" s="23"/>
      <c r="E90" s="36">
        <f>'Fremtind Livsforsikring'!F90+'DNB Livsforsikring'!F90+'Eika Forsikring AS'!F90+'Frende Livsforsikring'!F90+'Frende Skadeforsikring'!F90+'Gjensidige Forsikring'!F90+'Gjensidige Pensjon'!F90+'If Skadeforsikring NUF'!F90+KLP!F90+'KLP Skadeforsikring AS'!F90+'Landkreditt Forsikring'!F90+'Nordea Liv '!F90+'Oslo Pensjonsforsikring'!F90+'Protector Forsikring'!F90+'Sparebank 1 Forsikring'!F90+'Storebrand Livsforsikring'!F90+'Telenor Forsikring'!F90+'Tryg Forsikring'!F90+'WaterCircles F'!F90+'Euro Accident'!F90+'Ly Forsikring'!F90+'Youplus Livsforsikring'!F90+'Oslo Forsikring'!F90</f>
        <v>287832.723</v>
      </c>
      <c r="F90" s="36">
        <f>'Fremtind Livsforsikring'!G90+'DNB Livsforsikring'!G90+'Eika Forsikring AS'!G90+'Frende Livsforsikring'!G90+'Frende Skadeforsikring'!G90+'Gjensidige Forsikring'!G90+'Gjensidige Pensjon'!G90+'If Skadeforsikring NUF'!G90+KLP!G90+'KLP Skadeforsikring AS'!G90+'Landkreditt Forsikring'!G90+'Nordea Liv '!G90+'Oslo Pensjonsforsikring'!G90+'Protector Forsikring'!G90+'Sparebank 1 Forsikring'!G90+'Storebrand Livsforsikring'!G90+'Telenor Forsikring'!G90+'Tryg Forsikring'!G90+'WaterCircles F'!G90+'Euro Accident'!G90+'Ly Forsikring'!G90+'Youplus Livsforsikring'!G90+'Oslo Forsikring'!G90</f>
        <v>325750.82918</v>
      </c>
      <c r="G90" s="121">
        <f t="shared" si="25"/>
        <v>13.2</v>
      </c>
      <c r="H90" s="181">
        <f t="shared" si="34"/>
        <v>287832.723</v>
      </c>
      <c r="I90" s="181">
        <f t="shared" si="35"/>
        <v>325750.82918</v>
      </c>
      <c r="J90" s="20">
        <f t="shared" si="28"/>
        <v>13.2</v>
      </c>
    </row>
    <row r="91" spans="1:13" ht="15.75" customHeight="1" x14ac:dyDescent="0.2">
      <c r="A91" s="234" t="s">
        <v>12</v>
      </c>
      <c r="B91" s="179"/>
      <c r="C91" s="179"/>
      <c r="D91" s="23"/>
      <c r="E91" s="36">
        <f>'Fremtind Livsforsikring'!F91+'DNB Livsforsikring'!F91+'Eika Forsikring AS'!F91+'Frende Livsforsikring'!F91+'Frende Skadeforsikring'!F91+'Gjensidige Forsikring'!F91+'Gjensidige Pensjon'!F91+'If Skadeforsikring NUF'!F91+KLP!F91+'KLP Skadeforsikring AS'!F91+'Landkreditt Forsikring'!F91+'Nordea Liv '!F91+'Oslo Pensjonsforsikring'!F91+'Protector Forsikring'!F91+'Sparebank 1 Forsikring'!F91+'Storebrand Livsforsikring'!F91+'Telenor Forsikring'!F91+'Tryg Forsikring'!F91+'WaterCircles F'!F91+'Euro Accident'!F91+'Ly Forsikring'!F91+'Youplus Livsforsikring'!F91+'Oslo Forsikring'!F91</f>
        <v>273469.79499999998</v>
      </c>
      <c r="F91" s="36">
        <f>'Fremtind Livsforsikring'!G91+'DNB Livsforsikring'!G91+'Eika Forsikring AS'!G91+'Frende Livsforsikring'!G91+'Frende Skadeforsikring'!G91+'Gjensidige Forsikring'!G91+'Gjensidige Pensjon'!G91+'If Skadeforsikring NUF'!G91+KLP!G91+'KLP Skadeforsikring AS'!G91+'Landkreditt Forsikring'!G91+'Nordea Liv '!G91+'Oslo Pensjonsforsikring'!G91+'Protector Forsikring'!G91+'Sparebank 1 Forsikring'!G91+'Storebrand Livsforsikring'!G91+'Telenor Forsikring'!G91+'Tryg Forsikring'!G91+'WaterCircles F'!G91+'Euro Accident'!G91+'Ly Forsikring'!G91+'Youplus Livsforsikring'!G91+'Oslo Forsikring'!G91</f>
        <v>308559.92217999999</v>
      </c>
      <c r="G91" s="121">
        <f t="shared" si="25"/>
        <v>12.8</v>
      </c>
      <c r="H91" s="181">
        <f t="shared" si="34"/>
        <v>273469.79499999998</v>
      </c>
      <c r="I91" s="181">
        <f t="shared" si="35"/>
        <v>308559.92217999999</v>
      </c>
      <c r="J91" s="20">
        <f t="shared" si="28"/>
        <v>12.8</v>
      </c>
    </row>
    <row r="92" spans="1:13" ht="15.75" customHeight="1" x14ac:dyDescent="0.2">
      <c r="A92" s="234" t="s">
        <v>13</v>
      </c>
      <c r="B92" s="179"/>
      <c r="C92" s="179"/>
      <c r="D92" s="23"/>
      <c r="E92" s="36">
        <f>'Fremtind Livsforsikring'!F92+'DNB Livsforsikring'!F92+'Eika Forsikring AS'!F92+'Frende Livsforsikring'!F92+'Frende Skadeforsikring'!F92+'Gjensidige Forsikring'!F92+'Gjensidige Pensjon'!F92+'If Skadeforsikring NUF'!F92+KLP!F92+'KLP Skadeforsikring AS'!F92+'Landkreditt Forsikring'!F92+'Nordea Liv '!F92+'Oslo Pensjonsforsikring'!F92+'Protector Forsikring'!F92+'Sparebank 1 Forsikring'!F92+'Storebrand Livsforsikring'!F92+'Telenor Forsikring'!F92+'Tryg Forsikring'!F92+'WaterCircles F'!F92+'Euro Accident'!F92+'Ly Forsikring'!F92+'Youplus Livsforsikring'!F92+'Oslo Forsikring'!F92</f>
        <v>14362.928</v>
      </c>
      <c r="F92" s="36">
        <f>'Fremtind Livsforsikring'!G92+'DNB Livsforsikring'!G92+'Eika Forsikring AS'!G92+'Frende Livsforsikring'!G92+'Frende Skadeforsikring'!G92+'Gjensidige Forsikring'!G92+'Gjensidige Pensjon'!G92+'If Skadeforsikring NUF'!G92+KLP!G92+'KLP Skadeforsikring AS'!G92+'Landkreditt Forsikring'!G92+'Nordea Liv '!G92+'Oslo Pensjonsforsikring'!G92+'Protector Forsikring'!G92+'Sparebank 1 Forsikring'!G92+'Storebrand Livsforsikring'!G92+'Telenor Forsikring'!G92+'Tryg Forsikring'!G92+'WaterCircles F'!G92+'Euro Accident'!G92+'Ly Forsikring'!G92+'Youplus Livsforsikring'!G92+'Oslo Forsikring'!G92</f>
        <v>17190.906999999999</v>
      </c>
      <c r="G92" s="121">
        <f t="shared" si="25"/>
        <v>19.7</v>
      </c>
      <c r="H92" s="181">
        <f t="shared" si="34"/>
        <v>14362.928</v>
      </c>
      <c r="I92" s="181">
        <f t="shared" si="35"/>
        <v>17190.906999999999</v>
      </c>
      <c r="J92" s="20">
        <f t="shared" si="28"/>
        <v>19.7</v>
      </c>
    </row>
    <row r="93" spans="1:13" ht="15.75" customHeight="1" x14ac:dyDescent="0.2">
      <c r="A93" s="234" t="s">
        <v>402</v>
      </c>
      <c r="B93" s="36">
        <f>'Fremtind Livsforsikring'!B93+'DNB Livsforsikring'!B93+'Eika Forsikring AS'!B93+'Frende Livsforsikring'!B93+'Frende Skadeforsikring'!B93+'Gjensidige Forsikring'!B93+'Gjensidige Pensjon'!B93+'If Skadeforsikring NUF'!B93+KLP!B93+'KLP Skadeforsikring AS'!B93+'Landkreditt Forsikring'!B93+'Nordea Liv '!B93+'Oslo Pensjonsforsikring'!B93+'Protector Forsikring'!B93+'Sparebank 1 Forsikring'!B93+'Storebrand Livsforsikring'!B93+'Telenor Forsikring'!B93+'Tryg Forsikring'!B93+'WaterCircles F'!B93+'Euro Accident'!B93+'Ly Forsikring'!B93+'Youplus Livsforsikring'!B93+'Oslo Forsikring'!B93</f>
        <v>2213062.5095199998</v>
      </c>
      <c r="C93" s="36">
        <f>'Fremtind Livsforsikring'!C93+'DNB Livsforsikring'!C93+'Eika Forsikring AS'!C93+'Frende Livsforsikring'!C93+'Frende Skadeforsikring'!C93+'Gjensidige Forsikring'!C93+'Gjensidige Pensjon'!C93+'If Skadeforsikring NUF'!C93+KLP!C93+'KLP Skadeforsikring AS'!C93+'Landkreditt Forsikring'!C93+'Nordea Liv '!C93+'Oslo Pensjonsforsikring'!C93+'Protector Forsikring'!C93+'Sparebank 1 Forsikring'!C93+'Storebrand Livsforsikring'!C93+'Telenor Forsikring'!C93+'Tryg Forsikring'!C93+'WaterCircles F'!C93+'Euro Accident'!C93+'Ly Forsikring'!C93+'Youplus Livsforsikring'!C93+'Oslo Forsikring'!C93</f>
        <v>2423996.5242499998</v>
      </c>
      <c r="D93" s="23">
        <f t="shared" ref="D93" si="36">IF($A$1=4,IF(B93=0, "    ---- ", IF(ABS(ROUND(100/B93*C93-100,1))&lt;999,ROUND(100/B93*C93-100,1),IF(ROUND(100/B93*C93-100,1)&gt;999,999,-999))),"")</f>
        <v>9.5</v>
      </c>
      <c r="E93" s="36">
        <f>'Fremtind Livsforsikring'!F93+'DNB Livsforsikring'!F93+'Eika Forsikring AS'!F93+'Frende Livsforsikring'!F93+'Frende Skadeforsikring'!F93+'Gjensidige Forsikring'!F93+'Gjensidige Pensjon'!F93+'If Skadeforsikring NUF'!F93+KLP!F93+'KLP Skadeforsikring AS'!F93+'Landkreditt Forsikring'!F93+'Nordea Liv '!F93+'Oslo Pensjonsforsikring'!F93+'Protector Forsikring'!F93+'Sparebank 1 Forsikring'!F93+'Storebrand Livsforsikring'!F93+'Telenor Forsikring'!F93+'Tryg Forsikring'!F93+'WaterCircles F'!F93+'Euro Accident'!F93+'Ly Forsikring'!F93+'Youplus Livsforsikring'!F93+'Oslo Forsikring'!F93</f>
        <v>535653799.91185498</v>
      </c>
      <c r="F93" s="36">
        <f>'Fremtind Livsforsikring'!G93+'DNB Livsforsikring'!G93+'Eika Forsikring AS'!G93+'Frende Livsforsikring'!G93+'Frende Skadeforsikring'!G93+'Gjensidige Forsikring'!G93+'Gjensidige Pensjon'!G93+'If Skadeforsikring NUF'!G93+KLP!G93+'KLP Skadeforsikring AS'!G93+'Landkreditt Forsikring'!G93+'Nordea Liv '!G93+'Oslo Pensjonsforsikring'!G93+'Protector Forsikring'!G93+'Sparebank 1 Forsikring'!G93+'Storebrand Livsforsikring'!G93+'Telenor Forsikring'!G93+'Tryg Forsikring'!G93+'WaterCircles F'!G93+'Euro Accident'!G93+'Ly Forsikring'!G93+'Youplus Livsforsikring'!G93+'Oslo Forsikring'!G93</f>
        <v>654694427.70265996</v>
      </c>
      <c r="G93" s="121">
        <f t="shared" si="25"/>
        <v>22.2</v>
      </c>
      <c r="H93" s="181">
        <f t="shared" si="34"/>
        <v>537866862.42137504</v>
      </c>
      <c r="I93" s="181">
        <f t="shared" si="35"/>
        <v>657118424.22691</v>
      </c>
      <c r="J93" s="20">
        <f t="shared" si="28"/>
        <v>22.2</v>
      </c>
    </row>
    <row r="94" spans="1:13" ht="15.75" customHeight="1" x14ac:dyDescent="0.2">
      <c r="A94" s="234" t="s">
        <v>12</v>
      </c>
      <c r="B94" s="179"/>
      <c r="C94" s="179"/>
      <c r="D94" s="23"/>
      <c r="E94" s="36">
        <f>'Fremtind Livsforsikring'!F94+'DNB Livsforsikring'!F94+'Eika Forsikring AS'!F94+'Frende Livsforsikring'!F94+'Frende Skadeforsikring'!F94+'Gjensidige Forsikring'!F94+'Gjensidige Pensjon'!F94+'If Skadeforsikring NUF'!F94+KLP!F94+'KLP Skadeforsikring AS'!F94+'Landkreditt Forsikring'!F94+'Nordea Liv '!F94+'Oslo Pensjonsforsikring'!F94+'Protector Forsikring'!F94+'Sparebank 1 Forsikring'!F94+'Storebrand Livsforsikring'!F94+'Telenor Forsikring'!F94+'Tryg Forsikring'!F94+'WaterCircles F'!F94+'Euro Accident'!F94+'Ly Forsikring'!F94+'Youplus Livsforsikring'!F94+'Oslo Forsikring'!F94</f>
        <v>147.04002462753499</v>
      </c>
      <c r="F94" s="36">
        <f>'Fremtind Livsforsikring'!G94+'DNB Livsforsikring'!G94+'Eika Forsikring AS'!G94+'Frende Livsforsikring'!G94+'Frende Skadeforsikring'!G94+'Gjensidige Forsikring'!G94+'Gjensidige Pensjon'!G94+'If Skadeforsikring NUF'!G94+KLP!G94+'KLP Skadeforsikring AS'!G94+'Landkreditt Forsikring'!G94+'Nordea Liv '!G94+'Oslo Pensjonsforsikring'!G94+'Protector Forsikring'!G94+'Sparebank 1 Forsikring'!G94+'Storebrand Livsforsikring'!G94+'Telenor Forsikring'!G94+'Tryg Forsikring'!G94+'WaterCircles F'!G94+'Euro Accident'!G94+'Ly Forsikring'!G94+'Youplus Livsforsikring'!G94+'Oslo Forsikring'!G94</f>
        <v>0</v>
      </c>
      <c r="G94" s="121">
        <f t="shared" si="25"/>
        <v>-100</v>
      </c>
      <c r="H94" s="181">
        <f t="shared" si="34"/>
        <v>147.04002462753499</v>
      </c>
      <c r="I94" s="181">
        <f t="shared" si="35"/>
        <v>0</v>
      </c>
      <c r="J94" s="20">
        <f t="shared" si="28"/>
        <v>-100</v>
      </c>
    </row>
    <row r="95" spans="1:13" ht="15.75" customHeight="1" x14ac:dyDescent="0.2">
      <c r="A95" s="234" t="s">
        <v>13</v>
      </c>
      <c r="B95" s="179"/>
      <c r="C95" s="179"/>
      <c r="D95" s="23"/>
      <c r="E95" s="36">
        <f>'Fremtind Livsforsikring'!F95+'DNB Livsforsikring'!F95+'Eika Forsikring AS'!F95+'Frende Livsforsikring'!F95+'Frende Skadeforsikring'!F95+'Gjensidige Forsikring'!F95+'Gjensidige Pensjon'!F95+'If Skadeforsikring NUF'!F95+KLP!F95+'KLP Skadeforsikring AS'!F95+'Landkreditt Forsikring'!F95+'Nordea Liv '!F95+'Oslo Pensjonsforsikring'!F95+'Protector Forsikring'!F95+'Sparebank 1 Forsikring'!F95+'Storebrand Livsforsikring'!F95+'Telenor Forsikring'!F95+'Tryg Forsikring'!F95+'WaterCircles F'!F95+'Euro Accident'!F95+'Ly Forsikring'!F95+'Youplus Livsforsikring'!F95+'Oslo Forsikring'!F95</f>
        <v>535653652.87183034</v>
      </c>
      <c r="F95" s="36">
        <f>'Fremtind Livsforsikring'!G95+'DNB Livsforsikring'!G95+'Eika Forsikring AS'!G95+'Frende Livsforsikring'!G95+'Frende Skadeforsikring'!G95+'Gjensidige Forsikring'!G95+'Gjensidige Pensjon'!G95+'If Skadeforsikring NUF'!G95+KLP!G95+'KLP Skadeforsikring AS'!G95+'Landkreditt Forsikring'!G95+'Nordea Liv '!G95+'Oslo Pensjonsforsikring'!G95+'Protector Forsikring'!G95+'Sparebank 1 Forsikring'!G95+'Storebrand Livsforsikring'!G95+'Telenor Forsikring'!G95+'Tryg Forsikring'!G95+'WaterCircles F'!G95+'Euro Accident'!G95+'Ly Forsikring'!G95+'Youplus Livsforsikring'!G95+'Oslo Forsikring'!G95</f>
        <v>654694427.70265996</v>
      </c>
      <c r="G95" s="121">
        <f t="shared" si="25"/>
        <v>22.2</v>
      </c>
      <c r="H95" s="181">
        <f t="shared" si="34"/>
        <v>535653652.87183034</v>
      </c>
      <c r="I95" s="181">
        <f t="shared" si="35"/>
        <v>654694427.70265996</v>
      </c>
      <c r="J95" s="20">
        <f t="shared" si="28"/>
        <v>22.2</v>
      </c>
    </row>
    <row r="96" spans="1:13" ht="15.75" customHeight="1" x14ac:dyDescent="0.2">
      <c r="A96" s="18" t="s">
        <v>308</v>
      </c>
      <c r="B96" s="178">
        <f>'Fremtind Livsforsikring'!B96+'DNB Livsforsikring'!B96+'Eika Forsikring AS'!B96+'Frende Livsforsikring'!B96+'Frende Skadeforsikring'!B96+'Gjensidige Forsikring'!B96+'Gjensidige Pensjon'!B96+'If Skadeforsikring NUF'!B96+KLP!B96+'KLP Skadeforsikring AS'!B96+'Landkreditt Forsikring'!B96+'Nordea Liv '!B96+'Oslo Pensjonsforsikring'!B96+'Protector Forsikring'!B96+'Sparebank 1 Forsikring'!B96+'Storebrand Livsforsikring'!B96+'Telenor Forsikring'!B96+'Tryg Forsikring'!B96+'WaterCircles F'!B96+'Euro Accident'!B96+'Ly Forsikring'!B96+'Youplus Livsforsikring'!B96+'Oslo Forsikring'!B96</f>
        <v>4987946.9556200001</v>
      </c>
      <c r="C96" s="178">
        <f>'Fremtind Livsforsikring'!C96+'DNB Livsforsikring'!C96+'Eika Forsikring AS'!C96+'Frende Livsforsikring'!C96+'Frende Skadeforsikring'!C96+'Gjensidige Forsikring'!C96+'Gjensidige Pensjon'!C96+'If Skadeforsikring NUF'!C96+KLP!C96+'KLP Skadeforsikring AS'!C96+'Landkreditt Forsikring'!C96+'Nordea Liv '!C96+'Oslo Pensjonsforsikring'!C96+'Protector Forsikring'!C96+'Sparebank 1 Forsikring'!C96+'Storebrand Livsforsikring'!C96+'Telenor Forsikring'!C96+'Tryg Forsikring'!C96+'WaterCircles F'!C96+'Euro Accident'!C96+'Ly Forsikring'!C96+'Youplus Livsforsikring'!C96+'Oslo Forsikring'!C96</f>
        <v>6976637.56599</v>
      </c>
      <c r="D96" s="20">
        <f t="shared" si="24"/>
        <v>39.9</v>
      </c>
      <c r="E96" s="36">
        <f>'Fremtind Livsforsikring'!F96+'DNB Livsforsikring'!F96+'Eika Forsikring AS'!F96+'Frende Livsforsikring'!F96+'Frende Skadeforsikring'!F96+'Gjensidige Forsikring'!F96+'Gjensidige Pensjon'!F96+'If Skadeforsikring NUF'!F96+KLP!F96+'KLP Skadeforsikring AS'!F96+'Landkreditt Forsikring'!F96+'Nordea Liv '!F96+'Oslo Pensjonsforsikring'!F96+'Protector Forsikring'!F96+'Sparebank 1 Forsikring'!F96+'Storebrand Livsforsikring'!F96+'Telenor Forsikring'!F96+'Tryg Forsikring'!F96+'WaterCircles F'!F96+'Euro Accident'!F96+'Ly Forsikring'!F96+'Youplus Livsforsikring'!F96+'Oslo Forsikring'!F96</f>
        <v>7836367.3580099996</v>
      </c>
      <c r="F96" s="36">
        <f>'Fremtind Livsforsikring'!G96+'DNB Livsforsikring'!G96+'Eika Forsikring AS'!G96+'Frende Livsforsikring'!G96+'Frende Skadeforsikring'!G96+'Gjensidige Forsikring'!G96+'Gjensidige Pensjon'!G96+'If Skadeforsikring NUF'!G96+KLP!G96+'KLP Skadeforsikring AS'!G96+'Landkreditt Forsikring'!G96+'Nordea Liv '!G96+'Oslo Pensjonsforsikring'!G96+'Protector Forsikring'!G96+'Sparebank 1 Forsikring'!G96+'Storebrand Livsforsikring'!G96+'Telenor Forsikring'!G96+'Tryg Forsikring'!G96+'WaterCircles F'!G96+'Euro Accident'!G96+'Ly Forsikring'!G96+'Youplus Livsforsikring'!G96+'Oslo Forsikring'!G96</f>
        <v>10304852.40845</v>
      </c>
      <c r="G96" s="121">
        <f t="shared" si="25"/>
        <v>31.5</v>
      </c>
      <c r="H96" s="181">
        <f t="shared" si="34"/>
        <v>12824314.31363</v>
      </c>
      <c r="I96" s="181">
        <f t="shared" si="35"/>
        <v>17281489.974440001</v>
      </c>
      <c r="J96" s="20">
        <f t="shared" si="28"/>
        <v>34.799999999999997</v>
      </c>
    </row>
    <row r="97" spans="1:10" ht="15.75" customHeight="1" x14ac:dyDescent="0.2">
      <c r="A97" s="18" t="s">
        <v>307</v>
      </c>
      <c r="B97" s="178">
        <f>'Fremtind Livsforsikring'!B97+'DNB Livsforsikring'!B97+'Eika Forsikring AS'!B97+'Frende Livsforsikring'!B97+'Frende Skadeforsikring'!B97+'Gjensidige Forsikring'!B97+'Gjensidige Pensjon'!B97+'If Skadeforsikring NUF'!B97+KLP!B97+'KLP Skadeforsikring AS'!B97+'Landkreditt Forsikring'!B97+'Nordea Liv '!B97+'Oslo Pensjonsforsikring'!B97+'Protector Forsikring'!B97+'Sparebank 1 Forsikring'!B97+'Storebrand Livsforsikring'!B97+'Telenor Forsikring'!B97+'Tryg Forsikring'!B97+'WaterCircles F'!B97+'Euro Accident'!B97+'Ly Forsikring'!B97+'Youplus Livsforsikring'!B97+'Oslo Forsikring'!B97</f>
        <v>10715669.229279999</v>
      </c>
      <c r="C97" s="178">
        <f>'Fremtind Livsforsikring'!C97+'DNB Livsforsikring'!C97+'Eika Forsikring AS'!C97+'Frende Livsforsikring'!C97+'Frende Skadeforsikring'!C97+'Gjensidige Forsikring'!C97+'Gjensidige Pensjon'!C97+'If Skadeforsikring NUF'!C97+KLP!C97+'KLP Skadeforsikring AS'!C97+'Landkreditt Forsikring'!C97+'Nordea Liv '!C97+'Oslo Pensjonsforsikring'!C97+'Protector Forsikring'!C97+'Sparebank 1 Forsikring'!C97+'Storebrand Livsforsikring'!C97+'Telenor Forsikring'!C97+'Tryg Forsikring'!C97+'WaterCircles F'!C97+'Euro Accident'!C97+'Ly Forsikring'!C97+'Youplus Livsforsikring'!C97+'Oslo Forsikring'!C97</f>
        <v>12289493.812690001</v>
      </c>
      <c r="D97" s="20">
        <f t="shared" ref="D97" si="37">IF(B97=0, "    ---- ", IF(ABS(ROUND(100/B97*C97-100,1))&lt;999,ROUND(100/B97*C97-100,1),IF(ROUND(100/B97*C97-100,1)&gt;999,999,-999)))</f>
        <v>14.7</v>
      </c>
      <c r="E97" s="36"/>
      <c r="F97" s="36"/>
      <c r="G97" s="121"/>
      <c r="H97" s="181">
        <f t="shared" ref="H97" si="38">SUM(B97,E97)</f>
        <v>10715669.229279999</v>
      </c>
      <c r="I97" s="181">
        <f t="shared" ref="I97" si="39">SUM(C97,F97)</f>
        <v>12289493.812690001</v>
      </c>
      <c r="J97" s="20">
        <f t="shared" ref="J97" si="40">IF(H97=0, "    ---- ", IF(ABS(ROUND(100/H97*I97-100,1))&lt;999,ROUND(100/H97*I97-100,1),IF(ROUND(100/H97*I97-100,1)&gt;999,999,-999)))</f>
        <v>14.7</v>
      </c>
    </row>
    <row r="98" spans="1:10" ht="15.75" customHeight="1" x14ac:dyDescent="0.2">
      <c r="A98" s="18" t="s">
        <v>403</v>
      </c>
      <c r="B98" s="178">
        <f>'Fremtind Livsforsikring'!B98+'DNB Livsforsikring'!B98+'Eika Forsikring AS'!B98+'Frende Livsforsikring'!B98+'Frende Skadeforsikring'!B98+'Gjensidige Forsikring'!B98+'Gjensidige Pensjon'!B98+'If Skadeforsikring NUF'!B98+KLP!B98+'KLP Skadeforsikring AS'!B98+'Landkreditt Forsikring'!B98+'Nordea Liv '!B98+'Oslo Pensjonsforsikring'!B98+'Protector Forsikring'!B98+'Sparebank 1 Forsikring'!B98+'Storebrand Livsforsikring'!B98+'Telenor Forsikring'!B98+'Tryg Forsikring'!B98+'WaterCircles F'!B98+'Euro Accident'!B98+'Ly Forsikring'!B98+'Youplus Livsforsikring'!B98+'Oslo Forsikring'!B98</f>
        <v>376196957.31928372</v>
      </c>
      <c r="C98" s="178">
        <f>'Fremtind Livsforsikring'!C98+'DNB Livsforsikring'!C98+'Eika Forsikring AS'!C98+'Frende Livsforsikring'!C98+'Frende Skadeforsikring'!C98+'Gjensidige Forsikring'!C98+'Gjensidige Pensjon'!C98+'If Skadeforsikring NUF'!C98+KLP!C98+'KLP Skadeforsikring AS'!C98+'Landkreditt Forsikring'!C98+'Nordea Liv '!C98+'Oslo Pensjonsforsikring'!C98+'Protector Forsikring'!C98+'Sparebank 1 Forsikring'!C98+'Storebrand Livsforsikring'!C98+'Telenor Forsikring'!C98+'Tryg Forsikring'!C98+'WaterCircles F'!C98+'Euro Accident'!C98+'Ly Forsikring'!C98+'Youplus Livsforsikring'!C98+'Oslo Forsikring'!C98</f>
        <v>382429429.33506763</v>
      </c>
      <c r="D98" s="20">
        <f t="shared" si="24"/>
        <v>1.7</v>
      </c>
      <c r="E98" s="36">
        <f>'Fremtind Livsforsikring'!F98+'DNB Livsforsikring'!F98+'Eika Forsikring AS'!F98+'Frende Livsforsikring'!F98+'Frende Skadeforsikring'!F98+'Gjensidige Forsikring'!F98+'Gjensidige Pensjon'!F98+'If Skadeforsikring NUF'!F98+KLP!F98+'KLP Skadeforsikring AS'!F98+'Landkreditt Forsikring'!F98+'Nordea Liv '!F98+'Oslo Pensjonsforsikring'!F98+'Protector Forsikring'!F98+'Sparebank 1 Forsikring'!F98+'Storebrand Livsforsikring'!F98+'Telenor Forsikring'!F98+'Tryg Forsikring'!F98+'WaterCircles F'!F98+'Euro Accident'!F98+'Ly Forsikring'!F98+'Youplus Livsforsikring'!F98+'Oslo Forsikring'!F98</f>
        <v>535570464.37860501</v>
      </c>
      <c r="F98" s="36">
        <f>'Fremtind Livsforsikring'!G98+'DNB Livsforsikring'!G98+'Eika Forsikring AS'!G98+'Frende Livsforsikring'!G98+'Frende Skadeforsikring'!G98+'Gjensidige Forsikring'!G98+'Gjensidige Pensjon'!G98+'If Skadeforsikring NUF'!G98+KLP!G98+'KLP Skadeforsikring AS'!G98+'Landkreditt Forsikring'!G98+'Nordea Liv '!G98+'Oslo Pensjonsforsikring'!G98+'Protector Forsikring'!G98+'Sparebank 1 Forsikring'!G98+'Storebrand Livsforsikring'!G98+'Telenor Forsikring'!G98+'Tryg Forsikring'!G98+'WaterCircles F'!G98+'Euro Accident'!G98+'Ly Forsikring'!G98+'Youplus Livsforsikring'!G98+'Oslo Forsikring'!G98</f>
        <v>654595397.96816003</v>
      </c>
      <c r="G98" s="121">
        <f t="shared" si="25"/>
        <v>22.2</v>
      </c>
      <c r="H98" s="181">
        <f t="shared" si="34"/>
        <v>911767421.69788873</v>
      </c>
      <c r="I98" s="181">
        <f t="shared" si="35"/>
        <v>1037024827.3032277</v>
      </c>
      <c r="J98" s="20">
        <f t="shared" si="28"/>
        <v>13.7</v>
      </c>
    </row>
    <row r="99" spans="1:10" ht="15.75" customHeight="1" x14ac:dyDescent="0.2">
      <c r="A99" s="18" t="s">
        <v>9</v>
      </c>
      <c r="B99" s="178">
        <f>'Fremtind Livsforsikring'!B99+'DNB Livsforsikring'!B99+'Eika Forsikring AS'!B99+'Frende Livsforsikring'!B99+'Frende Skadeforsikring'!B99+'Gjensidige Forsikring'!B99+'Gjensidige Pensjon'!B99+'If Skadeforsikring NUF'!B99+KLP!B99+'KLP Skadeforsikring AS'!B99+'Landkreditt Forsikring'!B99+'Nordea Liv '!B99+'Oslo Pensjonsforsikring'!B99+'Protector Forsikring'!B99+'Sparebank 1 Forsikring'!B99+'Storebrand Livsforsikring'!B99+'Telenor Forsikring'!B99+'Tryg Forsikring'!B99+'WaterCircles F'!B99+'Euro Accident'!B99+'Ly Forsikring'!B99+'Youplus Livsforsikring'!B99+'Oslo Forsikring'!B99</f>
        <v>373983894.80976367</v>
      </c>
      <c r="C99" s="178">
        <f>'Fremtind Livsforsikring'!C99+'DNB Livsforsikring'!C99+'Eika Forsikring AS'!C99+'Frende Livsforsikring'!C99+'Frende Skadeforsikring'!C99+'Gjensidige Forsikring'!C99+'Gjensidige Pensjon'!C99+'If Skadeforsikring NUF'!C99+KLP!C99+'KLP Skadeforsikring AS'!C99+'Landkreditt Forsikring'!C99+'Nordea Liv '!C99+'Oslo Pensjonsforsikring'!C99+'Protector Forsikring'!C99+'Sparebank 1 Forsikring'!C99+'Storebrand Livsforsikring'!C99+'Telenor Forsikring'!C99+'Tryg Forsikring'!C99+'WaterCircles F'!C99+'Euro Accident'!C99+'Ly Forsikring'!C99+'Youplus Livsforsikring'!C99+'Oslo Forsikring'!C99</f>
        <v>380005432.8108176</v>
      </c>
      <c r="D99" s="20">
        <f t="shared" si="24"/>
        <v>1.6</v>
      </c>
      <c r="E99" s="36"/>
      <c r="F99" s="36"/>
      <c r="G99" s="121"/>
      <c r="H99" s="181">
        <f t="shared" si="34"/>
        <v>373983894.80976367</v>
      </c>
      <c r="I99" s="181">
        <f t="shared" si="35"/>
        <v>380005432.8108176</v>
      </c>
      <c r="J99" s="20">
        <f t="shared" si="28"/>
        <v>1.6</v>
      </c>
    </row>
    <row r="100" spans="1:10" ht="15.75" customHeight="1" x14ac:dyDescent="0.2">
      <c r="A100" s="18" t="s">
        <v>429</v>
      </c>
      <c r="B100" s="178">
        <f>'Fremtind Livsforsikring'!B100+'DNB Livsforsikring'!B100+'Eika Forsikring AS'!B100+'Frende Livsforsikring'!B100+'Frende Skadeforsikring'!B100+'Gjensidige Forsikring'!B100+'Gjensidige Pensjon'!B100+'If Skadeforsikring NUF'!B100+KLP!B100+'KLP Skadeforsikring AS'!B100+'Landkreditt Forsikring'!B100+'Nordea Liv '!B100+'Oslo Pensjonsforsikring'!B100+'Protector Forsikring'!B100+'Sparebank 1 Forsikring'!B100+'Storebrand Livsforsikring'!B100+'Telenor Forsikring'!B100+'Tryg Forsikring'!B100+'WaterCircles F'!B100+'Euro Accident'!B100+'Ly Forsikring'!B100+'Youplus Livsforsikring'!B100+'Oslo Forsikring'!B100</f>
        <v>2213062.5095199998</v>
      </c>
      <c r="C100" s="178">
        <f>'Fremtind Livsforsikring'!C100+'DNB Livsforsikring'!C100+'Eika Forsikring AS'!C100+'Frende Livsforsikring'!C100+'Frende Skadeforsikring'!C100+'Gjensidige Forsikring'!C100+'Gjensidige Pensjon'!C100+'If Skadeforsikring NUF'!C100+KLP!C100+'KLP Skadeforsikring AS'!C100+'Landkreditt Forsikring'!C100+'Nordea Liv '!C100+'Oslo Pensjonsforsikring'!C100+'Protector Forsikring'!C100+'Sparebank 1 Forsikring'!C100+'Storebrand Livsforsikring'!C100+'Telenor Forsikring'!C100+'Tryg Forsikring'!C100+'WaterCircles F'!C100+'Euro Accident'!C100+'Ly Forsikring'!C100+'Youplus Livsforsikring'!C100+'Oslo Forsikring'!C100</f>
        <v>2423996.5242499998</v>
      </c>
      <c r="D100" s="20">
        <f t="shared" si="24"/>
        <v>9.5</v>
      </c>
      <c r="E100" s="36">
        <f>'Fremtind Livsforsikring'!F100+'DNB Livsforsikring'!F100+'Eika Forsikring AS'!F100+'Frende Livsforsikring'!F100+'Frende Skadeforsikring'!F100+'Gjensidige Forsikring'!F100+'Gjensidige Pensjon'!F100+'If Skadeforsikring NUF'!F100+KLP!F100+'KLP Skadeforsikring AS'!F100+'Landkreditt Forsikring'!F100+'Nordea Liv '!F100+'Oslo Pensjonsforsikring'!F100+'Protector Forsikring'!F100+'Sparebank 1 Forsikring'!F100+'Storebrand Livsforsikring'!F100+'Telenor Forsikring'!F100+'Tryg Forsikring'!F100+'WaterCircles F'!F100+'Euro Accident'!F100+'Ly Forsikring'!F100+'Youplus Livsforsikring'!F100+'Oslo Forsikring'!F100</f>
        <v>535570464.37860501</v>
      </c>
      <c r="F100" s="36">
        <f>'Fremtind Livsforsikring'!G100+'DNB Livsforsikring'!G100+'Eika Forsikring AS'!G100+'Frende Livsforsikring'!G100+'Frende Skadeforsikring'!G100+'Gjensidige Forsikring'!G100+'Gjensidige Pensjon'!G100+'If Skadeforsikring NUF'!G100+KLP!G100+'KLP Skadeforsikring AS'!G100+'Landkreditt Forsikring'!G100+'Nordea Liv '!G100+'Oslo Pensjonsforsikring'!G100+'Protector Forsikring'!G100+'Sparebank 1 Forsikring'!G100+'Storebrand Livsforsikring'!G100+'Telenor Forsikring'!G100+'Tryg Forsikring'!G100+'WaterCircles F'!G100+'Euro Accident'!G100+'Ly Forsikring'!G100+'Youplus Livsforsikring'!G100+'Oslo Forsikring'!G100</f>
        <v>654595397.96816003</v>
      </c>
      <c r="G100" s="121">
        <f t="shared" si="25"/>
        <v>22.2</v>
      </c>
      <c r="H100" s="181">
        <f t="shared" si="34"/>
        <v>537783526.88812506</v>
      </c>
      <c r="I100" s="181">
        <f t="shared" si="35"/>
        <v>657019394.49241006</v>
      </c>
      <c r="J100" s="20">
        <f t="shared" si="28"/>
        <v>22.2</v>
      </c>
    </row>
    <row r="101" spans="1:10" ht="15.75" customHeight="1" x14ac:dyDescent="0.2">
      <c r="A101" s="234" t="s">
        <v>401</v>
      </c>
      <c r="B101" s="36"/>
      <c r="C101" s="36"/>
      <c r="D101" s="23"/>
      <c r="E101" s="36"/>
      <c r="F101" s="36"/>
      <c r="G101" s="121"/>
      <c r="H101" s="181"/>
      <c r="I101" s="181"/>
      <c r="J101" s="20"/>
    </row>
    <row r="102" spans="1:10" ht="15.75" customHeight="1" x14ac:dyDescent="0.2">
      <c r="A102" s="234" t="s">
        <v>12</v>
      </c>
      <c r="B102" s="179"/>
      <c r="C102" s="179"/>
      <c r="D102" s="23"/>
      <c r="E102" s="36"/>
      <c r="F102" s="36"/>
      <c r="G102" s="121"/>
      <c r="H102" s="181"/>
      <c r="I102" s="181"/>
      <c r="J102" s="20"/>
    </row>
    <row r="103" spans="1:10" ht="15.75" customHeight="1" x14ac:dyDescent="0.2">
      <c r="A103" s="234" t="s">
        <v>13</v>
      </c>
      <c r="B103" s="179"/>
      <c r="C103" s="179"/>
      <c r="D103" s="23"/>
      <c r="E103" s="36"/>
      <c r="F103" s="36"/>
      <c r="G103" s="121"/>
      <c r="H103" s="181"/>
      <c r="I103" s="181"/>
      <c r="J103" s="20"/>
    </row>
    <row r="104" spans="1:10" ht="15.75" customHeight="1" x14ac:dyDescent="0.2">
      <c r="A104" s="234" t="s">
        <v>402</v>
      </c>
      <c r="B104" s="36">
        <f>'Fremtind Livsforsikring'!B104+'DNB Livsforsikring'!B104+'Eika Forsikring AS'!B104+'Frende Livsforsikring'!B104+'Frende Skadeforsikring'!B104+'Gjensidige Forsikring'!B104+'Gjensidige Pensjon'!B104+'If Skadeforsikring NUF'!B104+KLP!B104+'KLP Skadeforsikring AS'!B104+'Landkreditt Forsikring'!B104+'Nordea Liv '!B104+'Oslo Pensjonsforsikring'!B104+'Protector Forsikring'!B104+'Sparebank 1 Forsikring'!B104+'Storebrand Livsforsikring'!B104+'Telenor Forsikring'!B104+'Tryg Forsikring'!B104+'WaterCircles F'!B104+'Euro Accident'!B104+'Ly Forsikring'!B104+'Youplus Livsforsikring'!B104+'Oslo Forsikring'!B104</f>
        <v>2213062.5095199998</v>
      </c>
      <c r="C104" s="36">
        <f>'Fremtind Livsforsikring'!C104+'DNB Livsforsikring'!C104+'Eika Forsikring AS'!C104+'Frende Livsforsikring'!C104+'Frende Skadeforsikring'!C104+'Gjensidige Forsikring'!C104+'Gjensidige Pensjon'!C104+'If Skadeforsikring NUF'!C104+KLP!C104+'KLP Skadeforsikring AS'!C104+'Landkreditt Forsikring'!C104+'Nordea Liv '!C104+'Oslo Pensjonsforsikring'!C104+'Protector Forsikring'!C104+'Sparebank 1 Forsikring'!C104+'Storebrand Livsforsikring'!C104+'Telenor Forsikring'!C104+'Tryg Forsikring'!C104+'WaterCircles F'!C104+'Euro Accident'!C104+'Ly Forsikring'!C104+'Youplus Livsforsikring'!C104+'Oslo Forsikring'!C104</f>
        <v>2423996.5242499998</v>
      </c>
      <c r="D104" s="23">
        <f t="shared" ref="D104" si="41">IF($A$1=4,IF(B104=0, "    ---- ", IF(ABS(ROUND(100/B104*C104-100,1))&lt;999,ROUND(100/B104*C104-100,1),IF(ROUND(100/B104*C104-100,1)&gt;999,999,-999))),"")</f>
        <v>9.5</v>
      </c>
      <c r="E104" s="36">
        <f>'Fremtind Livsforsikring'!F104+'DNB Livsforsikring'!F104+'Eika Forsikring AS'!F104+'Frende Livsforsikring'!F104+'Frende Skadeforsikring'!F104+'Gjensidige Forsikring'!F104+'Gjensidige Pensjon'!F104+'If Skadeforsikring NUF'!F104+KLP!F104+'KLP Skadeforsikring AS'!F104+'Landkreditt Forsikring'!F104+'Nordea Liv '!F104+'Oslo Pensjonsforsikring'!F104+'Protector Forsikring'!F104+'Sparebank 1 Forsikring'!F104+'Storebrand Livsforsikring'!F104+'Telenor Forsikring'!F104+'Tryg Forsikring'!F104+'WaterCircles F'!F104+'Euro Accident'!F104+'Ly Forsikring'!F104+'Youplus Livsforsikring'!F104+'Oslo Forsikring'!F104</f>
        <v>535570464.37860501</v>
      </c>
      <c r="F104" s="36">
        <f>'Fremtind Livsforsikring'!G104+'DNB Livsforsikring'!G104+'Eika Forsikring AS'!G104+'Frende Livsforsikring'!G104+'Frende Skadeforsikring'!G104+'Gjensidige Forsikring'!G104+'Gjensidige Pensjon'!G104+'If Skadeforsikring NUF'!G104+KLP!G104+'KLP Skadeforsikring AS'!G104+'Landkreditt Forsikring'!G104+'Nordea Liv '!G104+'Oslo Pensjonsforsikring'!G104+'Protector Forsikring'!G104+'Sparebank 1 Forsikring'!G104+'Storebrand Livsforsikring'!G104+'Telenor Forsikring'!G104+'Tryg Forsikring'!G104+'WaterCircles F'!G104+'Euro Accident'!G104+'Ly Forsikring'!G104+'Youplus Livsforsikring'!G104+'Oslo Forsikring'!G104</f>
        <v>654595397.96816003</v>
      </c>
      <c r="G104" s="121">
        <f t="shared" si="25"/>
        <v>22.2</v>
      </c>
      <c r="H104" s="181">
        <f t="shared" si="34"/>
        <v>537783526.88812506</v>
      </c>
      <c r="I104" s="181">
        <f t="shared" si="35"/>
        <v>657019394.49241006</v>
      </c>
      <c r="J104" s="20">
        <f t="shared" si="28"/>
        <v>22.2</v>
      </c>
    </row>
    <row r="105" spans="1:10" ht="15.75" customHeight="1" x14ac:dyDescent="0.2">
      <c r="A105" s="234" t="s">
        <v>12</v>
      </c>
      <c r="B105" s="179"/>
      <c r="C105" s="179"/>
      <c r="D105" s="23"/>
      <c r="E105" s="36">
        <f>'Fremtind Livsforsikring'!F105+'DNB Livsforsikring'!F105+'Eika Forsikring AS'!F105+'Frende Livsforsikring'!F105+'Frende Skadeforsikring'!F105+'Gjensidige Forsikring'!F105+'Gjensidige Pensjon'!F105+'If Skadeforsikring NUF'!F105+KLP!F105+'KLP Skadeforsikring AS'!F105+'Landkreditt Forsikring'!F105+'Nordea Liv '!F105+'Oslo Pensjonsforsikring'!F105+'Protector Forsikring'!F105+'Sparebank 1 Forsikring'!F105+'Storebrand Livsforsikring'!F105+'Telenor Forsikring'!F105+'Tryg Forsikring'!F105+'WaterCircles F'!F105+'Euro Accident'!F105+'Ly Forsikring'!F105+'Youplus Livsforsikring'!F105+'Oslo Forsikring'!F105</f>
        <v>147.04002462753499</v>
      </c>
      <c r="F105" s="36">
        <f>'Fremtind Livsforsikring'!G105+'DNB Livsforsikring'!G105+'Eika Forsikring AS'!G105+'Frende Livsforsikring'!G105+'Frende Skadeforsikring'!G105+'Gjensidige Forsikring'!G105+'Gjensidige Pensjon'!G105+'If Skadeforsikring NUF'!G105+KLP!G105+'KLP Skadeforsikring AS'!G105+'Landkreditt Forsikring'!G105+'Nordea Liv '!G105+'Oslo Pensjonsforsikring'!G105+'Protector Forsikring'!G105+'Sparebank 1 Forsikring'!G105+'Storebrand Livsforsikring'!G105+'Telenor Forsikring'!G105+'Tryg Forsikring'!G105+'WaterCircles F'!G105+'Euro Accident'!G105+'Ly Forsikring'!G105+'Youplus Livsforsikring'!G105+'Oslo Forsikring'!G105</f>
        <v>0</v>
      </c>
      <c r="G105" s="121">
        <f t="shared" si="25"/>
        <v>-100</v>
      </c>
      <c r="H105" s="181">
        <f t="shared" si="34"/>
        <v>147.04002462753499</v>
      </c>
      <c r="I105" s="181">
        <f t="shared" si="35"/>
        <v>0</v>
      </c>
      <c r="J105" s="20">
        <f t="shared" si="28"/>
        <v>-100</v>
      </c>
    </row>
    <row r="106" spans="1:10" ht="15.75" customHeight="1" x14ac:dyDescent="0.2">
      <c r="A106" s="234" t="s">
        <v>13</v>
      </c>
      <c r="B106" s="179"/>
      <c r="C106" s="179"/>
      <c r="D106" s="23"/>
      <c r="E106" s="36">
        <f>'Fremtind Livsforsikring'!F106+'DNB Livsforsikring'!F106+'Eika Forsikring AS'!F106+'Frende Livsforsikring'!F106+'Frende Skadeforsikring'!F106+'Gjensidige Forsikring'!F106+'Gjensidige Pensjon'!F106+'If Skadeforsikring NUF'!F106+KLP!F106+'KLP Skadeforsikring AS'!F106+'Landkreditt Forsikring'!F106+'Nordea Liv '!F106+'Oslo Pensjonsforsikring'!F106+'Protector Forsikring'!F106+'Sparebank 1 Forsikring'!F106+'Storebrand Livsforsikring'!F106+'Telenor Forsikring'!F106+'Tryg Forsikring'!F106+'WaterCircles F'!F106+'Euro Accident'!F106+'Ly Forsikring'!F106+'Youplus Livsforsikring'!F106+'Oslo Forsikring'!F106</f>
        <v>535570317.33858037</v>
      </c>
      <c r="F106" s="36">
        <f>'Fremtind Livsforsikring'!G106+'DNB Livsforsikring'!G106+'Eika Forsikring AS'!G106+'Frende Livsforsikring'!G106+'Frende Skadeforsikring'!G106+'Gjensidige Forsikring'!G106+'Gjensidige Pensjon'!G106+'If Skadeforsikring NUF'!G106+KLP!G106+'KLP Skadeforsikring AS'!G106+'Landkreditt Forsikring'!G106+'Nordea Liv '!G106+'Oslo Pensjonsforsikring'!G106+'Protector Forsikring'!G106+'Sparebank 1 Forsikring'!G106+'Storebrand Livsforsikring'!G106+'Telenor Forsikring'!G106+'Tryg Forsikring'!G106+'WaterCircles F'!G106+'Euro Accident'!G106+'Ly Forsikring'!G106+'Youplus Livsforsikring'!G106+'Oslo Forsikring'!G106</f>
        <v>654595397.96816003</v>
      </c>
      <c r="G106" s="121">
        <f t="shared" si="25"/>
        <v>22.2</v>
      </c>
      <c r="H106" s="181">
        <f t="shared" si="34"/>
        <v>535570317.33858037</v>
      </c>
      <c r="I106" s="181">
        <f t="shared" si="35"/>
        <v>654595397.96816003</v>
      </c>
      <c r="J106" s="20">
        <f t="shared" si="28"/>
        <v>22.2</v>
      </c>
    </row>
    <row r="107" spans="1:10" ht="15.75" customHeight="1" x14ac:dyDescent="0.2">
      <c r="A107" s="18" t="s">
        <v>404</v>
      </c>
      <c r="B107" s="178">
        <f>'Fremtind Livsforsikring'!B107+'DNB Livsforsikring'!B107+'Eika Forsikring AS'!B107+'Frende Livsforsikring'!B107+'Frende Skadeforsikring'!B107+'Gjensidige Forsikring'!B107+'Gjensidige Pensjon'!B107+'If Skadeforsikring NUF'!B107+KLP!B107+'KLP Skadeforsikring AS'!B107+'Landkreditt Forsikring'!B107+'Nordea Liv '!B107+'Oslo Pensjonsforsikring'!B107+'Protector Forsikring'!B107+'Sparebank 1 Forsikring'!B107+'Storebrand Livsforsikring'!B107+'Telenor Forsikring'!B107+'Tryg Forsikring'!B107+'WaterCircles F'!B107+'Euro Accident'!B107+'Ly Forsikring'!B107+'Youplus Livsforsikring'!B107+'Oslo Forsikring'!B107</f>
        <v>4310145.977</v>
      </c>
      <c r="C107" s="178">
        <f>'Fremtind Livsforsikring'!C107+'DNB Livsforsikring'!C107+'Eika Forsikring AS'!C107+'Frende Livsforsikring'!C107+'Frende Skadeforsikring'!C107+'Gjensidige Forsikring'!C107+'Gjensidige Pensjon'!C107+'If Skadeforsikring NUF'!C107+KLP!C107+'KLP Skadeforsikring AS'!C107+'Landkreditt Forsikring'!C107+'Nordea Liv '!C107+'Oslo Pensjonsforsikring'!C107+'Protector Forsikring'!C107+'Sparebank 1 Forsikring'!C107+'Storebrand Livsforsikring'!C107+'Telenor Forsikring'!C107+'Tryg Forsikring'!C107+'WaterCircles F'!C107+'Euro Accident'!C107+'Ly Forsikring'!C107+'Youplus Livsforsikring'!C107+'Oslo Forsikring'!C107</f>
        <v>4249034.8</v>
      </c>
      <c r="D107" s="20">
        <f t="shared" si="24"/>
        <v>-1.4</v>
      </c>
      <c r="E107" s="36">
        <f>'Fremtind Livsforsikring'!F107+'DNB Livsforsikring'!F107+'Eika Forsikring AS'!F107+'Frende Livsforsikring'!F107+'Frende Skadeforsikring'!F107+'Gjensidige Forsikring'!F107+'Gjensidige Pensjon'!F107+'If Skadeforsikring NUF'!F107+KLP!F107+'KLP Skadeforsikring AS'!F107+'Landkreditt Forsikring'!F107+'Nordea Liv '!F107+'Oslo Pensjonsforsikring'!F107+'Protector Forsikring'!F107+'Sparebank 1 Forsikring'!F107+'Storebrand Livsforsikring'!F107+'Telenor Forsikring'!F107+'Tryg Forsikring'!F107+'WaterCircles F'!F107+'Euro Accident'!F107+'Ly Forsikring'!F107+'Youplus Livsforsikring'!F107+'Oslo Forsikring'!F107</f>
        <v>371168.46124999993</v>
      </c>
      <c r="F107" s="36">
        <f>'Fremtind Livsforsikring'!G107+'DNB Livsforsikring'!G107+'Eika Forsikring AS'!G107+'Frende Livsforsikring'!G107+'Frende Skadeforsikring'!G107+'Gjensidige Forsikring'!G107+'Gjensidige Pensjon'!G107+'If Skadeforsikring NUF'!G107+KLP!G107+'KLP Skadeforsikring AS'!G107+'Landkreditt Forsikring'!G107+'Nordea Liv '!G107+'Oslo Pensjonsforsikring'!G107+'Protector Forsikring'!G107+'Sparebank 1 Forsikring'!G107+'Storebrand Livsforsikring'!G107+'Telenor Forsikring'!G107+'Tryg Forsikring'!G107+'WaterCircles F'!G107+'Euro Accident'!G107+'Ly Forsikring'!G107+'Youplus Livsforsikring'!G107+'Oslo Forsikring'!G107</f>
        <v>424780.5636799999</v>
      </c>
      <c r="G107" s="121">
        <f t="shared" si="25"/>
        <v>14.4</v>
      </c>
      <c r="H107" s="181">
        <f t="shared" si="34"/>
        <v>4681314.4382499997</v>
      </c>
      <c r="I107" s="181">
        <f t="shared" si="35"/>
        <v>4673815.3636799995</v>
      </c>
      <c r="J107" s="20">
        <f t="shared" si="28"/>
        <v>-0.2</v>
      </c>
    </row>
    <row r="108" spans="1:10" ht="15.75" customHeight="1" x14ac:dyDescent="0.2">
      <c r="A108" s="18" t="s">
        <v>405</v>
      </c>
      <c r="B108" s="178">
        <f>'Fremtind Livsforsikring'!B108+'DNB Livsforsikring'!B108+'Eika Forsikring AS'!B108+'Frende Livsforsikring'!B108+'Frende Skadeforsikring'!B108+'Gjensidige Forsikring'!B108+'Gjensidige Pensjon'!B108+'If Skadeforsikring NUF'!B108+KLP!B108+'KLP Skadeforsikring AS'!B108+'Landkreditt Forsikring'!B108+'Nordea Liv '!B108+'Oslo Pensjonsforsikring'!B108+'Protector Forsikring'!B108+'Sparebank 1 Forsikring'!B108+'Storebrand Livsforsikring'!B108+'Telenor Forsikring'!B108+'Tryg Forsikring'!B108+'WaterCircles F'!B108+'Euro Accident'!B108+'Ly Forsikring'!B108+'Youplus Livsforsikring'!B108+'Oslo Forsikring'!B108</f>
        <v>324820499.09454721</v>
      </c>
      <c r="C108" s="178">
        <f>'Fremtind Livsforsikring'!C108+'DNB Livsforsikring'!C108+'Eika Forsikring AS'!C108+'Frende Livsforsikring'!C108+'Frende Skadeforsikring'!C108+'Gjensidige Forsikring'!C108+'Gjensidige Pensjon'!C108+'If Skadeforsikring NUF'!C108+KLP!C108+'KLP Skadeforsikring AS'!C108+'Landkreditt Forsikring'!C108+'Nordea Liv '!C108+'Oslo Pensjonsforsikring'!C108+'Protector Forsikring'!C108+'Sparebank 1 Forsikring'!C108+'Storebrand Livsforsikring'!C108+'Telenor Forsikring'!C108+'Tryg Forsikring'!C108+'WaterCircles F'!C108+'Euro Accident'!C108+'Ly Forsikring'!C108+'Youplus Livsforsikring'!C108+'Oslo Forsikring'!C108</f>
        <v>331602644.38026559</v>
      </c>
      <c r="D108" s="20">
        <f t="shared" si="24"/>
        <v>2.1</v>
      </c>
      <c r="E108" s="36">
        <f>'Fremtind Livsforsikring'!F108+'DNB Livsforsikring'!F108+'Eika Forsikring AS'!F108+'Frende Livsforsikring'!F108+'Frende Skadeforsikring'!F108+'Gjensidige Forsikring'!F108+'Gjensidige Pensjon'!F108+'If Skadeforsikring NUF'!F108+KLP!F108+'KLP Skadeforsikring AS'!F108+'Landkreditt Forsikring'!F108+'Nordea Liv '!F108+'Oslo Pensjonsforsikring'!F108+'Protector Forsikring'!F108+'Sparebank 1 Forsikring'!F108+'Storebrand Livsforsikring'!F108+'Telenor Forsikring'!F108+'Tryg Forsikring'!F108+'WaterCircles F'!F108+'Euro Accident'!F108+'Ly Forsikring'!F108+'Youplus Livsforsikring'!F108+'Oslo Forsikring'!F108</f>
        <v>20885856.31453</v>
      </c>
      <c r="F108" s="36">
        <f>'Fremtind Livsforsikring'!G108+'DNB Livsforsikring'!G108+'Eika Forsikring AS'!G108+'Frende Livsforsikring'!G108+'Frende Skadeforsikring'!G108+'Gjensidige Forsikring'!G108+'Gjensidige Pensjon'!G108+'If Skadeforsikring NUF'!G108+KLP!G108+'KLP Skadeforsikring AS'!G108+'Landkreditt Forsikring'!G108+'Nordea Liv '!G108+'Oslo Pensjonsforsikring'!G108+'Protector Forsikring'!G108+'Sparebank 1 Forsikring'!G108+'Storebrand Livsforsikring'!G108+'Telenor Forsikring'!G108+'Tryg Forsikring'!G108+'WaterCircles F'!G108+'Euro Accident'!G108+'Ly Forsikring'!G108+'Youplus Livsforsikring'!G108+'Oslo Forsikring'!G108</f>
        <v>23789541.900520001</v>
      </c>
      <c r="G108" s="121">
        <f t="shared" si="25"/>
        <v>13.9</v>
      </c>
      <c r="H108" s="181">
        <f t="shared" si="34"/>
        <v>345706355.40907723</v>
      </c>
      <c r="I108" s="181">
        <f t="shared" si="35"/>
        <v>355392186.28078562</v>
      </c>
      <c r="J108" s="20">
        <f t="shared" si="28"/>
        <v>2.8</v>
      </c>
    </row>
    <row r="109" spans="1:10" ht="15.75" customHeight="1" x14ac:dyDescent="0.2">
      <c r="A109" s="18" t="s">
        <v>437</v>
      </c>
      <c r="B109" s="178">
        <f>'Fremtind Livsforsikring'!B109+'DNB Livsforsikring'!B109+'Eika Forsikring AS'!B109+'Frende Livsforsikring'!B109+'Frende Skadeforsikring'!B109+'Gjensidige Forsikring'!B109+'Gjensidige Pensjon'!B109+'If Skadeforsikring NUF'!B109+KLP!B109+'KLP Skadeforsikring AS'!B109+'Landkreditt Forsikring'!B109+'Nordea Liv '!B109+'Oslo Pensjonsforsikring'!B109+'Protector Forsikring'!B109+'Sparebank 1 Forsikring'!B109+'Storebrand Livsforsikring'!B109+'Telenor Forsikring'!B109+'Tryg Forsikring'!B109+'WaterCircles F'!B109+'Euro Accident'!B109+'Ly Forsikring'!B109+'Youplus Livsforsikring'!B109+'Oslo Forsikring'!B109</f>
        <v>2038417.804288483</v>
      </c>
      <c r="C109" s="178">
        <f>'Fremtind Livsforsikring'!C109+'DNB Livsforsikring'!C109+'Eika Forsikring AS'!C109+'Frende Livsforsikring'!C109+'Frende Skadeforsikring'!C109+'Gjensidige Forsikring'!C109+'Gjensidige Pensjon'!C109+'If Skadeforsikring NUF'!C109+KLP!C109+'KLP Skadeforsikring AS'!C109+'Landkreditt Forsikring'!C109+'Nordea Liv '!C109+'Oslo Pensjonsforsikring'!C109+'Protector Forsikring'!C109+'Sparebank 1 Forsikring'!C109+'Storebrand Livsforsikring'!C109+'Telenor Forsikring'!C109+'Tryg Forsikring'!C109+'WaterCircles F'!C109+'Euro Accident'!C109+'Ly Forsikring'!C109+'Youplus Livsforsikring'!C109+'Oslo Forsikring'!C109</f>
        <v>2240091.1341981702</v>
      </c>
      <c r="D109" s="20">
        <f t="shared" si="24"/>
        <v>9.9</v>
      </c>
      <c r="E109" s="36">
        <f>'Fremtind Livsforsikring'!F109+'DNB Livsforsikring'!F109+'Eika Forsikring AS'!F109+'Frende Livsforsikring'!F109+'Frende Skadeforsikring'!F109+'Gjensidige Forsikring'!F109+'Gjensidige Pensjon'!F109+'If Skadeforsikring NUF'!F109+KLP!F109+'KLP Skadeforsikring AS'!F109+'Landkreditt Forsikring'!F109+'Nordea Liv '!F109+'Oslo Pensjonsforsikring'!F109+'Protector Forsikring'!F109+'Sparebank 1 Forsikring'!F109+'Storebrand Livsforsikring'!F109+'Telenor Forsikring'!F109+'Tryg Forsikring'!F109+'WaterCircles F'!F109+'Euro Accident'!F109+'Ly Forsikring'!F109+'Youplus Livsforsikring'!F109+'Oslo Forsikring'!F109</f>
        <v>200652499.48057988</v>
      </c>
      <c r="F109" s="36">
        <f>'Fremtind Livsforsikring'!G109+'DNB Livsforsikring'!G109+'Eika Forsikring AS'!G109+'Frende Livsforsikring'!G109+'Frende Skadeforsikring'!G109+'Gjensidige Forsikring'!G109+'Gjensidige Pensjon'!G109+'If Skadeforsikring NUF'!G109+KLP!G109+'KLP Skadeforsikring AS'!G109+'Landkreditt Forsikring'!G109+'Nordea Liv '!G109+'Oslo Pensjonsforsikring'!G109+'Protector Forsikring'!G109+'Sparebank 1 Forsikring'!G109+'Storebrand Livsforsikring'!G109+'Telenor Forsikring'!G109+'Tryg Forsikring'!G109+'WaterCircles F'!G109+'Euro Accident'!G109+'Ly Forsikring'!G109+'Youplus Livsforsikring'!G109+'Oslo Forsikring'!G109</f>
        <v>249889324.56426001</v>
      </c>
      <c r="G109" s="121">
        <f t="shared" si="25"/>
        <v>24.5</v>
      </c>
      <c r="H109" s="181">
        <f t="shared" si="34"/>
        <v>202690917.28486836</v>
      </c>
      <c r="I109" s="181">
        <f t="shared" si="35"/>
        <v>252129415.69845816</v>
      </c>
      <c r="J109" s="20">
        <f t="shared" si="28"/>
        <v>24.4</v>
      </c>
    </row>
    <row r="110" spans="1:10" ht="15.75" customHeight="1" x14ac:dyDescent="0.2">
      <c r="A110" s="18" t="s">
        <v>406</v>
      </c>
      <c r="B110" s="178">
        <f>'Fremtind Livsforsikring'!B110+'DNB Livsforsikring'!B110+'Eika Forsikring AS'!B110+'Frende Livsforsikring'!B110+'Frende Skadeforsikring'!B110+'Gjensidige Forsikring'!B110+'Gjensidige Pensjon'!B110+'If Skadeforsikring NUF'!B110+KLP!B110+'KLP Skadeforsikring AS'!B110+'Landkreditt Forsikring'!B110+'Nordea Liv '!B110+'Oslo Pensjonsforsikring'!B110+'Protector Forsikring'!B110+'Sparebank 1 Forsikring'!B110+'Storebrand Livsforsikring'!B110+'Telenor Forsikring'!B110+'Tryg Forsikring'!B110+'WaterCircles F'!B110+'Euro Accident'!B110+'Ly Forsikring'!B110+'Youplus Livsforsikring'!B110+'Oslo Forsikring'!B110</f>
        <v>2306581.6355900001</v>
      </c>
      <c r="C110" s="178">
        <f>'Fremtind Livsforsikring'!C110+'DNB Livsforsikring'!C110+'Eika Forsikring AS'!C110+'Frende Livsforsikring'!C110+'Frende Skadeforsikring'!C110+'Gjensidige Forsikring'!C110+'Gjensidige Pensjon'!C110+'If Skadeforsikring NUF'!C110+KLP!C110+'KLP Skadeforsikring AS'!C110+'Landkreditt Forsikring'!C110+'Nordea Liv '!C110+'Oslo Pensjonsforsikring'!C110+'Protector Forsikring'!C110+'Sparebank 1 Forsikring'!C110+'Storebrand Livsforsikring'!C110+'Telenor Forsikring'!C110+'Tryg Forsikring'!C110+'WaterCircles F'!C110+'Euro Accident'!C110+'Ly Forsikring'!C110+'Youplus Livsforsikring'!C110+'Oslo Forsikring'!C110</f>
        <v>3512138.9653500002</v>
      </c>
      <c r="D110" s="20">
        <f t="shared" si="24"/>
        <v>52.3</v>
      </c>
      <c r="E110" s="36"/>
      <c r="F110" s="36"/>
      <c r="G110" s="121"/>
      <c r="H110" s="181">
        <f t="shared" si="34"/>
        <v>2306581.6355900001</v>
      </c>
      <c r="I110" s="181">
        <f t="shared" si="35"/>
        <v>3512138.9653500002</v>
      </c>
      <c r="J110" s="20">
        <f t="shared" si="28"/>
        <v>52.3</v>
      </c>
    </row>
    <row r="111" spans="1:10" s="35" customFormat="1" ht="15.75" customHeight="1" x14ac:dyDescent="0.2">
      <c r="A111" s="10" t="s">
        <v>387</v>
      </c>
      <c r="B111" s="244">
        <f>'Fremtind Livsforsikring'!B111+'DNB Livsforsikring'!B111+'Eika Forsikring AS'!B111+'Frende Livsforsikring'!B111+'Frende Skadeforsikring'!B111+'Gjensidige Forsikring'!B111+'Gjensidige Pensjon'!B111+'If Skadeforsikring NUF'!B111+KLP!B111+'KLP Skadeforsikring AS'!B111+'Landkreditt Forsikring'!B111+'Nordea Liv '!B111+'Oslo Pensjonsforsikring'!B111+'Protector Forsikring'!B111+'Sparebank 1 Forsikring'!B111+'Storebrand Livsforsikring'!B111+'Telenor Forsikring'!B111+'Tryg Forsikring'!B111+'WaterCircles F'!B111+'Euro Accident'!B111+'Ly Forsikring'!B111+'Youplus Livsforsikring'!B111+'Oslo Forsikring'!B111</f>
        <v>658865.04822999996</v>
      </c>
      <c r="C111" s="244">
        <f>'Fremtind Livsforsikring'!C111+'DNB Livsforsikring'!C111+'Eika Forsikring AS'!C111+'Frende Livsforsikring'!C111+'Frende Skadeforsikring'!C111+'Gjensidige Forsikring'!C111+'Gjensidige Pensjon'!C111+'If Skadeforsikring NUF'!C111+KLP!C111+'KLP Skadeforsikring AS'!C111+'Landkreditt Forsikring'!C111+'Nordea Liv '!C111+'Oslo Pensjonsforsikring'!C111+'Protector Forsikring'!C111+'Sparebank 1 Forsikring'!C111+'Storebrand Livsforsikring'!C111+'Telenor Forsikring'!C111+'Tryg Forsikring'!C111+'WaterCircles F'!C111+'Euro Accident'!C111+'Ly Forsikring'!C111+'Youplus Livsforsikring'!C111+'Oslo Forsikring'!C111</f>
        <v>564211.92837999994</v>
      </c>
      <c r="D111" s="21">
        <f t="shared" si="24"/>
        <v>-14.4</v>
      </c>
      <c r="E111" s="180">
        <f>'Fremtind Livsforsikring'!F111+'DNB Livsforsikring'!F111+'Eika Forsikring AS'!F111+'Frende Livsforsikring'!F111+'Frende Skadeforsikring'!F111+'Gjensidige Forsikring'!F111+'Gjensidige Pensjon'!F111+'If Skadeforsikring NUF'!F111+KLP!F111+'KLP Skadeforsikring AS'!F111+'Landkreditt Forsikring'!F111+'Nordea Liv '!F111+'Oslo Pensjonsforsikring'!F111+'Protector Forsikring'!F111+'Sparebank 1 Forsikring'!F111+'Storebrand Livsforsikring'!F111+'Telenor Forsikring'!F111+'Tryg Forsikring'!F111+'WaterCircles F'!F111+'Euro Accident'!F111+'Ly Forsikring'!F111+'Youplus Livsforsikring'!F111+'Oslo Forsikring'!F111</f>
        <v>46255598.693280004</v>
      </c>
      <c r="F111" s="180">
        <f>'Fremtind Livsforsikring'!G111+'DNB Livsforsikring'!G111+'Eika Forsikring AS'!G111+'Frende Livsforsikring'!G111+'Frende Skadeforsikring'!G111+'Gjensidige Forsikring'!G111+'Gjensidige Pensjon'!G111+'If Skadeforsikring NUF'!G111+KLP!G111+'KLP Skadeforsikring AS'!G111+'Landkreditt Forsikring'!G111+'Nordea Liv '!G111+'Oslo Pensjonsforsikring'!G111+'Protector Forsikring'!G111+'Sparebank 1 Forsikring'!G111+'Storebrand Livsforsikring'!G111+'Telenor Forsikring'!G111+'Tryg Forsikring'!G111+'WaterCircles F'!G111+'Euro Accident'!G111+'Ly Forsikring'!G111+'Youplus Livsforsikring'!G111+'Oslo Forsikring'!G111</f>
        <v>50803519.795369998</v>
      </c>
      <c r="G111" s="125">
        <f t="shared" si="25"/>
        <v>9.8000000000000007</v>
      </c>
      <c r="H111" s="264">
        <f t="shared" si="34"/>
        <v>46914463.741510004</v>
      </c>
      <c r="I111" s="264">
        <f t="shared" si="35"/>
        <v>51367731.723749995</v>
      </c>
      <c r="J111" s="21">
        <f t="shared" si="28"/>
        <v>9.5</v>
      </c>
    </row>
    <row r="112" spans="1:10" ht="15.75" customHeight="1" x14ac:dyDescent="0.2">
      <c r="A112" s="18" t="s">
        <v>9</v>
      </c>
      <c r="B112" s="178">
        <f>'Fremtind Livsforsikring'!B112+'DNB Livsforsikring'!B112+'Eika Forsikring AS'!B112+'Frende Livsforsikring'!B112+'Frende Skadeforsikring'!B112+'Gjensidige Forsikring'!B112+'Gjensidige Pensjon'!B112+'If Skadeforsikring NUF'!B112+KLP!B112+'KLP Skadeforsikring AS'!B112+'Landkreditt Forsikring'!B112+'Nordea Liv '!B112+'Oslo Pensjonsforsikring'!B112+'Protector Forsikring'!B112+'Sparebank 1 Forsikring'!B112+'Storebrand Livsforsikring'!B112+'Telenor Forsikring'!B112+'Tryg Forsikring'!B112+'WaterCircles F'!B112+'Euro Accident'!B112+'Ly Forsikring'!B112+'Youplus Livsforsikring'!B112+'Oslo Forsikring'!B112</f>
        <v>418754.81874999998</v>
      </c>
      <c r="C112" s="178">
        <f>'Fremtind Livsforsikring'!C112+'DNB Livsforsikring'!C112+'Eika Forsikring AS'!C112+'Frende Livsforsikring'!C112+'Frende Skadeforsikring'!C112+'Gjensidige Forsikring'!C112+'Gjensidige Pensjon'!C112+'If Skadeforsikring NUF'!C112+KLP!C112+'KLP Skadeforsikring AS'!C112+'Landkreditt Forsikring'!C112+'Nordea Liv '!C112+'Oslo Pensjonsforsikring'!C112+'Protector Forsikring'!C112+'Sparebank 1 Forsikring'!C112+'Storebrand Livsforsikring'!C112+'Telenor Forsikring'!C112+'Tryg Forsikring'!C112+'WaterCircles F'!C112+'Euro Accident'!C112+'Ly Forsikring'!C112+'Youplus Livsforsikring'!C112+'Oslo Forsikring'!C112</f>
        <v>410810.59558999998</v>
      </c>
      <c r="D112" s="20">
        <f t="shared" ref="D112:D126" si="42">IF(B112=0, "    ---- ", IF(ABS(ROUND(100/B112*C112-100,1))&lt;999,ROUND(100/B112*C112-100,1),IF(ROUND(100/B112*C112-100,1)&gt;999,999,-999)))</f>
        <v>-1.9</v>
      </c>
      <c r="E112" s="36">
        <f>'Fremtind Livsforsikring'!F112+'DNB Livsforsikring'!F112+'Eika Forsikring AS'!F112+'Frende Livsforsikring'!F112+'Frende Skadeforsikring'!F112+'Gjensidige Forsikring'!F112+'Gjensidige Pensjon'!F112+'If Skadeforsikring NUF'!F112+KLP!F112+'KLP Skadeforsikring AS'!F112+'Landkreditt Forsikring'!F112+'Nordea Liv '!F112+'Oslo Pensjonsforsikring'!F112+'Protector Forsikring'!F112+'Sparebank 1 Forsikring'!F112+'Storebrand Livsforsikring'!F112+'Telenor Forsikring'!F112+'Tryg Forsikring'!F112+'WaterCircles F'!F112+'Euro Accident'!F112+'Ly Forsikring'!F112+'Youplus Livsforsikring'!F112+'Oslo Forsikring'!F112</f>
        <v>2651.2759999999998</v>
      </c>
      <c r="F112" s="36">
        <f>'Fremtind Livsforsikring'!G112+'DNB Livsforsikring'!G112+'Eika Forsikring AS'!G112+'Frende Livsforsikring'!G112+'Frende Skadeforsikring'!G112+'Gjensidige Forsikring'!G112+'Gjensidige Pensjon'!G112+'If Skadeforsikring NUF'!G112+KLP!G112+'KLP Skadeforsikring AS'!G112+'Landkreditt Forsikring'!G112+'Nordea Liv '!G112+'Oslo Pensjonsforsikring'!G112+'Protector Forsikring'!G112+'Sparebank 1 Forsikring'!G112+'Storebrand Livsforsikring'!G112+'Telenor Forsikring'!G112+'Tryg Forsikring'!G112+'WaterCircles F'!G112+'Euro Accident'!G112+'Ly Forsikring'!G112+'Youplus Livsforsikring'!G112+'Oslo Forsikring'!G112</f>
        <v>1148.367</v>
      </c>
      <c r="G112" s="121">
        <f t="shared" si="25"/>
        <v>-56.7</v>
      </c>
      <c r="H112" s="181">
        <f t="shared" ref="H112:H126" si="43">SUM(B112,E112)</f>
        <v>421406.09474999999</v>
      </c>
      <c r="I112" s="181">
        <f t="shared" ref="I112:I126" si="44">SUM(C112,F112)</f>
        <v>411958.96259000001</v>
      </c>
      <c r="J112" s="20">
        <f t="shared" ref="J112:J126" si="45">IF(H112=0, "    ---- ", IF(ABS(ROUND(100/H112*I112-100,1))&lt;999,ROUND(100/H112*I112-100,1),IF(ROUND(100/H112*I112-100,1)&gt;999,999,-999)))</f>
        <v>-2.2000000000000002</v>
      </c>
    </row>
    <row r="113" spans="1:10" ht="15.75" customHeight="1" x14ac:dyDescent="0.2">
      <c r="A113" s="18" t="s">
        <v>10</v>
      </c>
      <c r="B113" s="178"/>
      <c r="C113" s="178"/>
      <c r="D113" s="20"/>
      <c r="E113" s="36">
        <f>'Fremtind Livsforsikring'!F113+'DNB Livsforsikring'!F113+'Eika Forsikring AS'!F113+'Frende Livsforsikring'!F113+'Frende Skadeforsikring'!F113+'Gjensidige Forsikring'!F113+'Gjensidige Pensjon'!F113+'If Skadeforsikring NUF'!F113+KLP!F113+'KLP Skadeforsikring AS'!F113+'Landkreditt Forsikring'!F113+'Nordea Liv '!F113+'Oslo Pensjonsforsikring'!F113+'Protector Forsikring'!F113+'Sparebank 1 Forsikring'!F113+'Storebrand Livsforsikring'!F113+'Telenor Forsikring'!F113+'Tryg Forsikring'!F113+'WaterCircles F'!F113+'Euro Accident'!F113+'Ly Forsikring'!F113+'Youplus Livsforsikring'!F113+'Oslo Forsikring'!F113</f>
        <v>46244667.565280005</v>
      </c>
      <c r="F113" s="36">
        <f>'Fremtind Livsforsikring'!G113+'DNB Livsforsikring'!G113+'Eika Forsikring AS'!G113+'Frende Livsforsikring'!G113+'Frende Skadeforsikring'!G113+'Gjensidige Forsikring'!G113+'Gjensidige Pensjon'!G113+'If Skadeforsikring NUF'!G113+KLP!G113+'KLP Skadeforsikring AS'!G113+'Landkreditt Forsikring'!G113+'Nordea Liv '!G113+'Oslo Pensjonsforsikring'!G113+'Protector Forsikring'!G113+'Sparebank 1 Forsikring'!G113+'Storebrand Livsforsikring'!G113+'Telenor Forsikring'!G113+'Tryg Forsikring'!G113+'WaterCircles F'!G113+'Euro Accident'!G113+'Ly Forsikring'!G113+'Youplus Livsforsikring'!G113+'Oslo Forsikring'!G113</f>
        <v>50795820.872369997</v>
      </c>
      <c r="G113" s="125">
        <f t="shared" si="25"/>
        <v>9.8000000000000007</v>
      </c>
      <c r="H113" s="181">
        <f t="shared" si="43"/>
        <v>46244667.565280005</v>
      </c>
      <c r="I113" s="181">
        <f t="shared" si="44"/>
        <v>50795820.872369997</v>
      </c>
      <c r="J113" s="21">
        <f t="shared" si="45"/>
        <v>9.8000000000000007</v>
      </c>
    </row>
    <row r="114" spans="1:10" ht="15.75" customHeight="1" x14ac:dyDescent="0.2">
      <c r="A114" s="18" t="s">
        <v>26</v>
      </c>
      <c r="B114" s="178">
        <f>'Fremtind Livsforsikring'!B114+'DNB Livsforsikring'!B114+'Eika Forsikring AS'!B114+'Frende Livsforsikring'!B114+'Frende Skadeforsikring'!B114+'Gjensidige Forsikring'!B114+'Gjensidige Pensjon'!B114+'If Skadeforsikring NUF'!B114+KLP!B114+'KLP Skadeforsikring AS'!B114+'Landkreditt Forsikring'!B114+'Nordea Liv '!B114+'Oslo Pensjonsforsikring'!B114+'Protector Forsikring'!B114+'Sparebank 1 Forsikring'!B114+'Storebrand Livsforsikring'!B114+'Telenor Forsikring'!B114+'Tryg Forsikring'!B114+'WaterCircles F'!B114+'Euro Accident'!B114+'Ly Forsikring'!B114+'Youplus Livsforsikring'!B114+'Oslo Forsikring'!B114</f>
        <v>240110.22948000001</v>
      </c>
      <c r="C114" s="178">
        <f>'Fremtind Livsforsikring'!C114+'DNB Livsforsikring'!C114+'Eika Forsikring AS'!C114+'Frende Livsforsikring'!C114+'Frende Skadeforsikring'!C114+'Gjensidige Forsikring'!C114+'Gjensidige Pensjon'!C114+'If Skadeforsikring NUF'!C114+KLP!C114+'KLP Skadeforsikring AS'!C114+'Landkreditt Forsikring'!C114+'Nordea Liv '!C114+'Oslo Pensjonsforsikring'!C114+'Protector Forsikring'!C114+'Sparebank 1 Forsikring'!C114+'Storebrand Livsforsikring'!C114+'Telenor Forsikring'!C114+'Tryg Forsikring'!C114+'WaterCircles F'!C114+'Euro Accident'!C114+'Ly Forsikring'!C114+'Youplus Livsforsikring'!C114+'Oslo Forsikring'!C114</f>
        <v>153401.33279000001</v>
      </c>
      <c r="D114" s="20">
        <f t="shared" si="42"/>
        <v>-36.1</v>
      </c>
      <c r="E114" s="36">
        <f>'Fremtind Livsforsikring'!F114+'DNB Livsforsikring'!F114+'Eika Forsikring AS'!F114+'Frende Livsforsikring'!F114+'Frende Skadeforsikring'!F114+'Gjensidige Forsikring'!F114+'Gjensidige Pensjon'!F114+'If Skadeforsikring NUF'!F114+KLP!F114+'KLP Skadeforsikring AS'!F114+'Landkreditt Forsikring'!F114+'Nordea Liv '!F114+'Oslo Pensjonsforsikring'!F114+'Protector Forsikring'!F114+'Sparebank 1 Forsikring'!F114+'Storebrand Livsforsikring'!F114+'Telenor Forsikring'!F114+'Tryg Forsikring'!F114+'WaterCircles F'!F114+'Euro Accident'!F114+'Ly Forsikring'!F114+'Youplus Livsforsikring'!F114+'Oslo Forsikring'!F114</f>
        <v>8279.8520000000008</v>
      </c>
      <c r="F114" s="36">
        <f>'Fremtind Livsforsikring'!G114+'DNB Livsforsikring'!G114+'Eika Forsikring AS'!G114+'Frende Livsforsikring'!G114+'Frende Skadeforsikring'!G114+'Gjensidige Forsikring'!G114+'Gjensidige Pensjon'!G114+'If Skadeforsikring NUF'!G114+KLP!G114+'KLP Skadeforsikring AS'!G114+'Landkreditt Forsikring'!G114+'Nordea Liv '!G114+'Oslo Pensjonsforsikring'!G114+'Protector Forsikring'!G114+'Sparebank 1 Forsikring'!G114+'Storebrand Livsforsikring'!G114+'Telenor Forsikring'!G114+'Tryg Forsikring'!G114+'WaterCircles F'!G114+'Euro Accident'!G114+'Ly Forsikring'!G114+'Youplus Livsforsikring'!G114+'Oslo Forsikring'!G114</f>
        <v>6550.5559999999996</v>
      </c>
      <c r="G114" s="125">
        <f t="shared" si="25"/>
        <v>-20.9</v>
      </c>
      <c r="H114" s="181">
        <f t="shared" si="43"/>
        <v>248390.08148000002</v>
      </c>
      <c r="I114" s="181">
        <f t="shared" si="44"/>
        <v>159951.88879000003</v>
      </c>
      <c r="J114" s="21">
        <f t="shared" si="45"/>
        <v>-35.6</v>
      </c>
    </row>
    <row r="115" spans="1:10" ht="15.75" customHeight="1" x14ac:dyDescent="0.2">
      <c r="A115" s="234" t="s">
        <v>15</v>
      </c>
      <c r="B115" s="36"/>
      <c r="C115" s="36"/>
      <c r="D115" s="23"/>
      <c r="E115" s="36"/>
      <c r="F115" s="36"/>
      <c r="G115" s="121"/>
      <c r="H115" s="181"/>
      <c r="I115" s="181"/>
      <c r="J115" s="20"/>
    </row>
    <row r="116" spans="1:10" ht="15.75" customHeight="1" x14ac:dyDescent="0.2">
      <c r="A116" s="18" t="s">
        <v>407</v>
      </c>
      <c r="B116" s="178">
        <f>'Fremtind Livsforsikring'!B116+'DNB Livsforsikring'!B116+'Eika Forsikring AS'!B116+'Frende Livsforsikring'!B116+'Frende Skadeforsikring'!B116+'Gjensidige Forsikring'!B116+'Gjensidige Pensjon'!B116+'If Skadeforsikring NUF'!B116+KLP!B116+'KLP Skadeforsikring AS'!B116+'Landkreditt Forsikring'!B116+'Nordea Liv '!B116+'Oslo Pensjonsforsikring'!B116+'Protector Forsikring'!B116+'Sparebank 1 Forsikring'!B116+'Storebrand Livsforsikring'!B116+'Telenor Forsikring'!B116+'Tryg Forsikring'!B116+'WaterCircles F'!B116+'Euro Accident'!B116+'Ly Forsikring'!B116+'Youplus Livsforsikring'!B116+'Oslo Forsikring'!B116</f>
        <v>91986.402000000002</v>
      </c>
      <c r="C116" s="178">
        <f>'Fremtind Livsforsikring'!C116+'DNB Livsforsikring'!C116+'Eika Forsikring AS'!C116+'Frende Livsforsikring'!C116+'Frende Skadeforsikring'!C116+'Gjensidige Forsikring'!C116+'Gjensidige Pensjon'!C116+'If Skadeforsikring NUF'!C116+KLP!C116+'KLP Skadeforsikring AS'!C116+'Landkreditt Forsikring'!C116+'Nordea Liv '!C116+'Oslo Pensjonsforsikring'!C116+'Protector Forsikring'!C116+'Sparebank 1 Forsikring'!C116+'Storebrand Livsforsikring'!C116+'Telenor Forsikring'!C116+'Tryg Forsikring'!C116+'WaterCircles F'!C116+'Euro Accident'!C116+'Ly Forsikring'!C116+'Youplus Livsforsikring'!C116+'Oslo Forsikring'!C116</f>
        <v>57332.159760000002</v>
      </c>
      <c r="D116" s="20">
        <f t="shared" si="42"/>
        <v>-37.700000000000003</v>
      </c>
      <c r="E116" s="36">
        <f>'Fremtind Livsforsikring'!F116+'DNB Livsforsikring'!F116+'Eika Forsikring AS'!F116+'Frende Livsforsikring'!F116+'Frende Skadeforsikring'!F116+'Gjensidige Forsikring'!F116+'Gjensidige Pensjon'!F116+'If Skadeforsikring NUF'!F116+KLP!F116+'KLP Skadeforsikring AS'!F116+'Landkreditt Forsikring'!F116+'Nordea Liv '!F116+'Oslo Pensjonsforsikring'!F116+'Protector Forsikring'!F116+'Sparebank 1 Forsikring'!F116+'Storebrand Livsforsikring'!F116+'Telenor Forsikring'!F116+'Tryg Forsikring'!F116+'WaterCircles F'!F116+'Euro Accident'!F116+'Ly Forsikring'!F116+'Youplus Livsforsikring'!F116+'Oslo Forsikring'!F116</f>
        <v>2651.2759999999998</v>
      </c>
      <c r="F116" s="36">
        <f>'Fremtind Livsforsikring'!G116+'DNB Livsforsikring'!G116+'Eika Forsikring AS'!G116+'Frende Livsforsikring'!G116+'Frende Skadeforsikring'!G116+'Gjensidige Forsikring'!G116+'Gjensidige Pensjon'!G116+'If Skadeforsikring NUF'!G116+KLP!G116+'KLP Skadeforsikring AS'!G116+'Landkreditt Forsikring'!G116+'Nordea Liv '!G116+'Oslo Pensjonsforsikring'!G116+'Protector Forsikring'!G116+'Sparebank 1 Forsikring'!G116+'Storebrand Livsforsikring'!G116+'Telenor Forsikring'!G116+'Tryg Forsikring'!G116+'WaterCircles F'!G116+'Euro Accident'!G116+'Ly Forsikring'!G116+'Youplus Livsforsikring'!G116+'Oslo Forsikring'!G116</f>
        <v>1148.367</v>
      </c>
      <c r="G116" s="121">
        <f t="shared" si="25"/>
        <v>-56.7</v>
      </c>
      <c r="H116" s="181">
        <f t="shared" si="43"/>
        <v>94637.678</v>
      </c>
      <c r="I116" s="181">
        <f t="shared" si="44"/>
        <v>58480.526760000001</v>
      </c>
      <c r="J116" s="20">
        <f t="shared" si="45"/>
        <v>-38.200000000000003</v>
      </c>
    </row>
    <row r="117" spans="1:10" ht="15.75" customHeight="1" x14ac:dyDescent="0.2">
      <c r="A117" s="18" t="s">
        <v>437</v>
      </c>
      <c r="B117" s="178"/>
      <c r="C117" s="178"/>
      <c r="D117" s="20"/>
      <c r="E117" s="36">
        <f>'Fremtind Livsforsikring'!F117+'DNB Livsforsikring'!F117+'Eika Forsikring AS'!F117+'Frende Livsforsikring'!F117+'Frende Skadeforsikring'!F117+'Gjensidige Forsikring'!F117+'Gjensidige Pensjon'!F117+'If Skadeforsikring NUF'!F117+KLP!F117+'KLP Skadeforsikring AS'!F117+'Landkreditt Forsikring'!F117+'Nordea Liv '!F117+'Oslo Pensjonsforsikring'!F117+'Protector Forsikring'!F117+'Sparebank 1 Forsikring'!F117+'Storebrand Livsforsikring'!F117+'Telenor Forsikring'!F117+'Tryg Forsikring'!F117+'WaterCircles F'!F117+'Euro Accident'!F117+'Ly Forsikring'!F117+'Youplus Livsforsikring'!F117+'Oslo Forsikring'!F117</f>
        <v>25907302.346009977</v>
      </c>
      <c r="F117" s="36">
        <f>'Fremtind Livsforsikring'!G117+'DNB Livsforsikring'!G117+'Eika Forsikring AS'!G117+'Frende Livsforsikring'!G117+'Frende Skadeforsikring'!G117+'Gjensidige Forsikring'!G117+'Gjensidige Pensjon'!G117+'If Skadeforsikring NUF'!G117+KLP!G117+'KLP Skadeforsikring AS'!G117+'Landkreditt Forsikring'!G117+'Nordea Liv '!G117+'Oslo Pensjonsforsikring'!G117+'Protector Forsikring'!G117+'Sparebank 1 Forsikring'!G117+'Storebrand Livsforsikring'!G117+'Telenor Forsikring'!G117+'Tryg Forsikring'!G117+'WaterCircles F'!G117+'Euro Accident'!G117+'Ly Forsikring'!G117+'Youplus Livsforsikring'!G117+'Oslo Forsikring'!G117</f>
        <v>34397443.247129999</v>
      </c>
      <c r="G117" s="121">
        <f t="shared" si="25"/>
        <v>32.799999999999997</v>
      </c>
      <c r="H117" s="181">
        <f t="shared" si="43"/>
        <v>25907302.346009977</v>
      </c>
      <c r="I117" s="181">
        <f t="shared" si="44"/>
        <v>34397443.247129999</v>
      </c>
      <c r="J117" s="20">
        <f t="shared" si="45"/>
        <v>32.799999999999997</v>
      </c>
    </row>
    <row r="118" spans="1:10" ht="15.75" customHeight="1" x14ac:dyDescent="0.2">
      <c r="A118" s="18" t="s">
        <v>406</v>
      </c>
      <c r="B118" s="178"/>
      <c r="C118" s="178"/>
      <c r="D118" s="20"/>
      <c r="E118" s="36"/>
      <c r="F118" s="36"/>
      <c r="G118" s="121"/>
      <c r="H118" s="181"/>
      <c r="I118" s="181"/>
      <c r="J118" s="20"/>
    </row>
    <row r="119" spans="1:10" s="35" customFormat="1" ht="15.75" customHeight="1" x14ac:dyDescent="0.2">
      <c r="A119" s="10" t="s">
        <v>388</v>
      </c>
      <c r="B119" s="264">
        <f>'Fremtind Livsforsikring'!B119+'DNB Livsforsikring'!B119+'Eika Forsikring AS'!B119+'Frende Livsforsikring'!B119+'Frende Skadeforsikring'!B119+'Gjensidige Forsikring'!B119+'Gjensidige Pensjon'!B119+'If Skadeforsikring NUF'!B119+KLP!B119+'KLP Skadeforsikring AS'!B119+'Landkreditt Forsikring'!B119+'Nordea Liv '!B119+'Oslo Pensjonsforsikring'!B119+'Protector Forsikring'!B119+'Sparebank 1 Forsikring'!B119+'Storebrand Livsforsikring'!B119+'Telenor Forsikring'!B119+'Tryg Forsikring'!B119+'WaterCircles F'!B119+'Euro Accident'!B119+'Ly Forsikring'!B119+'Youplus Livsforsikring'!B119+'Oslo Forsikring'!B119</f>
        <v>496819.64397000044</v>
      </c>
      <c r="C119" s="264">
        <f>'Fremtind Livsforsikring'!C119+'DNB Livsforsikring'!C119+'Eika Forsikring AS'!C119+'Frende Livsforsikring'!C119+'Frende Skadeforsikring'!C119+'Gjensidige Forsikring'!C119+'Gjensidige Pensjon'!C119+'If Skadeforsikring NUF'!C119+KLP!C119+'KLP Skadeforsikring AS'!C119+'Landkreditt Forsikring'!C119+'Nordea Liv '!C119+'Oslo Pensjonsforsikring'!C119+'Protector Forsikring'!C119+'Sparebank 1 Forsikring'!C119+'Storebrand Livsforsikring'!C119+'Telenor Forsikring'!C119+'Tryg Forsikring'!C119+'WaterCircles F'!C119+'Euro Accident'!C119+'Ly Forsikring'!C119+'Youplus Livsforsikring'!C119+'Oslo Forsikring'!C119</f>
        <v>310085.11394000018</v>
      </c>
      <c r="D119" s="21">
        <f t="shared" si="42"/>
        <v>-37.6</v>
      </c>
      <c r="E119" s="180">
        <f>'Fremtind Livsforsikring'!F119+'DNB Livsforsikring'!F119+'Eika Forsikring AS'!F119+'Frende Livsforsikring'!F119+'Frende Skadeforsikring'!F119+'Gjensidige Forsikring'!F119+'Gjensidige Pensjon'!F119+'If Skadeforsikring NUF'!F119+KLP!F119+'KLP Skadeforsikring AS'!F119+'Landkreditt Forsikring'!F119+'Nordea Liv '!F119+'Oslo Pensjonsforsikring'!F119+'Protector Forsikring'!F119+'Sparebank 1 Forsikring'!F119+'Storebrand Livsforsikring'!F119+'Telenor Forsikring'!F119+'Tryg Forsikring'!F119+'WaterCircles F'!F119+'Euro Accident'!F119+'Ly Forsikring'!F119+'Youplus Livsforsikring'!F119+'Oslo Forsikring'!F119</f>
        <v>48780195.431620002</v>
      </c>
      <c r="F119" s="180">
        <f>'Fremtind Livsforsikring'!G119+'DNB Livsforsikring'!G119+'Eika Forsikring AS'!G119+'Frende Livsforsikring'!G119+'Frende Skadeforsikring'!G119+'Gjensidige Forsikring'!G119+'Gjensidige Pensjon'!G119+'If Skadeforsikring NUF'!G119+KLP!G119+'KLP Skadeforsikring AS'!G119+'Landkreditt Forsikring'!G119+'Nordea Liv '!G119+'Oslo Pensjonsforsikring'!G119+'Protector Forsikring'!G119+'Sparebank 1 Forsikring'!G119+'Storebrand Livsforsikring'!G119+'Telenor Forsikring'!G119+'Tryg Forsikring'!G119+'WaterCircles F'!G119+'Euro Accident'!G119+'Ly Forsikring'!G119+'Youplus Livsforsikring'!G119+'Oslo Forsikring'!G119</f>
        <v>55958450.498789996</v>
      </c>
      <c r="G119" s="125">
        <f t="shared" si="25"/>
        <v>14.7</v>
      </c>
      <c r="H119" s="264">
        <f t="shared" si="43"/>
        <v>49277015.07559</v>
      </c>
      <c r="I119" s="264">
        <f t="shared" si="44"/>
        <v>56268535.612729996</v>
      </c>
      <c r="J119" s="21">
        <f t="shared" si="45"/>
        <v>14.2</v>
      </c>
    </row>
    <row r="120" spans="1:10" ht="15.75" customHeight="1" x14ac:dyDescent="0.2">
      <c r="A120" s="18" t="s">
        <v>9</v>
      </c>
      <c r="B120" s="181">
        <f>'Fremtind Livsforsikring'!B120+'DNB Livsforsikring'!B120+'Eika Forsikring AS'!B120+'Frende Livsforsikring'!B120+'Frende Skadeforsikring'!B120+'Gjensidige Forsikring'!B120+'Gjensidige Pensjon'!B120+'If Skadeforsikring NUF'!B120+KLP!B120+'KLP Skadeforsikring AS'!B120+'Landkreditt Forsikring'!B120+'Nordea Liv '!B120+'Oslo Pensjonsforsikring'!B120+'Protector Forsikring'!B120+'Sparebank 1 Forsikring'!B120+'Storebrand Livsforsikring'!B120+'Telenor Forsikring'!B120+'Tryg Forsikring'!B120+'WaterCircles F'!B120+'Euro Accident'!B120+'Ly Forsikring'!B120+'Youplus Livsforsikring'!B120+'Oslo Forsikring'!B120</f>
        <v>316104.25755000045</v>
      </c>
      <c r="C120" s="181">
        <f>'Fremtind Livsforsikring'!C120+'DNB Livsforsikring'!C120+'Eika Forsikring AS'!C120+'Frende Livsforsikring'!C120+'Frende Skadeforsikring'!C120+'Gjensidige Forsikring'!C120+'Gjensidige Pensjon'!C120+'If Skadeforsikring NUF'!C120+KLP!C120+'KLP Skadeforsikring AS'!C120+'Landkreditt Forsikring'!C120+'Nordea Liv '!C120+'Oslo Pensjonsforsikring'!C120+'Protector Forsikring'!C120+'Sparebank 1 Forsikring'!C120+'Storebrand Livsforsikring'!C120+'Telenor Forsikring'!C120+'Tryg Forsikring'!C120+'WaterCircles F'!C120+'Euro Accident'!C120+'Ly Forsikring'!C120+'Youplus Livsforsikring'!C120+'Oslo Forsikring'!C120</f>
        <v>161241.26071000018</v>
      </c>
      <c r="D120" s="20">
        <f t="shared" si="42"/>
        <v>-49</v>
      </c>
      <c r="E120" s="36"/>
      <c r="F120" s="36"/>
      <c r="G120" s="121"/>
      <c r="H120" s="181">
        <f t="shared" si="43"/>
        <v>316104.25755000045</v>
      </c>
      <c r="I120" s="181">
        <f t="shared" si="44"/>
        <v>161241.26071000018</v>
      </c>
      <c r="J120" s="20">
        <f t="shared" si="45"/>
        <v>-49</v>
      </c>
    </row>
    <row r="121" spans="1:10" ht="15.75" customHeight="1" x14ac:dyDescent="0.2">
      <c r="A121" s="18" t="s">
        <v>10</v>
      </c>
      <c r="B121" s="181">
        <f>'Fremtind Livsforsikring'!B121+'DNB Livsforsikring'!B121+'Eika Forsikring AS'!B121+'Frende Livsforsikring'!B121+'Frende Skadeforsikring'!B121+'Gjensidige Forsikring'!B121+'Gjensidige Pensjon'!B121+'If Skadeforsikring NUF'!B121+KLP!B121+'KLP Skadeforsikring AS'!B121+'Landkreditt Forsikring'!B121+'Nordea Liv '!B121+'Oslo Pensjonsforsikring'!B121+'Protector Forsikring'!B121+'Sparebank 1 Forsikring'!B121+'Storebrand Livsforsikring'!B121+'Telenor Forsikring'!B121+'Tryg Forsikring'!B121+'WaterCircles F'!B121+'Euro Accident'!B121+'Ly Forsikring'!B121+'Youplus Livsforsikring'!B121+'Oslo Forsikring'!B121</f>
        <v>6614.4895500000002</v>
      </c>
      <c r="C121" s="181">
        <f>'Fremtind Livsforsikring'!C121+'DNB Livsforsikring'!C121+'Eika Forsikring AS'!C121+'Frende Livsforsikring'!C121+'Frende Skadeforsikring'!C121+'Gjensidige Forsikring'!C121+'Gjensidige Pensjon'!C121+'If Skadeforsikring NUF'!C121+KLP!C121+'KLP Skadeforsikring AS'!C121+'Landkreditt Forsikring'!C121+'Nordea Liv '!C121+'Oslo Pensjonsforsikring'!C121+'Protector Forsikring'!C121+'Sparebank 1 Forsikring'!C121+'Storebrand Livsforsikring'!C121+'Telenor Forsikring'!C121+'Tryg Forsikring'!C121+'WaterCircles F'!C121+'Euro Accident'!C121+'Ly Forsikring'!C121+'Youplus Livsforsikring'!C121+'Oslo Forsikring'!C121</f>
        <v>18067.370620000002</v>
      </c>
      <c r="D121" s="20">
        <f t="shared" si="42"/>
        <v>173.1</v>
      </c>
      <c r="E121" s="36">
        <f>'Fremtind Livsforsikring'!F121+'DNB Livsforsikring'!F121+'Eika Forsikring AS'!F121+'Frende Livsforsikring'!F121+'Frende Skadeforsikring'!F121+'Gjensidige Forsikring'!F121+'Gjensidige Pensjon'!F121+'If Skadeforsikring NUF'!F121+KLP!F121+'KLP Skadeforsikring AS'!F121+'Landkreditt Forsikring'!F121+'Nordea Liv '!F121+'Oslo Pensjonsforsikring'!F121+'Protector Forsikring'!F121+'Sparebank 1 Forsikring'!F121+'Storebrand Livsforsikring'!F121+'Telenor Forsikring'!F121+'Tryg Forsikring'!F121+'WaterCircles F'!F121+'Euro Accident'!F121+'Ly Forsikring'!F121+'Youplus Livsforsikring'!F121+'Oslo Forsikring'!F121</f>
        <v>48780195.431620002</v>
      </c>
      <c r="F121" s="36">
        <f>'Fremtind Livsforsikring'!G121+'DNB Livsforsikring'!G121+'Eika Forsikring AS'!G121+'Frende Livsforsikring'!G121+'Frende Skadeforsikring'!G121+'Gjensidige Forsikring'!G121+'Gjensidige Pensjon'!G121+'If Skadeforsikring NUF'!G121+KLP!G121+'KLP Skadeforsikring AS'!G121+'Landkreditt Forsikring'!G121+'Nordea Liv '!G121+'Oslo Pensjonsforsikring'!G121+'Protector Forsikring'!G121+'Sparebank 1 Forsikring'!G121+'Storebrand Livsforsikring'!G121+'Telenor Forsikring'!G121+'Tryg Forsikring'!G121+'WaterCircles F'!G121+'Euro Accident'!G121+'Ly Forsikring'!G121+'Youplus Livsforsikring'!G121+'Oslo Forsikring'!G121</f>
        <v>55958450.498789996</v>
      </c>
      <c r="G121" s="121">
        <f t="shared" si="25"/>
        <v>14.7</v>
      </c>
      <c r="H121" s="181">
        <f t="shared" si="43"/>
        <v>48786809.921170004</v>
      </c>
      <c r="I121" s="181">
        <f t="shared" si="44"/>
        <v>55976517.869409993</v>
      </c>
      <c r="J121" s="20">
        <f t="shared" si="45"/>
        <v>14.7</v>
      </c>
    </row>
    <row r="122" spans="1:10" ht="15.75" customHeight="1" x14ac:dyDescent="0.2">
      <c r="A122" s="18" t="s">
        <v>26</v>
      </c>
      <c r="B122" s="181">
        <f>'Fremtind Livsforsikring'!B122+'DNB Livsforsikring'!B122+'Eika Forsikring AS'!B122+'Frende Livsforsikring'!B122+'Frende Skadeforsikring'!B122+'Gjensidige Forsikring'!B122+'Gjensidige Pensjon'!B122+'If Skadeforsikring NUF'!B122+KLP!B122+'KLP Skadeforsikring AS'!B122+'Landkreditt Forsikring'!B122+'Nordea Liv '!B122+'Oslo Pensjonsforsikring'!B122+'Protector Forsikring'!B122+'Sparebank 1 Forsikring'!B122+'Storebrand Livsforsikring'!B122+'Telenor Forsikring'!B122+'Tryg Forsikring'!B122+'WaterCircles F'!B122+'Euro Accident'!B122+'Ly Forsikring'!B122+'Youplus Livsforsikring'!B122+'Oslo Forsikring'!B122</f>
        <v>174100.89687</v>
      </c>
      <c r="C122" s="181">
        <f>'Fremtind Livsforsikring'!C122+'DNB Livsforsikring'!C122+'Eika Forsikring AS'!C122+'Frende Livsforsikring'!C122+'Frende Skadeforsikring'!C122+'Gjensidige Forsikring'!C122+'Gjensidige Pensjon'!C122+'If Skadeforsikring NUF'!C122+KLP!C122+'KLP Skadeforsikring AS'!C122+'Landkreditt Forsikring'!C122+'Nordea Liv '!C122+'Oslo Pensjonsforsikring'!C122+'Protector Forsikring'!C122+'Sparebank 1 Forsikring'!C122+'Storebrand Livsforsikring'!C122+'Telenor Forsikring'!C122+'Tryg Forsikring'!C122+'WaterCircles F'!C122+'Euro Accident'!C122+'Ly Forsikring'!C122+'Youplus Livsforsikring'!C122+'Oslo Forsikring'!C122</f>
        <v>130776.48260999999</v>
      </c>
      <c r="D122" s="20">
        <f t="shared" si="42"/>
        <v>-24.9</v>
      </c>
      <c r="E122" s="36"/>
      <c r="F122" s="36"/>
      <c r="G122" s="121"/>
      <c r="H122" s="181">
        <f t="shared" si="43"/>
        <v>174100.89687</v>
      </c>
      <c r="I122" s="181">
        <f t="shared" si="44"/>
        <v>130776.48260999999</v>
      </c>
      <c r="J122" s="20">
        <f t="shared" si="45"/>
        <v>-24.9</v>
      </c>
    </row>
    <row r="123" spans="1:10" ht="15.75" customHeight="1" x14ac:dyDescent="0.2">
      <c r="A123" s="234" t="s">
        <v>14</v>
      </c>
      <c r="B123" s="36"/>
      <c r="C123" s="36"/>
      <c r="D123" s="23"/>
      <c r="E123" s="36"/>
      <c r="F123" s="36"/>
      <c r="G123" s="121"/>
      <c r="H123" s="181"/>
      <c r="I123" s="181"/>
      <c r="J123" s="20"/>
    </row>
    <row r="124" spans="1:10" ht="15.75" customHeight="1" x14ac:dyDescent="0.2">
      <c r="A124" s="18" t="s">
        <v>405</v>
      </c>
      <c r="B124" s="181">
        <f>'Fremtind Livsforsikring'!B124+'DNB Livsforsikring'!B124+'Eika Forsikring AS'!B124+'Frende Livsforsikring'!B124+'Frende Skadeforsikring'!B124+'Gjensidige Forsikring'!B124+'Gjensidige Pensjon'!B124+'If Skadeforsikring NUF'!B124+KLP!B124+'KLP Skadeforsikring AS'!B124+'Landkreditt Forsikring'!B124+'Nordea Liv '!B124+'Oslo Pensjonsforsikring'!B124+'Protector Forsikring'!B124+'Sparebank 1 Forsikring'!B124+'Storebrand Livsforsikring'!B124+'Telenor Forsikring'!B124+'Tryg Forsikring'!B124+'WaterCircles F'!B124+'Euro Accident'!B124+'Ly Forsikring'!B124+'Youplus Livsforsikring'!B124+'Oslo Forsikring'!B124</f>
        <v>73559.095000000001</v>
      </c>
      <c r="C124" s="181">
        <f>'Fremtind Livsforsikring'!C124+'DNB Livsforsikring'!C124+'Eika Forsikring AS'!C124+'Frende Livsforsikring'!C124+'Frende Skadeforsikring'!C124+'Gjensidige Forsikring'!C124+'Gjensidige Pensjon'!C124+'If Skadeforsikring NUF'!C124+KLP!C124+'KLP Skadeforsikring AS'!C124+'Landkreditt Forsikring'!C124+'Nordea Liv '!C124+'Oslo Pensjonsforsikring'!C124+'Protector Forsikring'!C124+'Sparebank 1 Forsikring'!C124+'Storebrand Livsforsikring'!C124+'Telenor Forsikring'!C124+'Tryg Forsikring'!C124+'WaterCircles F'!C124+'Euro Accident'!C124+'Ly Forsikring'!C124+'Youplus Livsforsikring'!C124+'Oslo Forsikring'!C124</f>
        <v>22820.760999999999</v>
      </c>
      <c r="D124" s="20">
        <f t="shared" si="42"/>
        <v>-69</v>
      </c>
      <c r="E124" s="36">
        <f>'Fremtind Livsforsikring'!F124+'DNB Livsforsikring'!F124+'Eika Forsikring AS'!F124+'Frende Livsforsikring'!F124+'Frende Skadeforsikring'!F124+'Gjensidige Forsikring'!F124+'Gjensidige Pensjon'!F124+'If Skadeforsikring NUF'!F124+KLP!F124+'KLP Skadeforsikring AS'!F124+'Landkreditt Forsikring'!F124+'Nordea Liv '!F124+'Oslo Pensjonsforsikring'!F124+'Protector Forsikring'!F124+'Sparebank 1 Forsikring'!F124+'Storebrand Livsforsikring'!F124+'Telenor Forsikring'!F124+'Tryg Forsikring'!F124+'WaterCircles F'!F124+'Euro Accident'!F124+'Ly Forsikring'!F124+'Youplus Livsforsikring'!F124+'Oslo Forsikring'!F124</f>
        <v>14420.003000000001</v>
      </c>
      <c r="F124" s="36">
        <f>'Fremtind Livsforsikring'!G124+'DNB Livsforsikring'!G124+'Eika Forsikring AS'!G124+'Frende Livsforsikring'!G124+'Frende Skadeforsikring'!G124+'Gjensidige Forsikring'!G124+'Gjensidige Pensjon'!G124+'If Skadeforsikring NUF'!G124+KLP!G124+'KLP Skadeforsikring AS'!G124+'Landkreditt Forsikring'!G124+'Nordea Liv '!G124+'Oslo Pensjonsforsikring'!G124+'Protector Forsikring'!G124+'Sparebank 1 Forsikring'!G124+'Storebrand Livsforsikring'!G124+'Telenor Forsikring'!G124+'Tryg Forsikring'!G124+'WaterCircles F'!G124+'Euro Accident'!G124+'Ly Forsikring'!G124+'Youplus Livsforsikring'!G124+'Oslo Forsikring'!G124</f>
        <v>25743.476999999999</v>
      </c>
      <c r="G124" s="121">
        <f t="shared" si="25"/>
        <v>78.5</v>
      </c>
      <c r="H124" s="181">
        <f t="shared" si="43"/>
        <v>87979.097999999998</v>
      </c>
      <c r="I124" s="181">
        <f t="shared" si="44"/>
        <v>48564.237999999998</v>
      </c>
      <c r="J124" s="20">
        <f t="shared" si="45"/>
        <v>-44.8</v>
      </c>
    </row>
    <row r="125" spans="1:10" ht="15.75" customHeight="1" x14ac:dyDescent="0.2">
      <c r="A125" s="18" t="s">
        <v>437</v>
      </c>
      <c r="B125" s="181">
        <f>'Fremtind Livsforsikring'!B125+'DNB Livsforsikring'!B125+'Eika Forsikring AS'!B125+'Frende Livsforsikring'!B125+'Frende Skadeforsikring'!B125+'Gjensidige Forsikring'!B125+'Gjensidige Pensjon'!B125+'If Skadeforsikring NUF'!B125+KLP!B125+'KLP Skadeforsikring AS'!B125+'Landkreditt Forsikring'!B125+'Nordea Liv '!B125+'Oslo Pensjonsforsikring'!B125+'Protector Forsikring'!B125+'Sparebank 1 Forsikring'!B125+'Storebrand Livsforsikring'!B125+'Telenor Forsikring'!B125+'Tryg Forsikring'!B125+'WaterCircles F'!B125+'Euro Accident'!B125+'Ly Forsikring'!B125+'Youplus Livsforsikring'!B125+'Oslo Forsikring'!B125</f>
        <v>1433.8815400000001</v>
      </c>
      <c r="C125" s="181">
        <f>'Fremtind Livsforsikring'!C125+'DNB Livsforsikring'!C125+'Eika Forsikring AS'!C125+'Frende Livsforsikring'!C125+'Frende Skadeforsikring'!C125+'Gjensidige Forsikring'!C125+'Gjensidige Pensjon'!C125+'If Skadeforsikring NUF'!C125+KLP!C125+'KLP Skadeforsikring AS'!C125+'Landkreditt Forsikring'!C125+'Nordea Liv '!C125+'Oslo Pensjonsforsikring'!C125+'Protector Forsikring'!C125+'Sparebank 1 Forsikring'!C125+'Storebrand Livsforsikring'!C125+'Telenor Forsikring'!C125+'Tryg Forsikring'!C125+'WaterCircles F'!C125+'Euro Accident'!C125+'Ly Forsikring'!C125+'Youplus Livsforsikring'!C125+'Oslo Forsikring'!C125</f>
        <v>3345.88184</v>
      </c>
      <c r="D125" s="20">
        <f t="shared" si="42"/>
        <v>133.30000000000001</v>
      </c>
      <c r="E125" s="36">
        <f>'Fremtind Livsforsikring'!F125+'DNB Livsforsikring'!F125+'Eika Forsikring AS'!F125+'Frende Livsforsikring'!F125+'Frende Skadeforsikring'!F125+'Gjensidige Forsikring'!F125+'Gjensidige Pensjon'!F125+'If Skadeforsikring NUF'!F125+KLP!F125+'KLP Skadeforsikring AS'!F125+'Landkreditt Forsikring'!F125+'Nordea Liv '!F125+'Oslo Pensjonsforsikring'!F125+'Protector Forsikring'!F125+'Sparebank 1 Forsikring'!F125+'Storebrand Livsforsikring'!F125+'Telenor Forsikring'!F125+'Tryg Forsikring'!F125+'WaterCircles F'!F125+'Euro Accident'!F125+'Ly Forsikring'!F125+'Youplus Livsforsikring'!F125+'Oslo Forsikring'!F125</f>
        <v>23489759.69018</v>
      </c>
      <c r="F125" s="36">
        <f>'Fremtind Livsforsikring'!G125+'DNB Livsforsikring'!G125+'Eika Forsikring AS'!G125+'Frende Livsforsikring'!G125+'Frende Skadeforsikring'!G125+'Gjensidige Forsikring'!G125+'Gjensidige Pensjon'!G125+'If Skadeforsikring NUF'!G125+KLP!G125+'KLP Skadeforsikring AS'!G125+'Landkreditt Forsikring'!G125+'Nordea Liv '!G125+'Oslo Pensjonsforsikring'!G125+'Protector Forsikring'!G125+'Sparebank 1 Forsikring'!G125+'Storebrand Livsforsikring'!G125+'Telenor Forsikring'!G125+'Tryg Forsikring'!G125+'WaterCircles F'!G125+'Euro Accident'!G125+'Ly Forsikring'!G125+'Youplus Livsforsikring'!G125+'Oslo Forsikring'!G125</f>
        <v>34175334.3825</v>
      </c>
      <c r="G125" s="121">
        <f t="shared" si="25"/>
        <v>45.5</v>
      </c>
      <c r="H125" s="181">
        <f t="shared" si="43"/>
        <v>23491193.57172</v>
      </c>
      <c r="I125" s="181">
        <f t="shared" si="44"/>
        <v>34178680.264339998</v>
      </c>
      <c r="J125" s="20">
        <f t="shared" si="45"/>
        <v>45.5</v>
      </c>
    </row>
    <row r="126" spans="1:10" ht="15.75" customHeight="1" x14ac:dyDescent="0.2">
      <c r="A126" s="7" t="s">
        <v>406</v>
      </c>
      <c r="B126" s="182">
        <f>'Fremtind Livsforsikring'!B126+'DNB Livsforsikring'!B126+'Eika Forsikring AS'!B126+'Frende Livsforsikring'!B126+'Frende Skadeforsikring'!B126+'Gjensidige Forsikring'!B126+'Gjensidige Pensjon'!B126+'If Skadeforsikring NUF'!B126+KLP!B126+'KLP Skadeforsikring AS'!B126+'Landkreditt Forsikring'!B126+'Nordea Liv '!B126+'Oslo Pensjonsforsikring'!B126+'Protector Forsikring'!B126+'Sparebank 1 Forsikring'!B126+'Storebrand Livsforsikring'!B126+'Telenor Forsikring'!B126+'Tryg Forsikring'!B126+'WaterCircles F'!B126+'Euro Accident'!B126+'Ly Forsikring'!B126+'Youplus Livsforsikring'!B126+'Oslo Forsikring'!B126</f>
        <v>0</v>
      </c>
      <c r="C126" s="182">
        <f>'Fremtind Livsforsikring'!C126+'DNB Livsforsikring'!C126+'Eika Forsikring AS'!C126+'Frende Livsforsikring'!C126+'Frende Skadeforsikring'!C126+'Gjensidige Forsikring'!C126+'Gjensidige Pensjon'!C126+'If Skadeforsikring NUF'!C126+KLP!C126+'KLP Skadeforsikring AS'!C126+'Landkreditt Forsikring'!C126+'Nordea Liv '!C126+'Oslo Pensjonsforsikring'!C126+'Protector Forsikring'!C126+'Sparebank 1 Forsikring'!C126+'Storebrand Livsforsikring'!C126+'Telenor Forsikring'!C126+'Tryg Forsikring'!C126+'WaterCircles F'!C126+'Euro Accident'!C126+'Ly Forsikring'!C126+'Youplus Livsforsikring'!C126+'Oslo Forsikring'!C126</f>
        <v>254.89525</v>
      </c>
      <c r="D126" s="19" t="str">
        <f t="shared" si="42"/>
        <v xml:space="preserve">    ---- </v>
      </c>
      <c r="E126" s="37"/>
      <c r="F126" s="37"/>
      <c r="G126" s="122"/>
      <c r="H126" s="182">
        <f t="shared" si="43"/>
        <v>0</v>
      </c>
      <c r="I126" s="183">
        <f t="shared" si="44"/>
        <v>254.89525</v>
      </c>
      <c r="J126" s="19" t="str">
        <f t="shared" si="45"/>
        <v xml:space="preserve">    ---- </v>
      </c>
    </row>
    <row r="127" spans="1:10" ht="15.75" customHeight="1" x14ac:dyDescent="0.2">
      <c r="A127" s="114"/>
    </row>
    <row r="128" spans="1:10" ht="15.75" customHeight="1" x14ac:dyDescent="0.2">
      <c r="A128" s="22"/>
    </row>
    <row r="129" spans="1:10" ht="15.75" customHeight="1" x14ac:dyDescent="0.25">
      <c r="A129" s="110" t="s">
        <v>27</v>
      </c>
    </row>
    <row r="130" spans="1:10" ht="15.75" customHeight="1" x14ac:dyDescent="0.25">
      <c r="A130" s="22"/>
      <c r="B130" s="789"/>
      <c r="C130" s="789"/>
      <c r="D130" s="789"/>
      <c r="E130" s="789"/>
      <c r="F130" s="789"/>
      <c r="G130" s="789"/>
      <c r="H130" s="789"/>
      <c r="I130" s="789"/>
      <c r="J130" s="789"/>
    </row>
    <row r="131" spans="1:10" ht="20.100000000000001" customHeight="1" x14ac:dyDescent="0.2">
      <c r="A131" s="108"/>
      <c r="B131" s="786" t="s">
        <v>0</v>
      </c>
      <c r="C131" s="787"/>
      <c r="D131" s="788"/>
      <c r="E131" s="787" t="s">
        <v>1</v>
      </c>
      <c r="F131" s="787"/>
      <c r="G131" s="787"/>
      <c r="H131" s="786" t="s">
        <v>2</v>
      </c>
      <c r="I131" s="787"/>
      <c r="J131" s="788"/>
    </row>
    <row r="132" spans="1:10" ht="15.75" customHeight="1" x14ac:dyDescent="0.2">
      <c r="A132" s="105"/>
      <c r="B132" s="17">
        <v>45291</v>
      </c>
      <c r="C132" s="17">
        <v>45657</v>
      </c>
      <c r="D132" s="16" t="s">
        <v>3</v>
      </c>
      <c r="E132" s="17">
        <v>45291</v>
      </c>
      <c r="F132" s="17">
        <v>45657</v>
      </c>
      <c r="G132" s="16" t="s">
        <v>3</v>
      </c>
      <c r="H132" s="17">
        <v>45291</v>
      </c>
      <c r="I132" s="17">
        <v>45657</v>
      </c>
      <c r="J132" s="16" t="s">
        <v>3</v>
      </c>
    </row>
    <row r="133" spans="1:10" ht="15.75" customHeight="1" x14ac:dyDescent="0.2">
      <c r="A133" s="768"/>
      <c r="B133" s="12"/>
      <c r="C133" s="12"/>
      <c r="D133" s="14" t="s">
        <v>4</v>
      </c>
      <c r="E133" s="13"/>
      <c r="F133" s="13"/>
      <c r="G133" s="12" t="s">
        <v>4</v>
      </c>
      <c r="H133" s="13"/>
      <c r="I133" s="13"/>
      <c r="J133" s="12" t="s">
        <v>4</v>
      </c>
    </row>
    <row r="134" spans="1:10" s="35" customFormat="1" ht="15.75" customHeight="1" x14ac:dyDescent="0.2">
      <c r="A134" s="11" t="s">
        <v>408</v>
      </c>
      <c r="B134" s="180">
        <f>'Fremtind Livsforsikring'!B134+'DNB Livsforsikring'!B134+'Eika Forsikring AS'!B134+'Frende Livsforsikring'!B134+'Frende Skadeforsikring'!B134+'Gjensidige Forsikring'!B134+'Gjensidige Pensjon'!B134+'If Skadeforsikring NUF'!B134+KLP!B134+'KLP Skadeforsikring AS'!B134+'Landkreditt Forsikring'!B134+'Nordea Liv '!B134+'Oslo Pensjonsforsikring'!B134+'Protector Forsikring'!B134+'Sparebank 1 Forsikring'!B134+'Storebrand Livsforsikring'!B134+'Telenor Forsikring'!B134+'Tryg Forsikring'!B134+'WaterCircles F'!B134+'Euro Accident'!B134+'Ly Forsikring'!B134+'Youplus Livsforsikring'!B134+'Oslo Forsikring'!B134</f>
        <v>82394017.488010004</v>
      </c>
      <c r="C134" s="180">
        <f>'Fremtind Livsforsikring'!C134+'DNB Livsforsikring'!C134+'Eika Forsikring AS'!C134+'Frende Livsforsikring'!C134+'Frende Skadeforsikring'!C134+'Gjensidige Forsikring'!C134+'Gjensidige Pensjon'!C134+'If Skadeforsikring NUF'!C134+KLP!C134+'KLP Skadeforsikring AS'!C134+'Landkreditt Forsikring'!C134+'Nordea Liv '!C134+'Oslo Pensjonsforsikring'!C134+'Protector Forsikring'!C134+'Sparebank 1 Forsikring'!C134+'Storebrand Livsforsikring'!C134+'Telenor Forsikring'!C134+'Tryg Forsikring'!C134+'WaterCircles F'!C134+'Euro Accident'!C134+'Ly Forsikring'!C134+'Youplus Livsforsikring'!C134+'Oslo Forsikring'!C134</f>
        <v>70782245.241020009</v>
      </c>
      <c r="D134" s="8">
        <f t="shared" ref="D134:D137" si="46">IF(B134=0, "    ---- ", IF(ABS(ROUND(100/B134*C134-100,1))&lt;999,ROUND(100/B134*C134-100,1),IF(ROUND(100/B134*C134-100,1)&gt;999,999,-999)))</f>
        <v>-14.1</v>
      </c>
      <c r="E134" s="180">
        <f>'Fremtind Livsforsikring'!F134+'DNB Livsforsikring'!F134+'Eika Forsikring AS'!F134+'Frende Livsforsikring'!F134+'Frende Skadeforsikring'!F134+'Gjensidige Forsikring'!F134+'Gjensidige Pensjon'!F134+'If Skadeforsikring NUF'!F134+KLP!F134+'KLP Skadeforsikring AS'!F134+'Landkreditt Forsikring'!F134+'Nordea Liv '!F134+'Oslo Pensjonsforsikring'!F134+'Protector Forsikring'!F134+'Sparebank 1 Forsikring'!F134+'Storebrand Livsforsikring'!F134+'Telenor Forsikring'!F134+'Tryg Forsikring'!F134+'WaterCircles F'!F134+'Euro Accident'!F134+'Ly Forsikring'!F134+'Youplus Livsforsikring'!F134+'Oslo Forsikring'!F134</f>
        <v>240816.17</v>
      </c>
      <c r="F134" s="180">
        <f>'Fremtind Livsforsikring'!G134+'DNB Livsforsikring'!G134+'Eika Forsikring AS'!G134+'Frende Livsforsikring'!G134+'Frende Skadeforsikring'!G134+'Gjensidige Forsikring'!G134+'Gjensidige Pensjon'!G134+'If Skadeforsikring NUF'!G134+KLP!G134+'KLP Skadeforsikring AS'!G134+'Landkreditt Forsikring'!G134+'Nordea Liv '!G134+'Oslo Pensjonsforsikring'!G134+'Protector Forsikring'!G134+'Sparebank 1 Forsikring'!G134+'Storebrand Livsforsikring'!G134+'Telenor Forsikring'!G134+'Tryg Forsikring'!G134+'WaterCircles F'!G134+'Euro Accident'!G134+'Ly Forsikring'!G134+'Youplus Livsforsikring'!G134+'Oslo Forsikring'!G134</f>
        <v>212249.59526999999</v>
      </c>
      <c r="G134" s="8">
        <f t="shared" ref="G134:G136" si="47">IF(E134=0, "    ---- ", IF(ABS(ROUND(100/E134*F134-100,1))&lt;999,ROUND(100/E134*F134-100,1),IF(ROUND(100/E134*F134-100,1)&gt;999,999,-999)))</f>
        <v>-11.9</v>
      </c>
      <c r="H134" s="180">
        <f t="shared" ref="H134:I137" si="48">SUM(B134,E134)</f>
        <v>82634833.658010006</v>
      </c>
      <c r="I134" s="180">
        <f t="shared" si="48"/>
        <v>70994494.836290002</v>
      </c>
      <c r="J134" s="8">
        <f t="shared" ref="J134:J137" si="49">IF(H134=0, "    ---- ", IF(ABS(ROUND(100/H134*I134-100,1))&lt;999,ROUND(100/H134*I134-100,1),IF(ROUND(100/H134*I134-100,1)&gt;999,999,-999)))</f>
        <v>-14.1</v>
      </c>
    </row>
    <row r="135" spans="1:10" s="35" customFormat="1" ht="15.75" customHeight="1" x14ac:dyDescent="0.2">
      <c r="A135" s="10" t="s">
        <v>409</v>
      </c>
      <c r="B135" s="180">
        <f>'Fremtind Livsforsikring'!B135+'DNB Livsforsikring'!B135+'Eika Forsikring AS'!B135+'Frende Livsforsikring'!B135+'Frende Skadeforsikring'!B135+'Gjensidige Forsikring'!B135+'Gjensidige Pensjon'!B135+'If Skadeforsikring NUF'!B135+KLP!B135+'KLP Skadeforsikring AS'!B135+'Landkreditt Forsikring'!B135+'Nordea Liv '!B135+'Oslo Pensjonsforsikring'!B135+'Protector Forsikring'!B135+'Sparebank 1 Forsikring'!B135+'Storebrand Livsforsikring'!B135+'Telenor Forsikring'!B135+'Tryg Forsikring'!B135+'WaterCircles F'!B135+'Euro Accident'!B135+'Ly Forsikring'!B135+'Youplus Livsforsikring'!B135+'Oslo Forsikring'!B135</f>
        <v>825089505.16880989</v>
      </c>
      <c r="C135" s="180">
        <f>'Fremtind Livsforsikring'!C135+'DNB Livsforsikring'!C135+'Eika Forsikring AS'!C135+'Frende Livsforsikring'!C135+'Frende Skadeforsikring'!C135+'Gjensidige Forsikring'!C135+'Gjensidige Pensjon'!C135+'If Skadeforsikring NUF'!C135+KLP!C135+'KLP Skadeforsikring AS'!C135+'Landkreditt Forsikring'!C135+'Nordea Liv '!C135+'Oslo Pensjonsforsikring'!C135+'Protector Forsikring'!C135+'Sparebank 1 Forsikring'!C135+'Storebrand Livsforsikring'!C135+'Telenor Forsikring'!C135+'Tryg Forsikring'!C135+'WaterCircles F'!C135+'Euro Accident'!C135+'Ly Forsikring'!C135+'Youplus Livsforsikring'!C135+'Oslo Forsikring'!C135</f>
        <v>953621309.54842997</v>
      </c>
      <c r="D135" s="8">
        <f t="shared" si="46"/>
        <v>15.6</v>
      </c>
      <c r="E135" s="180">
        <f>'Fremtind Livsforsikring'!F135+'DNB Livsforsikring'!F135+'Eika Forsikring AS'!F135+'Frende Livsforsikring'!F135+'Frende Skadeforsikring'!F135+'Gjensidige Forsikring'!F135+'Gjensidige Pensjon'!F135+'If Skadeforsikring NUF'!F135+KLP!F135+'KLP Skadeforsikring AS'!F135+'Landkreditt Forsikring'!F135+'Nordea Liv '!F135+'Oslo Pensjonsforsikring'!F135+'Protector Forsikring'!F135+'Sparebank 1 Forsikring'!F135+'Storebrand Livsforsikring'!F135+'Telenor Forsikring'!F135+'Tryg Forsikring'!F135+'WaterCircles F'!F135+'Euro Accident'!F135+'Ly Forsikring'!F135+'Youplus Livsforsikring'!F135+'Oslo Forsikring'!F135</f>
        <v>2769122.9589300002</v>
      </c>
      <c r="F135" s="180">
        <f>'Fremtind Livsforsikring'!G135+'DNB Livsforsikring'!G135+'Eika Forsikring AS'!G135+'Frende Livsforsikring'!G135+'Frende Skadeforsikring'!G135+'Gjensidige Forsikring'!G135+'Gjensidige Pensjon'!G135+'If Skadeforsikring NUF'!G135+KLP!G135+'KLP Skadeforsikring AS'!G135+'Landkreditt Forsikring'!G135+'Nordea Liv '!G135+'Oslo Pensjonsforsikring'!G135+'Protector Forsikring'!G135+'Sparebank 1 Forsikring'!G135+'Storebrand Livsforsikring'!G135+'Telenor Forsikring'!G135+'Tryg Forsikring'!G135+'WaterCircles F'!G135+'Euro Accident'!G135+'Ly Forsikring'!G135+'Youplus Livsforsikring'!G135+'Oslo Forsikring'!G135</f>
        <v>2886767.1387900002</v>
      </c>
      <c r="G135" s="8">
        <f t="shared" si="47"/>
        <v>4.2</v>
      </c>
      <c r="H135" s="180">
        <f t="shared" si="48"/>
        <v>827858628.12773991</v>
      </c>
      <c r="I135" s="180">
        <f t="shared" si="48"/>
        <v>956508076.68721998</v>
      </c>
      <c r="J135" s="8">
        <f t="shared" si="49"/>
        <v>15.5</v>
      </c>
    </row>
    <row r="136" spans="1:10" s="35" customFormat="1" ht="15.75" customHeight="1" x14ac:dyDescent="0.2">
      <c r="A136" s="10" t="s">
        <v>410</v>
      </c>
      <c r="B136" s="180">
        <f>'Fremtind Livsforsikring'!B136+'DNB Livsforsikring'!B136+'Eika Forsikring AS'!B136+'Frende Livsforsikring'!B136+'Frende Skadeforsikring'!B136+'Gjensidige Forsikring'!B136+'Gjensidige Pensjon'!B136+'If Skadeforsikring NUF'!B136+KLP!B136+'KLP Skadeforsikring AS'!B136+'Landkreditt Forsikring'!B136+'Nordea Liv '!B136+'Oslo Pensjonsforsikring'!B136+'Protector Forsikring'!B136+'Sparebank 1 Forsikring'!B136+'Storebrand Livsforsikring'!B136+'Telenor Forsikring'!B136+'Tryg Forsikring'!B136+'WaterCircles F'!B136+'Euro Accident'!B136+'Ly Forsikring'!B136+'Youplus Livsforsikring'!B136+'Oslo Forsikring'!B136</f>
        <v>918742.10199999996</v>
      </c>
      <c r="C136" s="180">
        <f>'Fremtind Livsforsikring'!C136+'DNB Livsforsikring'!C136+'Eika Forsikring AS'!C136+'Frende Livsforsikring'!C136+'Frende Skadeforsikring'!C136+'Gjensidige Forsikring'!C136+'Gjensidige Pensjon'!C136+'If Skadeforsikring NUF'!C136+KLP!C136+'KLP Skadeforsikring AS'!C136+'Landkreditt Forsikring'!C136+'Nordea Liv '!C136+'Oslo Pensjonsforsikring'!C136+'Protector Forsikring'!C136+'Sparebank 1 Forsikring'!C136+'Storebrand Livsforsikring'!C136+'Telenor Forsikring'!C136+'Tryg Forsikring'!C136+'WaterCircles F'!C136+'Euro Accident'!C136+'Ly Forsikring'!C136+'Youplus Livsforsikring'!C136+'Oslo Forsikring'!C136</f>
        <v>2231569.9409999996</v>
      </c>
      <c r="D136" s="8">
        <f t="shared" si="46"/>
        <v>142.9</v>
      </c>
      <c r="E136" s="180">
        <f>'Fremtind Livsforsikring'!F136+'DNB Livsforsikring'!F136+'Eika Forsikring AS'!F136+'Frende Livsforsikring'!F136+'Frende Skadeforsikring'!F136+'Gjensidige Forsikring'!F136+'Gjensidige Pensjon'!F136+'If Skadeforsikring NUF'!F136+KLP!F136+'KLP Skadeforsikring AS'!F136+'Landkreditt Forsikring'!F136+'Nordea Liv '!F136+'Oslo Pensjonsforsikring'!F136+'Protector Forsikring'!F136+'Sparebank 1 Forsikring'!F136+'Storebrand Livsforsikring'!F136+'Telenor Forsikring'!F136+'Tryg Forsikring'!F136+'WaterCircles F'!F136+'Euro Accident'!F136+'Ly Forsikring'!F136+'Youplus Livsforsikring'!F136+'Oslo Forsikring'!F136</f>
        <v>81.662000000000006</v>
      </c>
      <c r="F136" s="180">
        <f>'Fremtind Livsforsikring'!G136+'DNB Livsforsikring'!G136+'Eika Forsikring AS'!G136+'Frende Livsforsikring'!G136+'Frende Skadeforsikring'!G136+'Gjensidige Forsikring'!G136+'Gjensidige Pensjon'!G136+'If Skadeforsikring NUF'!G136+KLP!G136+'KLP Skadeforsikring AS'!G136+'Landkreditt Forsikring'!G136+'Nordea Liv '!G136+'Oslo Pensjonsforsikring'!G136+'Protector Forsikring'!G136+'Sparebank 1 Forsikring'!G136+'Storebrand Livsforsikring'!G136+'Telenor Forsikring'!G136+'Tryg Forsikring'!G136+'WaterCircles F'!G136+'Euro Accident'!G136+'Ly Forsikring'!G136+'Youplus Livsforsikring'!G136+'Oslo Forsikring'!G136</f>
        <v>-1022.97</v>
      </c>
      <c r="G136" s="8">
        <f t="shared" si="47"/>
        <v>-999</v>
      </c>
      <c r="H136" s="180">
        <f t="shared" si="48"/>
        <v>918823.76399999997</v>
      </c>
      <c r="I136" s="180">
        <f t="shared" si="48"/>
        <v>2230546.9709999994</v>
      </c>
      <c r="J136" s="8">
        <f t="shared" si="49"/>
        <v>142.80000000000001</v>
      </c>
    </row>
    <row r="137" spans="1:10" s="35" customFormat="1" ht="15.75" customHeight="1" x14ac:dyDescent="0.2">
      <c r="A137" s="33" t="s">
        <v>411</v>
      </c>
      <c r="B137" s="214">
        <f>'Fremtind Livsforsikring'!B137+'DNB Livsforsikring'!B137+'Eika Forsikring AS'!B137+'Frende Livsforsikring'!B137+'Frende Skadeforsikring'!B137+'Gjensidige Forsikring'!B137+'Gjensidige Pensjon'!B137+'If Skadeforsikring NUF'!B137+KLP!B137+'KLP Skadeforsikring AS'!B137+'Landkreditt Forsikring'!B137+'Nordea Liv '!B137+'Oslo Pensjonsforsikring'!B137+'Protector Forsikring'!B137+'Sparebank 1 Forsikring'!B137+'Storebrand Livsforsikring'!B137+'Telenor Forsikring'!B137+'Tryg Forsikring'!B137+'WaterCircles F'!B137+'Euro Accident'!B137+'Ly Forsikring'!B137+'Youplus Livsforsikring'!B137+'Oslo Forsikring'!B137</f>
        <v>2140651.1</v>
      </c>
      <c r="C137" s="214">
        <f>'Fremtind Livsforsikring'!C137+'DNB Livsforsikring'!C137+'Eika Forsikring AS'!C137+'Frende Livsforsikring'!C137+'Frende Skadeforsikring'!C137+'Gjensidige Forsikring'!C137+'Gjensidige Pensjon'!C137+'If Skadeforsikring NUF'!C137+KLP!C137+'KLP Skadeforsikring AS'!C137+'Landkreditt Forsikring'!C137+'Nordea Liv '!C137+'Oslo Pensjonsforsikring'!C137+'Protector Forsikring'!C137+'Sparebank 1 Forsikring'!C137+'Storebrand Livsforsikring'!C137+'Telenor Forsikring'!C137+'Tryg Forsikring'!C137+'WaterCircles F'!C137+'Euro Accident'!C137+'Ly Forsikring'!C137+'Youplus Livsforsikring'!C137+'Oslo Forsikring'!C137</f>
        <v>2423007.9249999998</v>
      </c>
      <c r="D137" s="6">
        <f t="shared" si="46"/>
        <v>13.2</v>
      </c>
      <c r="E137" s="214"/>
      <c r="F137" s="214"/>
      <c r="G137" s="6"/>
      <c r="H137" s="214">
        <f t="shared" si="48"/>
        <v>2140651.1</v>
      </c>
      <c r="I137" s="214">
        <f t="shared" si="48"/>
        <v>2423007.9249999998</v>
      </c>
      <c r="J137" s="6">
        <f t="shared" si="49"/>
        <v>13.2</v>
      </c>
    </row>
    <row r="138" spans="1:10" ht="15.75" customHeight="1" x14ac:dyDescent="0.2">
      <c r="A138" s="5"/>
      <c r="G138" s="4"/>
      <c r="J138" s="4"/>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A50:A52">
    <cfRule type="expression" dxfId="1334" priority="58">
      <formula>kvartal &lt; 4</formula>
    </cfRule>
  </conditionalFormatting>
  <conditionalFormatting sqref="A69:A74">
    <cfRule type="expression" dxfId="1333" priority="56">
      <formula>kvartal &lt; 4</formula>
    </cfRule>
  </conditionalFormatting>
  <conditionalFormatting sqref="A80:A85">
    <cfRule type="expression" dxfId="1332" priority="55">
      <formula>kvartal &lt; 4</formula>
    </cfRule>
  </conditionalFormatting>
  <conditionalFormatting sqref="A90:A95">
    <cfRule type="expression" dxfId="1331" priority="52">
      <formula>kvartal &lt; 4</formula>
    </cfRule>
  </conditionalFormatting>
  <conditionalFormatting sqref="A101:A106">
    <cfRule type="expression" dxfId="1330" priority="51">
      <formula>kvartal &lt; 4</formula>
    </cfRule>
  </conditionalFormatting>
  <conditionalFormatting sqref="A115">
    <cfRule type="expression" dxfId="1329" priority="50">
      <formula>kvartal &lt; 4</formula>
    </cfRule>
  </conditionalFormatting>
  <conditionalFormatting sqref="A123">
    <cfRule type="expression" dxfId="1328" priority="49">
      <formula>kvartal &lt; 4</formula>
    </cfRule>
  </conditionalFormatting>
  <conditionalFormatting sqref="B50:C52">
    <cfRule type="expression" dxfId="1327" priority="17">
      <formula>kvartal&lt;4</formula>
    </cfRule>
  </conditionalFormatting>
  <conditionalFormatting sqref="B69:C69">
    <cfRule type="expression" dxfId="1326" priority="16">
      <formula>kvartal&lt;4</formula>
    </cfRule>
  </conditionalFormatting>
  <conditionalFormatting sqref="B72:C72">
    <cfRule type="expression" dxfId="1325" priority="15">
      <formula>kvartal&lt;4</formula>
    </cfRule>
  </conditionalFormatting>
  <conditionalFormatting sqref="B80:C80">
    <cfRule type="expression" dxfId="1324" priority="14">
      <formula>kvartal&lt;4</formula>
    </cfRule>
  </conditionalFormatting>
  <conditionalFormatting sqref="B83:C83">
    <cfRule type="expression" dxfId="1323" priority="13">
      <formula>kvartal&lt;4</formula>
    </cfRule>
  </conditionalFormatting>
  <conditionalFormatting sqref="B90:C90">
    <cfRule type="expression" dxfId="1322" priority="12">
      <formula>kvartal&lt;4</formula>
    </cfRule>
  </conditionalFormatting>
  <conditionalFormatting sqref="B93:C93">
    <cfRule type="expression" dxfId="1321" priority="11">
      <formula>kvartal&lt;4</formula>
    </cfRule>
  </conditionalFormatting>
  <conditionalFormatting sqref="B101:C101">
    <cfRule type="expression" dxfId="1320" priority="10">
      <formula>kvartal&lt;4</formula>
    </cfRule>
  </conditionalFormatting>
  <conditionalFormatting sqref="B104:C104">
    <cfRule type="expression" dxfId="1319" priority="9">
      <formula>kvartal&lt;4</formula>
    </cfRule>
  </conditionalFormatting>
  <conditionalFormatting sqref="B115:C115">
    <cfRule type="expression" dxfId="1318" priority="8">
      <formula>kvartal&lt;4</formula>
    </cfRule>
  </conditionalFormatting>
  <conditionalFormatting sqref="B123:C123">
    <cfRule type="expression" dxfId="1317" priority="7">
      <formula>kvartal&lt;4</formula>
    </cfRule>
  </conditionalFormatting>
  <conditionalFormatting sqref="E69:F74">
    <cfRule type="expression" dxfId="1316" priority="6">
      <formula>kvartal&lt;4</formula>
    </cfRule>
  </conditionalFormatting>
  <conditionalFormatting sqref="E83:F85">
    <cfRule type="expression" dxfId="1315" priority="5">
      <formula>kvartal&lt;4</formula>
    </cfRule>
  </conditionalFormatting>
  <conditionalFormatting sqref="E90:F95">
    <cfRule type="expression" dxfId="1314" priority="4">
      <formula>kvartal&lt;4</formula>
    </cfRule>
  </conditionalFormatting>
  <conditionalFormatting sqref="E101:F106">
    <cfRule type="expression" dxfId="1313" priority="3">
      <formula>kvartal&lt;4</formula>
    </cfRule>
  </conditionalFormatting>
  <conditionalFormatting sqref="E115:F115">
    <cfRule type="expression" dxfId="1312" priority="2">
      <formula>kvartal&lt;4</formula>
    </cfRule>
  </conditionalFormatting>
  <conditionalFormatting sqref="E123:F123">
    <cfRule type="expression" dxfId="1311" priority="1">
      <formula>kvartal&lt;4</formula>
    </cfRule>
  </conditionalFormatting>
  <conditionalFormatting sqref="H69:I74">
    <cfRule type="expression" dxfId="1310" priority="72">
      <formula>kvartal&lt;4</formula>
    </cfRule>
  </conditionalFormatting>
  <conditionalFormatting sqref="H80:I85">
    <cfRule type="expression" dxfId="1309" priority="69">
      <formula>kvartal&lt;4</formula>
    </cfRule>
  </conditionalFormatting>
  <conditionalFormatting sqref="H90:I95">
    <cfRule type="expression" dxfId="1308" priority="65">
      <formula>kvartal&lt;4</formula>
    </cfRule>
  </conditionalFormatting>
  <conditionalFormatting sqref="H101:I106">
    <cfRule type="expression" dxfId="1307" priority="64">
      <formula>kvartal&lt;4</formula>
    </cfRule>
  </conditionalFormatting>
  <conditionalFormatting sqref="H115:I115">
    <cfRule type="expression" dxfId="1306" priority="63">
      <formula>kvartal&lt;4</formula>
    </cfRule>
  </conditionalFormatting>
  <conditionalFormatting sqref="H123:I123">
    <cfRule type="expression" dxfId="1305" priority="6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7" x14ac:dyDescent="0.2">
      <c r="A1" s="126" t="s">
        <v>124</v>
      </c>
      <c r="B1" s="766"/>
      <c r="C1" s="192" t="s">
        <v>79</v>
      </c>
    </row>
    <row r="2" spans="1:17" ht="15.75" x14ac:dyDescent="0.25">
      <c r="A2" s="110" t="s">
        <v>28</v>
      </c>
      <c r="B2" s="794"/>
      <c r="C2" s="794"/>
      <c r="D2" s="794"/>
      <c r="E2" s="236"/>
      <c r="F2" s="794"/>
      <c r="G2" s="794"/>
      <c r="H2" s="794"/>
      <c r="I2" s="236"/>
      <c r="J2" s="794"/>
      <c r="K2" s="794"/>
      <c r="L2" s="794"/>
      <c r="M2" s="236"/>
    </row>
    <row r="3" spans="1:17" ht="15.75" x14ac:dyDescent="0.25">
      <c r="A3" s="120"/>
      <c r="B3" s="236"/>
      <c r="C3" s="236"/>
      <c r="D3" s="236"/>
      <c r="E3" s="236"/>
      <c r="F3" s="236"/>
      <c r="G3" s="236"/>
      <c r="H3" s="236"/>
      <c r="I3" s="236"/>
      <c r="J3" s="236"/>
      <c r="K3" s="236"/>
      <c r="L3" s="236"/>
      <c r="M3" s="236"/>
    </row>
    <row r="4" spans="1:17" x14ac:dyDescent="0.2">
      <c r="A4" s="108"/>
      <c r="B4" s="790" t="s">
        <v>0</v>
      </c>
      <c r="C4" s="791"/>
      <c r="D4" s="791"/>
      <c r="E4" s="238"/>
      <c r="F4" s="790" t="s">
        <v>1</v>
      </c>
      <c r="G4" s="791"/>
      <c r="H4" s="791"/>
      <c r="I4" s="240"/>
      <c r="J4" s="790" t="s">
        <v>2</v>
      </c>
      <c r="K4" s="791"/>
      <c r="L4" s="791"/>
      <c r="M4" s="240"/>
    </row>
    <row r="5" spans="1:17"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7" x14ac:dyDescent="0.2">
      <c r="A6" s="767"/>
      <c r="B6" s="115"/>
      <c r="C6" s="115"/>
      <c r="D6" s="190" t="s">
        <v>4</v>
      </c>
      <c r="E6" s="115" t="s">
        <v>30</v>
      </c>
      <c r="F6" s="119"/>
      <c r="G6" s="119"/>
      <c r="H6" s="189" t="s">
        <v>4</v>
      </c>
      <c r="I6" s="115" t="s">
        <v>30</v>
      </c>
      <c r="J6" s="119"/>
      <c r="K6" s="119"/>
      <c r="L6" s="189" t="s">
        <v>4</v>
      </c>
      <c r="M6" s="115" t="s">
        <v>30</v>
      </c>
    </row>
    <row r="7" spans="1:17" ht="15.75" x14ac:dyDescent="0.2">
      <c r="A7" s="11" t="s">
        <v>23</v>
      </c>
      <c r="B7" s="242">
        <v>169012</v>
      </c>
      <c r="C7" s="243">
        <v>139439</v>
      </c>
      <c r="D7" s="278">
        <f>IF(B7=0, "    ---- ", IF(ABS(ROUND(100/B7*C7-100,1))&lt;999,ROUND(100/B7*C7-100,1),IF(ROUND(100/B7*C7-100,1)&gt;999,999,-999)))</f>
        <v>-17.5</v>
      </c>
      <c r="E7" s="8">
        <f>IFERROR(100/'Skjema total MA'!C7*C7,0)</f>
        <v>2.5242404349251357</v>
      </c>
      <c r="F7" s="242">
        <v>454611</v>
      </c>
      <c r="G7" s="243">
        <v>499859</v>
      </c>
      <c r="H7" s="278">
        <f>IF(F7=0, "    ---- ", IF(ABS(ROUND(100/F7*G7-100,1))&lt;999,ROUND(100/F7*G7-100,1),IF(ROUND(100/F7*G7-100,1)&gt;999,999,-999)))</f>
        <v>10</v>
      </c>
      <c r="I7" s="118">
        <f>IFERROR(100/'Skjema total MA'!F7*G7,0)</f>
        <v>3.5168243884492405</v>
      </c>
      <c r="J7" s="244">
        <f t="shared" ref="J7:K12" si="0">SUM(B7,F7)</f>
        <v>623623</v>
      </c>
      <c r="K7" s="245">
        <f t="shared" si="0"/>
        <v>639298</v>
      </c>
      <c r="L7" s="338">
        <f>IF(J7=0, "    ---- ", IF(ABS(ROUND(100/J7*K7-100,1))&lt;999,ROUND(100/J7*K7-100,1),IF(ROUND(100/J7*K7-100,1)&gt;999,999,-999)))</f>
        <v>2.5</v>
      </c>
      <c r="M7" s="8">
        <f>IFERROR(100/'Skjema total MA'!I7*K7,0)</f>
        <v>3.2390247294906902</v>
      </c>
    </row>
    <row r="8" spans="1:17" ht="15.75" x14ac:dyDescent="0.2">
      <c r="A8" s="18" t="s">
        <v>25</v>
      </c>
      <c r="B8" s="219">
        <v>27658</v>
      </c>
      <c r="C8" s="220">
        <v>25053</v>
      </c>
      <c r="D8" s="121">
        <f t="shared" ref="D8:D12" si="1">IF(B8=0, "    ---- ", IF(ABS(ROUND(100/B8*C8-100,1))&lt;999,ROUND(100/B8*C8-100,1),IF(ROUND(100/B8*C8-100,1)&gt;999,999,-999)))</f>
        <v>-9.4</v>
      </c>
      <c r="E8" s="23">
        <f>IFERROR(100/'Skjema total MA'!C8*C8,0)</f>
        <v>0.68301693616585979</v>
      </c>
      <c r="F8" s="223"/>
      <c r="G8" s="224"/>
      <c r="H8" s="121"/>
      <c r="I8" s="129"/>
      <c r="J8" s="178">
        <f t="shared" si="0"/>
        <v>27658</v>
      </c>
      <c r="K8" s="225">
        <f t="shared" si="0"/>
        <v>25053</v>
      </c>
      <c r="L8" s="121">
        <f t="shared" ref="L8:L9" si="2">IF(J8=0, "    ---- ", IF(ABS(ROUND(100/J8*K8-100,1))&lt;999,ROUND(100/J8*K8-100,1),IF(ROUND(100/J8*K8-100,1)&gt;999,999,-999)))</f>
        <v>-9.4</v>
      </c>
      <c r="M8" s="23">
        <f>IFERROR(100/'Skjema total MA'!I8*K8,0)</f>
        <v>0.68301693616585979</v>
      </c>
    </row>
    <row r="9" spans="1:17" ht="15.75" x14ac:dyDescent="0.2">
      <c r="A9" s="18" t="s">
        <v>24</v>
      </c>
      <c r="B9" s="219">
        <v>20624</v>
      </c>
      <c r="C9" s="220">
        <v>18551</v>
      </c>
      <c r="D9" s="121">
        <f t="shared" si="1"/>
        <v>-10.1</v>
      </c>
      <c r="E9" s="23">
        <f>IFERROR(100/'Skjema total MA'!C9*C9,0)</f>
        <v>1.7011338990862002</v>
      </c>
      <c r="F9" s="223"/>
      <c r="G9" s="224"/>
      <c r="H9" s="121"/>
      <c r="I9" s="129"/>
      <c r="J9" s="178">
        <f t="shared" si="0"/>
        <v>20624</v>
      </c>
      <c r="K9" s="225">
        <f t="shared" si="0"/>
        <v>18551</v>
      </c>
      <c r="L9" s="121">
        <f t="shared" si="2"/>
        <v>-10.1</v>
      </c>
      <c r="M9" s="23">
        <f>IFERROR(100/'Skjema total MA'!I9*K9,0)</f>
        <v>1.7011338990862002</v>
      </c>
    </row>
    <row r="10" spans="1:17" ht="15.75" x14ac:dyDescent="0.2">
      <c r="A10" s="10" t="s">
        <v>386</v>
      </c>
      <c r="B10" s="246">
        <v>6812883</v>
      </c>
      <c r="C10" s="247">
        <v>5868734</v>
      </c>
      <c r="D10" s="125">
        <f t="shared" si="1"/>
        <v>-13.9</v>
      </c>
      <c r="E10" s="8">
        <f>IFERROR(100/'Skjema total MA'!C10*C10,0)</f>
        <v>38.362392712631369</v>
      </c>
      <c r="F10" s="246">
        <v>7966752.9019999998</v>
      </c>
      <c r="G10" s="247">
        <v>9237392.3010410406</v>
      </c>
      <c r="H10" s="125">
        <f t="shared" ref="H10:H12" si="3">IF(F10=0, "    ---- ", IF(ABS(ROUND(100/F10*G10-100,1))&lt;999,ROUND(100/F10*G10-100,1),IF(ROUND(100/F10*G10-100,1)&gt;999,999,-999)))</f>
        <v>15.9</v>
      </c>
      <c r="I10" s="118">
        <f>IFERROR(100/'Skjema total MA'!F10*G10,0)</f>
        <v>9.0781068021446742</v>
      </c>
      <c r="J10" s="244">
        <f t="shared" si="0"/>
        <v>14779635.901999999</v>
      </c>
      <c r="K10" s="245">
        <f t="shared" si="0"/>
        <v>15106126.301041041</v>
      </c>
      <c r="L10" s="339">
        <f t="shared" ref="L10:L12" si="4">IF(J10=0, "    ---- ", IF(ABS(ROUND(100/J10*K10-100,1))&lt;999,ROUND(100/J10*K10-100,1),IF(ROUND(100/J10*K10-100,1)&gt;999,999,-999)))</f>
        <v>2.2000000000000002</v>
      </c>
      <c r="M10" s="8">
        <f>IFERROR(100/'Skjema total MA'!I10*K10,0)</f>
        <v>12.905400025058022</v>
      </c>
      <c r="Q10" s="22"/>
    </row>
    <row r="11" spans="1:17" s="35" customFormat="1" ht="15.75" x14ac:dyDescent="0.2">
      <c r="A11" s="10" t="s">
        <v>387</v>
      </c>
      <c r="B11" s="246">
        <v>26026</v>
      </c>
      <c r="C11" s="247">
        <v>1517</v>
      </c>
      <c r="D11" s="125">
        <f t="shared" si="1"/>
        <v>-94.2</v>
      </c>
      <c r="E11" s="8">
        <f>IFERROR(100/'Skjema total MA'!C11*C11,0)</f>
        <v>100</v>
      </c>
      <c r="F11" s="246">
        <v>31324</v>
      </c>
      <c r="G11" s="247">
        <v>82497</v>
      </c>
      <c r="H11" s="125">
        <f t="shared" si="3"/>
        <v>163.4</v>
      </c>
      <c r="I11" s="118">
        <f>IFERROR(100/'Skjema total MA'!F11*G11,0)</f>
        <v>20.839451654659399</v>
      </c>
      <c r="J11" s="244">
        <f t="shared" si="0"/>
        <v>57350</v>
      </c>
      <c r="K11" s="245">
        <f t="shared" si="0"/>
        <v>84014</v>
      </c>
      <c r="L11" s="339">
        <f t="shared" si="4"/>
        <v>46.5</v>
      </c>
      <c r="M11" s="8">
        <f>IFERROR(100/'Skjema total MA'!I11*K11,0)</f>
        <v>21.141642594189403</v>
      </c>
      <c r="N11" s="107"/>
    </row>
    <row r="12" spans="1:17" s="35" customFormat="1" ht="15.75" x14ac:dyDescent="0.2">
      <c r="A12" s="33" t="s">
        <v>388</v>
      </c>
      <c r="B12" s="248">
        <v>3039</v>
      </c>
      <c r="C12" s="249">
        <v>1579</v>
      </c>
      <c r="D12" s="123">
        <f t="shared" si="1"/>
        <v>-48</v>
      </c>
      <c r="E12" s="30">
        <f>IFERROR(100/'Skjema total MA'!C12*C12,0)</f>
        <v>100</v>
      </c>
      <c r="F12" s="248">
        <v>40819</v>
      </c>
      <c r="G12" s="249">
        <v>72981</v>
      </c>
      <c r="H12" s="123">
        <f t="shared" si="3"/>
        <v>78.8</v>
      </c>
      <c r="I12" s="123">
        <f>IFERROR(100/'Skjema total MA'!F12*G12,0)</f>
        <v>18.704794308264443</v>
      </c>
      <c r="J12" s="250">
        <f t="shared" si="0"/>
        <v>43858</v>
      </c>
      <c r="K12" s="251">
        <f t="shared" si="0"/>
        <v>74560</v>
      </c>
      <c r="L12" s="340">
        <f t="shared" si="4"/>
        <v>70</v>
      </c>
      <c r="M12" s="30">
        <f>IFERROR(100/'Skjema total MA'!I12*K12,0)</f>
        <v>19.032463930393757</v>
      </c>
      <c r="N12" s="107"/>
      <c r="Q12" s="107"/>
    </row>
    <row r="13" spans="1:17" s="35" customFormat="1" x14ac:dyDescent="0.2">
      <c r="A13" s="107"/>
      <c r="B13" s="109"/>
      <c r="C13" s="27"/>
      <c r="D13" s="117"/>
      <c r="E13" s="117"/>
      <c r="F13" s="109"/>
      <c r="G13" s="27"/>
      <c r="H13" s="117"/>
      <c r="I13" s="117"/>
      <c r="J13" s="38"/>
      <c r="K13" s="38"/>
      <c r="L13" s="117"/>
      <c r="M13" s="117"/>
      <c r="N13" s="107"/>
    </row>
    <row r="14" spans="1:17" x14ac:dyDescent="0.2">
      <c r="A14" s="113" t="s">
        <v>244</v>
      </c>
    </row>
    <row r="16" spans="1:17"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259576</v>
      </c>
      <c r="C22" s="246">
        <v>270186</v>
      </c>
      <c r="D22" s="278">
        <f t="shared" ref="D22:D37" si="5">IF(B22=0, "    ---- ", IF(ABS(ROUND(100/B22*C22-100,1))&lt;999,ROUND(100/B22*C22-100,1),IF(ROUND(100/B22*C22-100,1)&gt;999,999,-999)))</f>
        <v>4.0999999999999996</v>
      </c>
      <c r="E22" s="8">
        <f>IFERROR(100/'Skjema total MA'!C22*C22,0)</f>
        <v>11.094178942137139</v>
      </c>
      <c r="F22" s="254">
        <v>21768</v>
      </c>
      <c r="G22" s="254">
        <v>20376</v>
      </c>
      <c r="H22" s="278">
        <f t="shared" ref="H22:H35" si="6">IF(F22=0, "    ---- ", IF(ABS(ROUND(100/F22*G22-100,1))&lt;999,ROUND(100/F22*G22-100,1),IF(ROUND(100/F22*G22-100,1)&gt;999,999,-999)))</f>
        <v>-6.4</v>
      </c>
      <c r="I22" s="8">
        <f>IFERROR(100/'Skjema total MA'!F22*G22,0)</f>
        <v>1.9973673834281849</v>
      </c>
      <c r="J22" s="252">
        <f t="shared" ref="J22:K35" si="7">SUM(B22,F22)</f>
        <v>281344</v>
      </c>
      <c r="K22" s="252">
        <f t="shared" si="7"/>
        <v>290562</v>
      </c>
      <c r="L22" s="338">
        <f t="shared" ref="L22:L35" si="8">IF(J22=0, "    ---- ", IF(ABS(ROUND(100/J22*K22-100,1))&lt;999,ROUND(100/J22*K22-100,1),IF(ROUND(100/J22*K22-100,1)&gt;999,999,-999)))</f>
        <v>3.3</v>
      </c>
      <c r="M22" s="21">
        <f>IFERROR(100/'Skjema total MA'!I22*K22,0)</f>
        <v>8.4086134467066458</v>
      </c>
    </row>
    <row r="23" spans="1:13" ht="15.75" x14ac:dyDescent="0.2">
      <c r="A23" s="379" t="s">
        <v>389</v>
      </c>
      <c r="B23" s="219">
        <v>226484</v>
      </c>
      <c r="C23" s="219">
        <v>242069</v>
      </c>
      <c r="D23" s="121">
        <f t="shared" si="5"/>
        <v>6.9</v>
      </c>
      <c r="E23" s="8">
        <f>IFERROR(100/'Skjema total MA'!C23*C23,0)</f>
        <v>16.734192071091112</v>
      </c>
      <c r="F23" s="228">
        <v>14041</v>
      </c>
      <c r="G23" s="228">
        <v>13188</v>
      </c>
      <c r="H23" s="121">
        <f t="shared" si="6"/>
        <v>-6.1</v>
      </c>
      <c r="I23" s="331">
        <f>IFERROR(100/'Skjema total MA'!F23*G23,0)</f>
        <v>27.604834057565249</v>
      </c>
      <c r="J23" s="228">
        <f t="shared" ref="J23:J25" si="9">SUM(B23,F23)</f>
        <v>240525</v>
      </c>
      <c r="K23" s="228">
        <f t="shared" ref="K23:K25" si="10">SUM(C23,G23)</f>
        <v>255257</v>
      </c>
      <c r="L23" s="121">
        <f t="shared" si="8"/>
        <v>6.1</v>
      </c>
      <c r="M23" s="20">
        <f>IFERROR(100/'Skjema total MA'!I23*K23,0)</f>
        <v>17.081730795757124</v>
      </c>
    </row>
    <row r="24" spans="1:13" ht="15.75" x14ac:dyDescent="0.2">
      <c r="A24" s="379" t="s">
        <v>390</v>
      </c>
      <c r="B24" s="219">
        <v>12139</v>
      </c>
      <c r="C24" s="219">
        <v>7363</v>
      </c>
      <c r="D24" s="121">
        <f t="shared" si="5"/>
        <v>-39.299999999999997</v>
      </c>
      <c r="E24" s="8">
        <f>IFERROR(100/'Skjema total MA'!C24*C24,0)</f>
        <v>61.811683574350916</v>
      </c>
      <c r="F24" s="228">
        <v>186</v>
      </c>
      <c r="G24" s="228">
        <v>194</v>
      </c>
      <c r="H24" s="121">
        <f t="shared" si="6"/>
        <v>4.3</v>
      </c>
      <c r="I24" s="331">
        <f>IFERROR(100/'Skjema total MA'!F24*G24,0)</f>
        <v>19.260727031089086</v>
      </c>
      <c r="J24" s="228">
        <f t="shared" si="9"/>
        <v>12325</v>
      </c>
      <c r="K24" s="228">
        <f t="shared" si="10"/>
        <v>7557</v>
      </c>
      <c r="L24" s="121">
        <f t="shared" si="8"/>
        <v>-38.700000000000003</v>
      </c>
      <c r="M24" s="20">
        <f>IFERROR(100/'Skjema total MA'!I24*K24,0)</f>
        <v>58.494250722206104</v>
      </c>
    </row>
    <row r="25" spans="1:13" ht="15.75" x14ac:dyDescent="0.2">
      <c r="A25" s="379" t="s">
        <v>391</v>
      </c>
      <c r="B25" s="219">
        <v>20953</v>
      </c>
      <c r="C25" s="219">
        <v>20754</v>
      </c>
      <c r="D25" s="121">
        <f t="shared" si="5"/>
        <v>-0.9</v>
      </c>
      <c r="E25" s="8">
        <f>IFERROR(100/'Skjema total MA'!C25*C25,0)</f>
        <v>100</v>
      </c>
      <c r="F25" s="228">
        <v>7541</v>
      </c>
      <c r="G25" s="228">
        <v>6994</v>
      </c>
      <c r="H25" s="121">
        <f t="shared" si="6"/>
        <v>-7.3</v>
      </c>
      <c r="I25" s="331">
        <f>IFERROR(100/'Skjema total MA'!F25*G25,0)</f>
        <v>46.674563481383757</v>
      </c>
      <c r="J25" s="228">
        <f t="shared" si="9"/>
        <v>28494</v>
      </c>
      <c r="K25" s="228">
        <f t="shared" si="10"/>
        <v>27748</v>
      </c>
      <c r="L25" s="121">
        <f t="shared" si="8"/>
        <v>-2.6</v>
      </c>
      <c r="M25" s="20">
        <f>IFERROR(100/'Skjema total MA'!I25*K25,0)</f>
        <v>77.641525996569897</v>
      </c>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104672</v>
      </c>
      <c r="C28" s="225">
        <v>0</v>
      </c>
      <c r="D28" s="121">
        <f t="shared" si="5"/>
        <v>-100</v>
      </c>
      <c r="E28" s="8">
        <f>IFERROR(100/'Skjema total MA'!C28*C28,0)</f>
        <v>0</v>
      </c>
      <c r="F28" s="178"/>
      <c r="G28" s="225"/>
      <c r="H28" s="121"/>
      <c r="I28" s="23"/>
      <c r="J28" s="36">
        <f t="shared" si="7"/>
        <v>104672</v>
      </c>
      <c r="K28" s="36">
        <f t="shared" si="7"/>
        <v>0</v>
      </c>
      <c r="L28" s="198">
        <f t="shared" si="8"/>
        <v>-100</v>
      </c>
      <c r="M28" s="20">
        <f>IFERROR(100/'Skjema total MA'!I28*K28,0)</f>
        <v>0</v>
      </c>
    </row>
    <row r="29" spans="1:13" ht="15.75" x14ac:dyDescent="0.2">
      <c r="A29" s="10" t="s">
        <v>386</v>
      </c>
      <c r="B29" s="180">
        <v>20006315</v>
      </c>
      <c r="C29" s="180">
        <v>19160256</v>
      </c>
      <c r="D29" s="125">
        <f t="shared" si="5"/>
        <v>-4.2</v>
      </c>
      <c r="E29" s="8">
        <f>IFERROR(100/'Skjema total MA'!C29*C29,0)</f>
        <v>44.005020601227109</v>
      </c>
      <c r="F29" s="244">
        <v>4688730.2570000002</v>
      </c>
      <c r="G29" s="244">
        <v>5016289.6900000004</v>
      </c>
      <c r="H29" s="125">
        <f t="shared" si="6"/>
        <v>7</v>
      </c>
      <c r="I29" s="8">
        <f>IFERROR(100/'Skjema total MA'!F29*G29,0)</f>
        <v>16.896316516947792</v>
      </c>
      <c r="J29" s="180">
        <f t="shared" si="7"/>
        <v>24695045.256999999</v>
      </c>
      <c r="K29" s="180">
        <f t="shared" si="7"/>
        <v>24176545.690000001</v>
      </c>
      <c r="L29" s="339">
        <f t="shared" si="8"/>
        <v>-2.1</v>
      </c>
      <c r="M29" s="21">
        <f>IFERROR(100/'Skjema total MA'!I29*K29,0)</f>
        <v>33.014660632675849</v>
      </c>
    </row>
    <row r="30" spans="1:13" ht="15.75" x14ac:dyDescent="0.2">
      <c r="A30" s="379" t="s">
        <v>389</v>
      </c>
      <c r="B30" s="219">
        <v>4539784.8068084205</v>
      </c>
      <c r="C30" s="219">
        <v>3733809.318</v>
      </c>
      <c r="D30" s="121">
        <f t="shared" si="5"/>
        <v>-17.8</v>
      </c>
      <c r="E30" s="8">
        <f>IFERROR(100/'Skjema total MA'!C30*C30,0)</f>
        <v>20.798731682443261</v>
      </c>
      <c r="F30" s="228">
        <v>1521957.774</v>
      </c>
      <c r="G30" s="228">
        <v>1645489.1540000001</v>
      </c>
      <c r="H30" s="121">
        <f t="shared" si="6"/>
        <v>8.1</v>
      </c>
      <c r="I30" s="331">
        <f>IFERROR(100/'Skjema total MA'!F30*G30,0)</f>
        <v>43.517502989650573</v>
      </c>
      <c r="J30" s="228">
        <f t="shared" ref="J30:J32" si="11">SUM(B30,F30)</f>
        <v>6061742.5808084207</v>
      </c>
      <c r="K30" s="228">
        <f t="shared" ref="K30:K32" si="12">SUM(C30,G30)</f>
        <v>5379298.4720000001</v>
      </c>
      <c r="L30" s="121">
        <f t="shared" si="8"/>
        <v>-11.3</v>
      </c>
      <c r="M30" s="20">
        <f>IFERROR(100/'Skjema total MA'!I30*K30,0)</f>
        <v>24.75139621145037</v>
      </c>
    </row>
    <row r="31" spans="1:13" ht="15.75" x14ac:dyDescent="0.2">
      <c r="A31" s="379" t="s">
        <v>390</v>
      </c>
      <c r="B31" s="219">
        <v>13938587.437212201</v>
      </c>
      <c r="C31" s="219">
        <v>14057317.875</v>
      </c>
      <c r="D31" s="121">
        <f t="shared" si="5"/>
        <v>0.9</v>
      </c>
      <c r="E31" s="8">
        <f>IFERROR(100/'Skjema total MA'!C31*C31,0)</f>
        <v>60.777276885455109</v>
      </c>
      <c r="F31" s="228">
        <v>2633844.6630000002</v>
      </c>
      <c r="G31" s="228">
        <v>2763687.7659999998</v>
      </c>
      <c r="H31" s="121">
        <f t="shared" si="6"/>
        <v>4.9000000000000004</v>
      </c>
      <c r="I31" s="331">
        <f>IFERROR(100/'Skjema total MA'!F31*G31,0)</f>
        <v>36.330710771142158</v>
      </c>
      <c r="J31" s="228">
        <f t="shared" si="11"/>
        <v>16572432.100212201</v>
      </c>
      <c r="K31" s="228">
        <f t="shared" si="12"/>
        <v>16821005.640999999</v>
      </c>
      <c r="L31" s="121">
        <f t="shared" si="8"/>
        <v>1.5</v>
      </c>
      <c r="M31" s="20">
        <f>IFERROR(100/'Skjema total MA'!I31*K31,0)</f>
        <v>54.726907404222025</v>
      </c>
    </row>
    <row r="32" spans="1:13" ht="15.75" x14ac:dyDescent="0.2">
      <c r="A32" s="379" t="s">
        <v>391</v>
      </c>
      <c r="B32" s="219">
        <v>1527942.7559793999</v>
      </c>
      <c r="C32" s="219">
        <v>1369128.807</v>
      </c>
      <c r="D32" s="121">
        <f t="shared" si="5"/>
        <v>-10.4</v>
      </c>
      <c r="E32" s="8">
        <f>IFERROR(100/'Skjema total MA'!C32*C32,0)</f>
        <v>59.094262731728783</v>
      </c>
      <c r="F32" s="228">
        <v>532927.81999999995</v>
      </c>
      <c r="G32" s="228">
        <v>607112.77</v>
      </c>
      <c r="H32" s="121">
        <f t="shared" si="6"/>
        <v>13.9</v>
      </c>
      <c r="I32" s="331">
        <f>IFERROR(100/'Skjema total MA'!F32*G32,0)</f>
        <v>8.8337305819805731</v>
      </c>
      <c r="J32" s="228">
        <f t="shared" si="11"/>
        <v>2060870.5759794</v>
      </c>
      <c r="K32" s="228">
        <f t="shared" si="12"/>
        <v>1976241.577</v>
      </c>
      <c r="L32" s="121">
        <f t="shared" si="8"/>
        <v>-4.0999999999999996</v>
      </c>
      <c r="M32" s="20">
        <f>IFERROR(100/'Skjema total MA'!I32*K32,0)</f>
        <v>21.50538086426117</v>
      </c>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v>11426</v>
      </c>
      <c r="C34" s="245">
        <v>5277</v>
      </c>
      <c r="D34" s="125">
        <f t="shared" si="5"/>
        <v>-53.8</v>
      </c>
      <c r="E34" s="8">
        <f>IFERROR(100/'Skjema total MA'!C34*C34,0)</f>
        <v>10.915881391805055</v>
      </c>
      <c r="F34" s="244">
        <v>182687</v>
      </c>
      <c r="G34" s="245">
        <v>-610166</v>
      </c>
      <c r="H34" s="125">
        <f t="shared" si="6"/>
        <v>-434</v>
      </c>
      <c r="I34" s="8">
        <f>IFERROR(100/'Skjema total MA'!F34*G34,0)</f>
        <v>143.18124380391217</v>
      </c>
      <c r="J34" s="180">
        <f t="shared" si="7"/>
        <v>194113</v>
      </c>
      <c r="K34" s="180">
        <f t="shared" si="7"/>
        <v>-604889</v>
      </c>
      <c r="L34" s="339">
        <f t="shared" si="8"/>
        <v>-411.6</v>
      </c>
      <c r="M34" s="21">
        <f>IFERROR(100/'Skjema total MA'!I34*K34,0)</f>
        <v>160.10529892817613</v>
      </c>
    </row>
    <row r="35" spans="1:13" ht="15.75" x14ac:dyDescent="0.2">
      <c r="A35" s="10" t="s">
        <v>388</v>
      </c>
      <c r="B35" s="180">
        <v>-94601</v>
      </c>
      <c r="C35" s="245">
        <v>-602658</v>
      </c>
      <c r="D35" s="125">
        <f t="shared" si="5"/>
        <v>537.1</v>
      </c>
      <c r="E35" s="8">
        <f>IFERROR(100/'Skjema total MA'!C35*C35,0)</f>
        <v>100.29446648774361</v>
      </c>
      <c r="F35" s="244">
        <v>2711</v>
      </c>
      <c r="G35" s="245">
        <v>8048</v>
      </c>
      <c r="H35" s="125">
        <f t="shared" si="6"/>
        <v>196.9</v>
      </c>
      <c r="I35" s="8">
        <f>IFERROR(100/'Skjema total MA'!F35*G35,0)</f>
        <v>3.6970434914912613</v>
      </c>
      <c r="J35" s="180">
        <f t="shared" si="7"/>
        <v>-91890</v>
      </c>
      <c r="K35" s="180">
        <f t="shared" si="7"/>
        <v>-594610</v>
      </c>
      <c r="L35" s="339">
        <f t="shared" si="8"/>
        <v>547.1</v>
      </c>
      <c r="M35" s="21">
        <f>IFERROR(100/'Skjema total MA'!I35*K35,0)</f>
        <v>155.16916809184232</v>
      </c>
    </row>
    <row r="36" spans="1:13" ht="15.75" x14ac:dyDescent="0.2">
      <c r="A36" s="9" t="s">
        <v>253</v>
      </c>
      <c r="B36" s="180">
        <v>6879</v>
      </c>
      <c r="C36" s="245">
        <v>4842</v>
      </c>
      <c r="D36" s="125">
        <f t="shared" si="5"/>
        <v>-29.6</v>
      </c>
      <c r="E36" s="8">
        <f>IFERROR(100/'Skjema total MA'!C36*C36,0)</f>
        <v>53.210387520416823</v>
      </c>
      <c r="F36" s="255"/>
      <c r="G36" s="256"/>
      <c r="H36" s="125"/>
      <c r="I36" s="345"/>
      <c r="J36" s="180">
        <f t="shared" ref="J36:J37" si="13">SUM(B36,F36)</f>
        <v>6879</v>
      </c>
      <c r="K36" s="180">
        <f t="shared" ref="K36:K37" si="14">SUM(C36,G36)</f>
        <v>4842</v>
      </c>
      <c r="L36" s="339"/>
      <c r="M36" s="21">
        <f>IFERROR(100/'Skjema total MA'!I36*K36,0)</f>
        <v>53.210387520416823</v>
      </c>
    </row>
    <row r="37" spans="1:13" ht="15.75" x14ac:dyDescent="0.2">
      <c r="A37" s="9" t="s">
        <v>394</v>
      </c>
      <c r="B37" s="180">
        <v>2278674</v>
      </c>
      <c r="C37" s="245">
        <v>2107869.9819999998</v>
      </c>
      <c r="D37" s="125">
        <f t="shared" si="5"/>
        <v>-7.5</v>
      </c>
      <c r="E37" s="8">
        <f>IFERROR(100/'Skjema total MA'!C37*C37,0)</f>
        <v>84.344120939092321</v>
      </c>
      <c r="F37" s="255"/>
      <c r="G37" s="257"/>
      <c r="H37" s="125"/>
      <c r="I37" s="345"/>
      <c r="J37" s="180">
        <f t="shared" si="13"/>
        <v>2278674</v>
      </c>
      <c r="K37" s="180">
        <f t="shared" si="14"/>
        <v>2107869.9819999998</v>
      </c>
      <c r="L37" s="339"/>
      <c r="M37" s="21">
        <f>IFERROR(100/'Skjema total MA'!I37*K37,0)</f>
        <v>84.344120939092321</v>
      </c>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574695</v>
      </c>
      <c r="C47" s="247">
        <v>629286</v>
      </c>
      <c r="D47" s="338">
        <f t="shared" ref="D47:D57" si="15">IF(B47=0, "    ---- ", IF(ABS(ROUND(100/B47*C47-100,1))&lt;999,ROUND(100/B47*C47-100,1),IF(ROUND(100/B47*C47-100,1)&gt;999,999,-999)))</f>
        <v>9.5</v>
      </c>
      <c r="E47" s="8">
        <f>IFERROR(100/'Skjema total MA'!C47*C47,0)</f>
        <v>9.5637968307004542</v>
      </c>
      <c r="F47" s="109"/>
      <c r="G47" s="27"/>
      <c r="H47" s="117"/>
      <c r="I47" s="117"/>
      <c r="J47" s="31"/>
      <c r="K47" s="31"/>
      <c r="L47" s="117"/>
      <c r="M47" s="117"/>
    </row>
    <row r="48" spans="1:13" ht="15.75" x14ac:dyDescent="0.2">
      <c r="A48" s="18" t="s">
        <v>397</v>
      </c>
      <c r="B48" s="219">
        <v>574695</v>
      </c>
      <c r="C48" s="220">
        <v>629286</v>
      </c>
      <c r="D48" s="198">
        <f t="shared" si="15"/>
        <v>9.5</v>
      </c>
      <c r="E48" s="23">
        <f>IFERROR(100/'Skjema total MA'!C48*C48,0)</f>
        <v>16.969597782350625</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v>32200</v>
      </c>
      <c r="C53" s="247">
        <v>44984.148000000001</v>
      </c>
      <c r="D53" s="339">
        <f t="shared" si="15"/>
        <v>39.700000000000003</v>
      </c>
      <c r="E53" s="8">
        <f>IFERROR(100/'Skjema total MA'!C53*C53,0)</f>
        <v>20.528208574990202</v>
      </c>
      <c r="F53" s="109"/>
      <c r="G53" s="27"/>
      <c r="H53" s="109"/>
      <c r="I53" s="109"/>
      <c r="J53" s="27"/>
      <c r="K53" s="27"/>
      <c r="L53" s="117"/>
      <c r="M53" s="117"/>
    </row>
    <row r="54" spans="1:13" ht="15.75" x14ac:dyDescent="0.2">
      <c r="A54" s="18" t="s">
        <v>397</v>
      </c>
      <c r="B54" s="219">
        <v>32200</v>
      </c>
      <c r="C54" s="220">
        <v>44984.148000000001</v>
      </c>
      <c r="D54" s="198">
        <f t="shared" si="15"/>
        <v>39.700000000000003</v>
      </c>
      <c r="E54" s="23">
        <f>IFERROR(100/'Skjema total MA'!C54*C54,0)</f>
        <v>20.621277222913825</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72200</v>
      </c>
      <c r="C56" s="247">
        <v>70001.747000000003</v>
      </c>
      <c r="D56" s="339">
        <f t="shared" si="15"/>
        <v>-3</v>
      </c>
      <c r="E56" s="8">
        <f>IFERROR(100/'Skjema total MA'!C56*C56,0)</f>
        <v>29.274546987900358</v>
      </c>
      <c r="F56" s="109"/>
      <c r="G56" s="27"/>
      <c r="H56" s="109"/>
      <c r="I56" s="109"/>
      <c r="J56" s="27"/>
      <c r="K56" s="27"/>
      <c r="L56" s="117"/>
      <c r="M56" s="117"/>
    </row>
    <row r="57" spans="1:13" ht="15.75" x14ac:dyDescent="0.2">
      <c r="A57" s="18" t="s">
        <v>397</v>
      </c>
      <c r="B57" s="219">
        <v>72200</v>
      </c>
      <c r="C57" s="220">
        <v>70001.747000000003</v>
      </c>
      <c r="D57" s="198">
        <f t="shared" si="15"/>
        <v>-3</v>
      </c>
      <c r="E57" s="23">
        <f>IFERROR(100/'Skjema total MA'!C57*C57,0)</f>
        <v>29.274546987900358</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v>2314186</v>
      </c>
      <c r="C66" s="281">
        <v>2418200</v>
      </c>
      <c r="D66" s="278">
        <f t="shared" ref="D66:D111" si="16">IF(B66=0, "    ---- ", IF(ABS(ROUND(100/B66*C66-100,1))&lt;999,ROUND(100/B66*C66-100,1),IF(ROUND(100/B66*C66-100,1)&gt;999,999,-999)))</f>
        <v>4.5</v>
      </c>
      <c r="E66" s="8">
        <f>IFERROR(100/'Skjema total MA'!C66*C66,0)</f>
        <v>27.425693173111988</v>
      </c>
      <c r="F66" s="280">
        <v>14605287</v>
      </c>
      <c r="G66" s="280">
        <v>16339133.662</v>
      </c>
      <c r="H66" s="278">
        <f t="shared" ref="H66:H111" si="17">IF(F66=0, "    ---- ", IF(ABS(ROUND(100/F66*G66-100,1))&lt;999,ROUND(100/F66*G66-100,1),IF(ROUND(100/F66*G66-100,1)&gt;999,999,-999)))</f>
        <v>11.9</v>
      </c>
      <c r="I66" s="8">
        <f>IFERROR(100/'Skjema total MA'!F66*G66,0)</f>
        <v>29.859478804041331</v>
      </c>
      <c r="J66" s="245">
        <f t="shared" ref="J66:K86" si="18">SUM(B66,F66)</f>
        <v>16919473</v>
      </c>
      <c r="K66" s="252">
        <f t="shared" si="18"/>
        <v>18757333.662</v>
      </c>
      <c r="L66" s="339">
        <f t="shared" ref="L66:L111" si="19">IF(J66=0, "    ---- ", IF(ABS(ROUND(100/J66*K66-100,1))&lt;999,ROUND(100/J66*K66-100,1),IF(ROUND(100/J66*K66-100,1)&gt;999,999,-999)))</f>
        <v>10.9</v>
      </c>
      <c r="M66" s="8">
        <f>IFERROR(100/'Skjema total MA'!I66*K66,0)</f>
        <v>29.52173476195372</v>
      </c>
    </row>
    <row r="67" spans="1:13" x14ac:dyDescent="0.2">
      <c r="A67" s="18" t="s">
        <v>9</v>
      </c>
      <c r="B67" s="36">
        <v>1867445</v>
      </c>
      <c r="C67" s="109">
        <v>1890975</v>
      </c>
      <c r="D67" s="121">
        <f t="shared" si="16"/>
        <v>1.3</v>
      </c>
      <c r="E67" s="23">
        <f>IFERROR(100/'Skjema total MA'!C67*C67,0)</f>
        <v>39.835717312421608</v>
      </c>
      <c r="F67" s="178"/>
      <c r="G67" s="109"/>
      <c r="H67" s="121"/>
      <c r="I67" s="23"/>
      <c r="J67" s="225">
        <f t="shared" si="18"/>
        <v>1867445</v>
      </c>
      <c r="K67" s="36">
        <f t="shared" si="18"/>
        <v>1890975</v>
      </c>
      <c r="L67" s="198">
        <f t="shared" si="19"/>
        <v>1.3</v>
      </c>
      <c r="M67" s="23">
        <f>IFERROR(100/'Skjema total MA'!I67*K67,0)</f>
        <v>39.835717312421608</v>
      </c>
    </row>
    <row r="68" spans="1:13" x14ac:dyDescent="0.2">
      <c r="A68" s="18" t="s">
        <v>10</v>
      </c>
      <c r="B68" s="230"/>
      <c r="C68" s="231"/>
      <c r="D68" s="121"/>
      <c r="E68" s="23"/>
      <c r="F68" s="230">
        <v>14605287</v>
      </c>
      <c r="G68" s="231">
        <v>16339133.662</v>
      </c>
      <c r="H68" s="121">
        <f t="shared" si="17"/>
        <v>11.9</v>
      </c>
      <c r="I68" s="23">
        <f>IFERROR(100/'Skjema total MA'!F68*G68,0)</f>
        <v>31.054249382291776</v>
      </c>
      <c r="J68" s="225">
        <f t="shared" si="18"/>
        <v>14605287</v>
      </c>
      <c r="K68" s="36">
        <f t="shared" si="18"/>
        <v>16339133.662</v>
      </c>
      <c r="L68" s="198">
        <f t="shared" si="19"/>
        <v>11.9</v>
      </c>
      <c r="M68" s="23">
        <f>IFERROR(100/'Skjema total MA'!I68*K68,0)</f>
        <v>31.036662714510108</v>
      </c>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v>14605287</v>
      </c>
      <c r="G72" s="219">
        <v>16339133.662</v>
      </c>
      <c r="H72" s="121">
        <f t="shared" si="17"/>
        <v>11.9</v>
      </c>
      <c r="I72" s="331">
        <f>IFERROR(100/'Skjema total MA'!F72*G72,0)</f>
        <v>31.055739595168482</v>
      </c>
      <c r="J72" s="225">
        <f t="shared" ref="J72" si="20">SUM(B72,F72)</f>
        <v>14605287</v>
      </c>
      <c r="K72" s="36">
        <f t="shared" ref="K72" si="21">SUM(C72,G72)</f>
        <v>16339133.662</v>
      </c>
      <c r="L72" s="198">
        <f t="shared" ref="L72" si="22">IF(J72=0, "    ---- ", IF(ABS(ROUND(100/J72*K72-100,1))&lt;999,ROUND(100/J72*K72-100,1),IF(ROUND(100/J72*K72-100,1)&gt;999,999,-999)))</f>
        <v>11.9</v>
      </c>
      <c r="M72" s="20">
        <f>IFERROR(100/'Skjema total MA'!I72*K72,0)</f>
        <v>31.038338736120252</v>
      </c>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v>14605287</v>
      </c>
      <c r="G74" s="219">
        <v>16339133.662</v>
      </c>
      <c r="H74" s="121">
        <f t="shared" si="17"/>
        <v>11.9</v>
      </c>
      <c r="I74" s="331">
        <f>IFERROR(100/'Skjema total MA'!F74*G74,0)</f>
        <v>31.055739595168482</v>
      </c>
      <c r="J74" s="225">
        <f t="shared" ref="J74" si="23">SUM(B74,F74)</f>
        <v>14605287</v>
      </c>
      <c r="K74" s="36">
        <f t="shared" ref="K74" si="24">SUM(C74,G74)</f>
        <v>16339133.662</v>
      </c>
      <c r="L74" s="198">
        <f t="shared" ref="L74" si="25">IF(J74=0, "    ---- ", IF(ABS(ROUND(100/J74*K74-100,1))&lt;999,ROUND(100/J74*K74-100,1),IF(ROUND(100/J74*K74-100,1)&gt;999,999,-999)))</f>
        <v>11.9</v>
      </c>
      <c r="M74" s="20">
        <f>IFERROR(100/'Skjema total MA'!I74*K74,0)</f>
        <v>31.055739595168482</v>
      </c>
    </row>
    <row r="75" spans="1:13" x14ac:dyDescent="0.2">
      <c r="A75" s="18" t="s">
        <v>308</v>
      </c>
      <c r="B75" s="178"/>
      <c r="C75" s="109"/>
      <c r="D75" s="121"/>
      <c r="E75" s="23"/>
      <c r="F75" s="178"/>
      <c r="G75" s="109"/>
      <c r="H75" s="121"/>
      <c r="I75" s="23"/>
      <c r="J75" s="225"/>
      <c r="K75" s="36"/>
      <c r="L75" s="198"/>
      <c r="M75" s="23"/>
    </row>
    <row r="76" spans="1:13" x14ac:dyDescent="0.2">
      <c r="A76" s="18" t="s">
        <v>307</v>
      </c>
      <c r="B76" s="178">
        <v>446741</v>
      </c>
      <c r="C76" s="109">
        <v>527225</v>
      </c>
      <c r="D76" s="121">
        <f t="shared" ref="D76" si="26">IF(B76=0, "    ---- ", IF(ABS(ROUND(100/B76*C76-100,1))&lt;999,ROUND(100/B76*C76-100,1),IF(ROUND(100/B76*C76-100,1)&gt;999,999,-999)))</f>
        <v>18</v>
      </c>
      <c r="E76" s="23">
        <f>IFERROR(100/'Skjema total MA'!C77*C76,0)</f>
        <v>11.261109202680929</v>
      </c>
      <c r="F76" s="178"/>
      <c r="G76" s="109"/>
      <c r="H76" s="121"/>
      <c r="I76" s="23"/>
      <c r="J76" s="225">
        <f t="shared" ref="J76" si="27">SUM(B76,F76)</f>
        <v>446741</v>
      </c>
      <c r="K76" s="36">
        <f t="shared" ref="K76" si="28">SUM(C76,G76)</f>
        <v>527225</v>
      </c>
      <c r="L76" s="198">
        <f t="shared" ref="L76" si="29">IF(J76=0, "    ---- ", IF(ABS(ROUND(100/J76*K76-100,1))&lt;999,ROUND(100/J76*K76-100,1),IF(ROUND(100/J76*K76-100,1)&gt;999,999,-999)))</f>
        <v>18</v>
      </c>
      <c r="M76" s="23">
        <f>IFERROR(100/'Skjema total MA'!I77*K76,0)</f>
        <v>0.9203763265023519</v>
      </c>
    </row>
    <row r="77" spans="1:13" ht="15.75" x14ac:dyDescent="0.2">
      <c r="A77" s="18" t="s">
        <v>403</v>
      </c>
      <c r="B77" s="178">
        <v>1838586</v>
      </c>
      <c r="C77" s="178">
        <v>1865337</v>
      </c>
      <c r="D77" s="121">
        <f t="shared" si="16"/>
        <v>1.5</v>
      </c>
      <c r="E77" s="23">
        <f>IFERROR(100/'Skjema total MA'!C77*C77,0)</f>
        <v>39.842123679266415</v>
      </c>
      <c r="F77" s="178">
        <v>14605287</v>
      </c>
      <c r="G77" s="109">
        <v>16339133.662</v>
      </c>
      <c r="H77" s="121">
        <f t="shared" si="17"/>
        <v>11.9</v>
      </c>
      <c r="I77" s="23">
        <f>IFERROR(100/'Skjema total MA'!F77*G77,0)</f>
        <v>31.061921652997796</v>
      </c>
      <c r="J77" s="225">
        <f t="shared" si="18"/>
        <v>16443873</v>
      </c>
      <c r="K77" s="36">
        <f t="shared" si="18"/>
        <v>18204470.662</v>
      </c>
      <c r="L77" s="198">
        <f t="shared" si="19"/>
        <v>10.7</v>
      </c>
      <c r="M77" s="23">
        <f>IFERROR(100/'Skjema total MA'!I77*K77,0)</f>
        <v>31.779532142465548</v>
      </c>
    </row>
    <row r="78" spans="1:13" x14ac:dyDescent="0.2">
      <c r="A78" s="18" t="s">
        <v>9</v>
      </c>
      <c r="B78" s="178">
        <v>1838586</v>
      </c>
      <c r="C78" s="109">
        <v>1865337</v>
      </c>
      <c r="D78" s="121">
        <f t="shared" si="16"/>
        <v>1.5</v>
      </c>
      <c r="E78" s="23">
        <f>IFERROR(100/'Skjema total MA'!C78*C78,0)</f>
        <v>40.097463534543905</v>
      </c>
      <c r="F78" s="178"/>
      <c r="G78" s="109"/>
      <c r="H78" s="121"/>
      <c r="I78" s="23"/>
      <c r="J78" s="225">
        <f t="shared" si="18"/>
        <v>1838586</v>
      </c>
      <c r="K78" s="36">
        <f t="shared" si="18"/>
        <v>1865337</v>
      </c>
      <c r="L78" s="198">
        <f t="shared" si="19"/>
        <v>1.5</v>
      </c>
      <c r="M78" s="23">
        <f>IFERROR(100/'Skjema total MA'!I78*K78,0)</f>
        <v>40.097463534543905</v>
      </c>
    </row>
    <row r="79" spans="1:13" x14ac:dyDescent="0.2">
      <c r="A79" s="18" t="s">
        <v>429</v>
      </c>
      <c r="B79" s="230"/>
      <c r="C79" s="231"/>
      <c r="D79" s="121"/>
      <c r="E79" s="23"/>
      <c r="F79" s="230">
        <v>14605287</v>
      </c>
      <c r="G79" s="231">
        <v>16339133.662</v>
      </c>
      <c r="H79" s="121">
        <f t="shared" si="17"/>
        <v>11.9</v>
      </c>
      <c r="I79" s="23">
        <f>IFERROR(100/'Skjema total MA'!F79*G79,0)</f>
        <v>31.061921652997796</v>
      </c>
      <c r="J79" s="225">
        <f t="shared" si="18"/>
        <v>14605287</v>
      </c>
      <c r="K79" s="36">
        <f t="shared" si="18"/>
        <v>16339133.662</v>
      </c>
      <c r="L79" s="198">
        <f t="shared" si="19"/>
        <v>11.9</v>
      </c>
      <c r="M79" s="23">
        <f>IFERROR(100/'Skjema total MA'!I79*K79,0)</f>
        <v>31.044326296671343</v>
      </c>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v>14605287</v>
      </c>
      <c r="G83" s="219">
        <v>16339133.662</v>
      </c>
      <c r="H83" s="121">
        <f t="shared" si="17"/>
        <v>11.9</v>
      </c>
      <c r="I83" s="331">
        <f>IFERROR(100/'Skjema total MA'!F83*G83,0)</f>
        <v>31.061921652997796</v>
      </c>
      <c r="J83" s="225">
        <f t="shared" ref="J83" si="30">SUM(B83,F83)</f>
        <v>14605287</v>
      </c>
      <c r="K83" s="36">
        <f t="shared" ref="K83" si="31">SUM(C83,G83)</f>
        <v>16339133.662</v>
      </c>
      <c r="L83" s="198">
        <f t="shared" ref="L83" si="32">IF(J83=0, "    ---- ", IF(ABS(ROUND(100/J83*K83-100,1))&lt;999,ROUND(100/J83*K83-100,1),IF(ROUND(100/J83*K83-100,1)&gt;999,999,-999)))</f>
        <v>11.9</v>
      </c>
      <c r="M83" s="20">
        <f>IFERROR(100/'Skjema total MA'!I83*K83,0)</f>
        <v>31.044326296671343</v>
      </c>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v>14605287</v>
      </c>
      <c r="G85" s="219">
        <v>16339133.662</v>
      </c>
      <c r="H85" s="121">
        <f t="shared" si="17"/>
        <v>11.9</v>
      </c>
      <c r="I85" s="331">
        <f>IFERROR(100/'Skjema total MA'!F85*G85,0)</f>
        <v>31.061921652997796</v>
      </c>
      <c r="J85" s="225">
        <f t="shared" ref="J85" si="33">SUM(B85,F85)</f>
        <v>14605287</v>
      </c>
      <c r="K85" s="36">
        <f t="shared" ref="K85" si="34">SUM(C85,G85)</f>
        <v>16339133.662</v>
      </c>
      <c r="L85" s="198">
        <f t="shared" ref="L85" si="35">IF(J85=0, "    ---- ", IF(ABS(ROUND(100/J85*K85-100,1))&lt;999,ROUND(100/J85*K85-100,1),IF(ROUND(100/J85*K85-100,1)&gt;999,999,-999)))</f>
        <v>11.9</v>
      </c>
      <c r="M85" s="20">
        <f>IFERROR(100/'Skjema total MA'!I85*K85,0)</f>
        <v>31.061921652997796</v>
      </c>
    </row>
    <row r="86" spans="1:13" ht="15.75" x14ac:dyDescent="0.2">
      <c r="A86" s="18" t="s">
        <v>404</v>
      </c>
      <c r="B86" s="178">
        <v>28859.198</v>
      </c>
      <c r="C86" s="109">
        <v>25638.23</v>
      </c>
      <c r="D86" s="121">
        <f t="shared" si="16"/>
        <v>-11.2</v>
      </c>
      <c r="E86" s="23">
        <f>IFERROR(100/'Skjema total MA'!C86*C86,0)</f>
        <v>27.008553242800819</v>
      </c>
      <c r="F86" s="178"/>
      <c r="G86" s="109"/>
      <c r="H86" s="121"/>
      <c r="I86" s="23"/>
      <c r="J86" s="225">
        <f t="shared" si="18"/>
        <v>28859.198</v>
      </c>
      <c r="K86" s="36">
        <f t="shared" si="18"/>
        <v>25638.23</v>
      </c>
      <c r="L86" s="198">
        <f t="shared" si="19"/>
        <v>-11.2</v>
      </c>
      <c r="M86" s="23">
        <f>IFERROR(100/'Skjema total MA'!I86*K86,0)</f>
        <v>23.75622547115049</v>
      </c>
    </row>
    <row r="87" spans="1:13" ht="15.75" x14ac:dyDescent="0.2">
      <c r="A87" s="10" t="s">
        <v>386</v>
      </c>
      <c r="B87" s="281">
        <v>153052466</v>
      </c>
      <c r="C87" s="281">
        <v>153696867.42424002</v>
      </c>
      <c r="D87" s="125">
        <f t="shared" si="16"/>
        <v>0.4</v>
      </c>
      <c r="E87" s="8">
        <f>IFERROR(100/'Skjema total MA'!C87*C87,0)</f>
        <v>37.861538033197952</v>
      </c>
      <c r="F87" s="280">
        <v>154066776.79499999</v>
      </c>
      <c r="G87" s="280">
        <v>188001199.61118001</v>
      </c>
      <c r="H87" s="125">
        <f t="shared" si="17"/>
        <v>22</v>
      </c>
      <c r="I87" s="8">
        <f>IFERROR(100/'Skjema total MA'!F87*G87,0)</f>
        <v>28.257045935199798</v>
      </c>
      <c r="J87" s="245">
        <f t="shared" ref="J87:K111" si="36">SUM(B87,F87)</f>
        <v>307119242.79499996</v>
      </c>
      <c r="K87" s="180">
        <f t="shared" si="36"/>
        <v>341698067.03542006</v>
      </c>
      <c r="L87" s="339">
        <f t="shared" si="19"/>
        <v>11.3</v>
      </c>
      <c r="M87" s="8">
        <f>IFERROR(100/'Skjema total MA'!I87*K87,0)</f>
        <v>31.896551400078732</v>
      </c>
    </row>
    <row r="88" spans="1:13" x14ac:dyDescent="0.2">
      <c r="A88" s="18" t="s">
        <v>9</v>
      </c>
      <c r="B88" s="178">
        <v>152908286</v>
      </c>
      <c r="C88" s="109">
        <v>153556465.01800001</v>
      </c>
      <c r="D88" s="121">
        <f t="shared" si="16"/>
        <v>0.4</v>
      </c>
      <c r="E88" s="23">
        <f>IFERROR(100/'Skjema total MA'!C88*C88,0)</f>
        <v>39.962180784175004</v>
      </c>
      <c r="F88" s="178"/>
      <c r="G88" s="109"/>
      <c r="H88" s="121"/>
      <c r="I88" s="23"/>
      <c r="J88" s="225">
        <f t="shared" si="36"/>
        <v>152908286</v>
      </c>
      <c r="K88" s="36">
        <f t="shared" si="36"/>
        <v>153556465.01800001</v>
      </c>
      <c r="L88" s="198">
        <f t="shared" si="19"/>
        <v>0.4</v>
      </c>
      <c r="M88" s="23">
        <f>IFERROR(100/'Skjema total MA'!I88*K88,0)</f>
        <v>39.962180784175004</v>
      </c>
    </row>
    <row r="89" spans="1:13" x14ac:dyDescent="0.2">
      <c r="A89" s="18" t="s">
        <v>10</v>
      </c>
      <c r="B89" s="178">
        <v>86578</v>
      </c>
      <c r="C89" s="109">
        <v>85395.714999999997</v>
      </c>
      <c r="D89" s="121">
        <f t="shared" si="16"/>
        <v>-1.4</v>
      </c>
      <c r="E89" s="23">
        <f>IFERROR(100/'Skjema total MA'!C89*C89,0)</f>
        <v>3.5229305877995012</v>
      </c>
      <c r="F89" s="178">
        <v>154066776.79499999</v>
      </c>
      <c r="G89" s="109">
        <v>188001199.61118001</v>
      </c>
      <c r="H89" s="121">
        <f t="shared" si="17"/>
        <v>22</v>
      </c>
      <c r="I89" s="23">
        <f>IFERROR(100/'Skjema total MA'!F89*G89,0)</f>
        <v>28.701589015557545</v>
      </c>
      <c r="J89" s="225">
        <f t="shared" si="36"/>
        <v>154153354.79499999</v>
      </c>
      <c r="K89" s="36">
        <f t="shared" si="36"/>
        <v>188086595.32618001</v>
      </c>
      <c r="L89" s="198">
        <f t="shared" si="19"/>
        <v>22</v>
      </c>
      <c r="M89" s="23">
        <f>IFERROR(100/'Skjema total MA'!I89*K89,0)</f>
        <v>28.608755307647737</v>
      </c>
    </row>
    <row r="90" spans="1:13" ht="15.75" x14ac:dyDescent="0.2">
      <c r="A90" s="234" t="s">
        <v>401</v>
      </c>
      <c r="B90" s="219"/>
      <c r="C90" s="219"/>
      <c r="D90" s="121"/>
      <c r="E90" s="331"/>
      <c r="F90" s="219">
        <v>273469.79499999998</v>
      </c>
      <c r="G90" s="219">
        <v>308559.92217999999</v>
      </c>
      <c r="H90" s="121">
        <f t="shared" si="17"/>
        <v>12.8</v>
      </c>
      <c r="I90" s="331">
        <f>IFERROR(100/'Skjema total MA'!F90*G90,0)</f>
        <v>94.722682044041449</v>
      </c>
      <c r="J90" s="225">
        <f t="shared" si="36"/>
        <v>273469.79499999998</v>
      </c>
      <c r="K90" s="36">
        <f t="shared" si="36"/>
        <v>308559.92217999999</v>
      </c>
      <c r="L90" s="198">
        <f t="shared" ref="L90" si="37">IF(J90=0, "    ---- ", IF(ABS(ROUND(100/J90*K90-100,1))&lt;999,ROUND(100/J90*K90-100,1),IF(ROUND(100/J90*K90-100,1)&gt;999,999,-999)))</f>
        <v>12.8</v>
      </c>
      <c r="M90" s="20">
        <f>IFERROR(100/'Skjema total MA'!I90*K90,0)</f>
        <v>94.722682044041449</v>
      </c>
    </row>
    <row r="91" spans="1:13" x14ac:dyDescent="0.2">
      <c r="A91" s="234" t="s">
        <v>12</v>
      </c>
      <c r="B91" s="179"/>
      <c r="C91" s="227"/>
      <c r="D91" s="121"/>
      <c r="E91" s="331"/>
      <c r="F91" s="219">
        <v>273469.79499999998</v>
      </c>
      <c r="G91" s="219">
        <v>308559.92217999999</v>
      </c>
      <c r="H91" s="121">
        <f t="shared" si="17"/>
        <v>12.8</v>
      </c>
      <c r="I91" s="331">
        <f>IFERROR(100/'Skjema total MA'!F91*G91,0)</f>
        <v>100</v>
      </c>
      <c r="J91" s="225">
        <f t="shared" ref="J91" si="38">SUM(B91,F91)</f>
        <v>273469.79499999998</v>
      </c>
      <c r="K91" s="36">
        <f t="shared" ref="K91" si="39">SUM(C91,G91)</f>
        <v>308559.92217999999</v>
      </c>
      <c r="L91" s="198">
        <f t="shared" ref="L91" si="40">IF(J91=0, "    ---- ", IF(ABS(ROUND(100/J91*K91-100,1))&lt;999,ROUND(100/J91*K91-100,1),IF(ROUND(100/J91*K91-100,1)&gt;999,999,-999)))</f>
        <v>12.8</v>
      </c>
      <c r="M91" s="20">
        <f>IFERROR(100/'Skjema total MA'!I91*K91,0)</f>
        <v>100</v>
      </c>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v>86578</v>
      </c>
      <c r="C93" s="219">
        <v>85395.714999999997</v>
      </c>
      <c r="D93" s="121">
        <f t="shared" ref="D93" si="41">IF(B93=0, "    ---- ", IF(ABS(ROUND(100/B93*C93-100,1))&lt;999,ROUND(100/B93*C93-100,1),IF(ROUND(100/B93*C93-100,1)&gt;999,999,-999)))</f>
        <v>-1.4</v>
      </c>
      <c r="E93" s="23">
        <f>IFERROR(100/'Skjema total MA'!C93*C93,0)</f>
        <v>3.5229305877995012</v>
      </c>
      <c r="F93" s="219">
        <v>153793307</v>
      </c>
      <c r="G93" s="219">
        <v>187692639.68900001</v>
      </c>
      <c r="H93" s="121">
        <f t="shared" si="17"/>
        <v>22</v>
      </c>
      <c r="I93" s="331">
        <f>IFERROR(100/'Skjema total MA'!F93*G93,0)</f>
        <v>28.668739452635705</v>
      </c>
      <c r="J93" s="225">
        <f t="shared" ref="J93" si="42">SUM(B93,F93)</f>
        <v>153879885</v>
      </c>
      <c r="K93" s="36">
        <f t="shared" ref="K93" si="43">SUM(C93,G93)</f>
        <v>187778035.40400001</v>
      </c>
      <c r="L93" s="198">
        <f t="shared" ref="L93" si="44">IF(J93=0, "    ---- ", IF(ABS(ROUND(100/J93*K93-100,1))&lt;999,ROUND(100/J93*K93-100,1),IF(ROUND(100/J93*K93-100,1)&gt;999,999,-999)))</f>
        <v>22</v>
      </c>
      <c r="M93" s="20">
        <f>IFERROR(100/'Skjema total MA'!I93*K93,0)</f>
        <v>28.575980900994836</v>
      </c>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v>153793307</v>
      </c>
      <c r="G95" s="219">
        <v>187692639.68900001</v>
      </c>
      <c r="H95" s="121">
        <f t="shared" si="17"/>
        <v>22</v>
      </c>
      <c r="I95" s="331">
        <f>IFERROR(100/'Skjema total MA'!F95*G95,0)</f>
        <v>28.668739452635705</v>
      </c>
      <c r="J95" s="225">
        <f t="shared" ref="J95" si="45">SUM(B95,F95)</f>
        <v>153793307</v>
      </c>
      <c r="K95" s="36">
        <f t="shared" ref="K95" si="46">SUM(C95,G95)</f>
        <v>187692639.68900001</v>
      </c>
      <c r="L95" s="198">
        <f t="shared" ref="L95" si="47">IF(J95=0, "    ---- ", IF(ABS(ROUND(100/J95*K95-100,1))&lt;999,ROUND(100/J95*K95-100,1),IF(ROUND(100/J95*K95-100,1)&gt;999,999,-999)))</f>
        <v>22</v>
      </c>
      <c r="M95" s="20">
        <f>IFERROR(100/'Skjema total MA'!I95*K95,0)</f>
        <v>28.668739452635705</v>
      </c>
    </row>
    <row r="96" spans="1:13" x14ac:dyDescent="0.2">
      <c r="A96" s="18" t="s">
        <v>306</v>
      </c>
      <c r="B96" s="178"/>
      <c r="C96" s="109"/>
      <c r="D96" s="121"/>
      <c r="E96" s="23"/>
      <c r="F96" s="178"/>
      <c r="G96" s="109"/>
      <c r="H96" s="121"/>
      <c r="I96" s="23"/>
      <c r="J96" s="225"/>
      <c r="K96" s="36"/>
      <c r="L96" s="198"/>
      <c r="M96" s="23"/>
    </row>
    <row r="97" spans="1:13" x14ac:dyDescent="0.2">
      <c r="A97" s="18" t="s">
        <v>305</v>
      </c>
      <c r="B97" s="178">
        <v>57602</v>
      </c>
      <c r="C97" s="109">
        <v>55006.69124</v>
      </c>
      <c r="D97" s="121">
        <f t="shared" ref="D97" si="48">IF(B97=0, "    ---- ", IF(ABS(ROUND(100/B97*C97-100,1))&lt;999,ROUND(100/B97*C97-100,1),IF(ROUND(100/B97*C97-100,1)&gt;999,999,-999)))</f>
        <v>-4.5</v>
      </c>
      <c r="E97" s="23">
        <f>IFERROR(100/'Skjema total MA'!C98*C97,0)</f>
        <v>1.4383488042654161E-2</v>
      </c>
      <c r="F97" s="178"/>
      <c r="G97" s="109"/>
      <c r="H97" s="121"/>
      <c r="I97" s="23"/>
      <c r="J97" s="225">
        <f t="shared" ref="J97" si="49">SUM(B97,F97)</f>
        <v>57602</v>
      </c>
      <c r="K97" s="36">
        <f t="shared" ref="K97" si="50">SUM(C97,G97)</f>
        <v>55006.69124</v>
      </c>
      <c r="L97" s="198">
        <f t="shared" ref="L97" si="51">IF(J97=0, "    ---- ", IF(ABS(ROUND(100/J97*K97-100,1))&lt;999,ROUND(100/J97*K97-100,1),IF(ROUND(100/J97*K97-100,1)&gt;999,999,-999)))</f>
        <v>-4.5</v>
      </c>
      <c r="M97" s="23">
        <f>IFERROR(100/'Skjema total MA'!I98*K97,0)</f>
        <v>5.3042791061275098E-3</v>
      </c>
    </row>
    <row r="98" spans="1:13" ht="15.75" x14ac:dyDescent="0.2">
      <c r="A98" s="18" t="s">
        <v>403</v>
      </c>
      <c r="B98" s="178">
        <v>151907887</v>
      </c>
      <c r="C98" s="178">
        <v>152537108.76576</v>
      </c>
      <c r="D98" s="121">
        <f t="shared" si="16"/>
        <v>0.4</v>
      </c>
      <c r="E98" s="23">
        <f>IFERROR(100/'Skjema total MA'!C98*C98,0)</f>
        <v>39.886341652884092</v>
      </c>
      <c r="F98" s="230">
        <v>153793307</v>
      </c>
      <c r="G98" s="230">
        <v>187692639.68900001</v>
      </c>
      <c r="H98" s="121">
        <f t="shared" si="17"/>
        <v>22</v>
      </c>
      <c r="I98" s="23">
        <f>IFERROR(100/'Skjema total MA'!F98*G98,0)</f>
        <v>28.673076570900292</v>
      </c>
      <c r="J98" s="225">
        <f t="shared" si="36"/>
        <v>305701194</v>
      </c>
      <c r="K98" s="36">
        <f t="shared" si="36"/>
        <v>340229748.45476002</v>
      </c>
      <c r="L98" s="198">
        <f t="shared" si="19"/>
        <v>11.3</v>
      </c>
      <c r="M98" s="23">
        <f>IFERROR(100/'Skjema total MA'!I98*K98,0)</f>
        <v>32.808254874622811</v>
      </c>
    </row>
    <row r="99" spans="1:13" x14ac:dyDescent="0.2">
      <c r="A99" s="18" t="s">
        <v>9</v>
      </c>
      <c r="B99" s="230">
        <v>151821309</v>
      </c>
      <c r="C99" s="231">
        <v>152451713.05076</v>
      </c>
      <c r="D99" s="121">
        <f t="shared" si="16"/>
        <v>0.4</v>
      </c>
      <c r="E99" s="23">
        <f>IFERROR(100/'Skjema total MA'!C99*C99,0)</f>
        <v>40.118298289344921</v>
      </c>
      <c r="F99" s="178"/>
      <c r="G99" s="109"/>
      <c r="H99" s="121"/>
      <c r="I99" s="23"/>
      <c r="J99" s="225">
        <f t="shared" si="36"/>
        <v>151821309</v>
      </c>
      <c r="K99" s="36">
        <f t="shared" si="36"/>
        <v>152451713.05076</v>
      </c>
      <c r="L99" s="198">
        <f t="shared" si="19"/>
        <v>0.4</v>
      </c>
      <c r="M99" s="23">
        <f>IFERROR(100/'Skjema total MA'!I99*K99,0)</f>
        <v>40.118298289344921</v>
      </c>
    </row>
    <row r="100" spans="1:13" x14ac:dyDescent="0.2">
      <c r="A100" s="18" t="s">
        <v>429</v>
      </c>
      <c r="B100" s="230">
        <v>86578</v>
      </c>
      <c r="C100" s="231">
        <v>85395.714999999997</v>
      </c>
      <c r="D100" s="121">
        <f t="shared" si="16"/>
        <v>-1.4</v>
      </c>
      <c r="E100" s="23">
        <f>IFERROR(100/'Skjema total MA'!C100*C100,0)</f>
        <v>3.5229305877995012</v>
      </c>
      <c r="F100" s="178">
        <v>153793307</v>
      </c>
      <c r="G100" s="178">
        <v>187692639.68900001</v>
      </c>
      <c r="H100" s="121">
        <f t="shared" si="17"/>
        <v>22</v>
      </c>
      <c r="I100" s="23">
        <f>IFERROR(100/'Skjema total MA'!F100*G100,0)</f>
        <v>28.673076570900292</v>
      </c>
      <c r="J100" s="225">
        <f t="shared" si="36"/>
        <v>153879885</v>
      </c>
      <c r="K100" s="36">
        <f t="shared" si="36"/>
        <v>187778035.40400001</v>
      </c>
      <c r="L100" s="198">
        <f t="shared" si="19"/>
        <v>22</v>
      </c>
      <c r="M100" s="23">
        <f>IFERROR(100/'Skjema total MA'!I100*K100,0)</f>
        <v>28.580288036865436</v>
      </c>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v>86578</v>
      </c>
      <c r="C104" s="219">
        <v>85395.714999999997</v>
      </c>
      <c r="D104" s="121">
        <f t="shared" ref="D104" si="52">IF(B104=0, "    ---- ", IF(ABS(ROUND(100/B104*C104-100,1))&lt;999,ROUND(100/B104*C104-100,1),IF(ROUND(100/B104*C104-100,1)&gt;999,999,-999)))</f>
        <v>-1.4</v>
      </c>
      <c r="E104" s="23">
        <f>IFERROR(100/'Skjema total MA'!C104*C104,0)</f>
        <v>3.5229305877995012</v>
      </c>
      <c r="F104" s="219">
        <v>153793307</v>
      </c>
      <c r="G104" s="219">
        <v>187692639.68900001</v>
      </c>
      <c r="H104" s="121">
        <f t="shared" si="17"/>
        <v>22</v>
      </c>
      <c r="I104" s="331">
        <f>IFERROR(100/'Skjema total MA'!F104*G104,0)</f>
        <v>28.673076570900292</v>
      </c>
      <c r="J104" s="225">
        <f t="shared" ref="J104" si="53">SUM(B104,F104)</f>
        <v>153879885</v>
      </c>
      <c r="K104" s="36">
        <f t="shared" ref="K104" si="54">SUM(C104,G104)</f>
        <v>187778035.40400001</v>
      </c>
      <c r="L104" s="198">
        <f t="shared" ref="L104" si="55">IF(J104=0, "    ---- ", IF(ABS(ROUND(100/J104*K104-100,1))&lt;999,ROUND(100/J104*K104-100,1),IF(ROUND(100/J104*K104-100,1)&gt;999,999,-999)))</f>
        <v>22</v>
      </c>
      <c r="M104" s="20">
        <f>IFERROR(100/'Skjema total MA'!I104*K104,0)</f>
        <v>28.580288036865436</v>
      </c>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v>153793307</v>
      </c>
      <c r="G106" s="219">
        <v>187692639.68900001</v>
      </c>
      <c r="H106" s="121">
        <f t="shared" si="17"/>
        <v>22</v>
      </c>
      <c r="I106" s="331">
        <f>IFERROR(100/'Skjema total MA'!F106*G106,0)</f>
        <v>28.673076570900292</v>
      </c>
      <c r="J106" s="225">
        <f t="shared" ref="J106" si="56">SUM(B106,F106)</f>
        <v>153793307</v>
      </c>
      <c r="K106" s="36">
        <f t="shared" ref="K106" si="57">SUM(C106,G106)</f>
        <v>187692639.68900001</v>
      </c>
      <c r="L106" s="198">
        <f t="shared" ref="L106" si="58">IF(J106=0, "    ---- ", IF(ABS(ROUND(100/J106*K106-100,1))&lt;999,ROUND(100/J106*K106-100,1),IF(ROUND(100/J106*K106-100,1)&gt;999,999,-999)))</f>
        <v>22</v>
      </c>
      <c r="M106" s="20">
        <f>IFERROR(100/'Skjema total MA'!I106*K106,0)</f>
        <v>28.673076570900292</v>
      </c>
    </row>
    <row r="107" spans="1:13" ht="15.75" x14ac:dyDescent="0.2">
      <c r="A107" s="18" t="s">
        <v>404</v>
      </c>
      <c r="B107" s="178">
        <v>1086977</v>
      </c>
      <c r="C107" s="109">
        <v>1104751.9669999999</v>
      </c>
      <c r="D107" s="121">
        <f t="shared" si="16"/>
        <v>1.6</v>
      </c>
      <c r="E107" s="23">
        <f>IFERROR(100/'Skjema total MA'!C107*C107,0)</f>
        <v>26.000068697954649</v>
      </c>
      <c r="F107" s="178">
        <v>273470</v>
      </c>
      <c r="G107" s="109">
        <v>308559.92217999999</v>
      </c>
      <c r="H107" s="121">
        <f t="shared" si="17"/>
        <v>12.8</v>
      </c>
      <c r="I107" s="23">
        <f>IFERROR(100/'Skjema total MA'!F107*G107,0)</f>
        <v>72.639840087515765</v>
      </c>
      <c r="J107" s="225">
        <f t="shared" si="36"/>
        <v>1360447</v>
      </c>
      <c r="K107" s="36">
        <f t="shared" si="36"/>
        <v>1413311.8891799999</v>
      </c>
      <c r="L107" s="198">
        <f t="shared" si="19"/>
        <v>3.9</v>
      </c>
      <c r="M107" s="23">
        <f>IFERROR(100/'Skjema total MA'!I107*K107,0)</f>
        <v>30.238932846230526</v>
      </c>
    </row>
    <row r="108" spans="1:13" ht="15.75" x14ac:dyDescent="0.2">
      <c r="A108" s="18" t="s">
        <v>405</v>
      </c>
      <c r="B108" s="178">
        <v>134073674</v>
      </c>
      <c r="C108" s="178">
        <v>133286309.69400001</v>
      </c>
      <c r="D108" s="121">
        <f t="shared" si="16"/>
        <v>-0.6</v>
      </c>
      <c r="E108" s="23">
        <f>IFERROR(100/'Skjema total MA'!C108*C108,0)</f>
        <v>40.194585885495478</v>
      </c>
      <c r="F108" s="178">
        <v>1193655</v>
      </c>
      <c r="G108" s="178">
        <v>2124568.3050000002</v>
      </c>
      <c r="H108" s="121">
        <f t="shared" si="17"/>
        <v>78</v>
      </c>
      <c r="I108" s="23">
        <f>IFERROR(100/'Skjema total MA'!F108*G108,0)</f>
        <v>8.9306818680420275</v>
      </c>
      <c r="J108" s="225">
        <f t="shared" si="36"/>
        <v>135267329</v>
      </c>
      <c r="K108" s="36">
        <f t="shared" si="36"/>
        <v>135410877.99900001</v>
      </c>
      <c r="L108" s="198">
        <f t="shared" si="19"/>
        <v>0.1</v>
      </c>
      <c r="M108" s="23">
        <f>IFERROR(100/'Skjema total MA'!I108*K108,0)</f>
        <v>38.101816310619611</v>
      </c>
    </row>
    <row r="109" spans="1:13" ht="15.75" x14ac:dyDescent="0.2">
      <c r="A109" s="18" t="s">
        <v>437</v>
      </c>
      <c r="B109" s="178">
        <v>86578</v>
      </c>
      <c r="C109" s="178">
        <v>85395.714999999997</v>
      </c>
      <c r="D109" s="121">
        <f t="shared" si="16"/>
        <v>-1.4</v>
      </c>
      <c r="E109" s="23">
        <f>IFERROR(100/'Skjema total MA'!C109*C109,0)</f>
        <v>3.8121536082310765</v>
      </c>
      <c r="F109" s="178">
        <v>58081785</v>
      </c>
      <c r="G109" s="178">
        <v>72181612</v>
      </c>
      <c r="H109" s="121">
        <f t="shared" si="17"/>
        <v>24.3</v>
      </c>
      <c r="I109" s="23">
        <f>IFERROR(100/'Skjema total MA'!F109*G109,0)</f>
        <v>28.885432431283483</v>
      </c>
      <c r="J109" s="225">
        <f t="shared" si="36"/>
        <v>58168363</v>
      </c>
      <c r="K109" s="36">
        <f t="shared" si="36"/>
        <v>72267007.715000004</v>
      </c>
      <c r="L109" s="198">
        <f t="shared" si="19"/>
        <v>24.2</v>
      </c>
      <c r="M109" s="23">
        <f>IFERROR(100/'Skjema total MA'!I109*K109,0)</f>
        <v>28.662664177760966</v>
      </c>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v>235652</v>
      </c>
      <c r="C111" s="117">
        <v>244350</v>
      </c>
      <c r="D111" s="125">
        <f t="shared" si="16"/>
        <v>3.7</v>
      </c>
      <c r="E111" s="8">
        <f>IFERROR(100/'Skjema total MA'!C111*C111,0)</f>
        <v>43.308194617861552</v>
      </c>
      <c r="F111" s="244">
        <v>12398128</v>
      </c>
      <c r="G111" s="117">
        <v>14897959</v>
      </c>
      <c r="H111" s="125">
        <f t="shared" si="17"/>
        <v>20.2</v>
      </c>
      <c r="I111" s="8">
        <f>IFERROR(100/'Skjema total MA'!F111*G111,0)</f>
        <v>29.324659118122231</v>
      </c>
      <c r="J111" s="245">
        <f t="shared" si="36"/>
        <v>12633780</v>
      </c>
      <c r="K111" s="180">
        <f t="shared" si="36"/>
        <v>15142309</v>
      </c>
      <c r="L111" s="339">
        <f t="shared" si="19"/>
        <v>19.899999999999999</v>
      </c>
      <c r="M111" s="8">
        <f>IFERROR(100/'Skjema total MA'!I111*K111,0)</f>
        <v>29.478251213103338</v>
      </c>
    </row>
    <row r="112" spans="1:13" x14ac:dyDescent="0.2">
      <c r="A112" s="18" t="s">
        <v>9</v>
      </c>
      <c r="B112" s="178">
        <v>235652</v>
      </c>
      <c r="C112" s="109">
        <v>244350</v>
      </c>
      <c r="D112" s="121">
        <f t="shared" ref="D112:D124" si="59">IF(B112=0, "    ---- ", IF(ABS(ROUND(100/B112*C112-100,1))&lt;999,ROUND(100/B112*C112-100,1),IF(ROUND(100/B112*C112-100,1)&gt;999,999,-999)))</f>
        <v>3.7</v>
      </c>
      <c r="E112" s="23">
        <f>IFERROR(100/'Skjema total MA'!C112*C112,0)</f>
        <v>59.479965371649726</v>
      </c>
      <c r="F112" s="178"/>
      <c r="G112" s="109"/>
      <c r="H112" s="121"/>
      <c r="I112" s="23"/>
      <c r="J112" s="225">
        <f t="shared" ref="J112:K125" si="60">SUM(B112,F112)</f>
        <v>235652</v>
      </c>
      <c r="K112" s="36">
        <f t="shared" si="60"/>
        <v>244350</v>
      </c>
      <c r="L112" s="198">
        <f t="shared" ref="L112:L125" si="61">IF(J112=0, "    ---- ", IF(ABS(ROUND(100/J112*K112-100,1))&lt;999,ROUND(100/J112*K112-100,1),IF(ROUND(100/J112*K112-100,1)&gt;999,999,-999)))</f>
        <v>3.7</v>
      </c>
      <c r="M112" s="23">
        <f>IFERROR(100/'Skjema total MA'!I112*K112,0)</f>
        <v>59.314160435729626</v>
      </c>
    </row>
    <row r="113" spans="1:13" x14ac:dyDescent="0.2">
      <c r="A113" s="18" t="s">
        <v>10</v>
      </c>
      <c r="B113" s="178"/>
      <c r="C113" s="109"/>
      <c r="D113" s="121"/>
      <c r="E113" s="23"/>
      <c r="F113" s="178">
        <v>12398128</v>
      </c>
      <c r="G113" s="109">
        <v>14897959</v>
      </c>
      <c r="H113" s="121">
        <f t="shared" ref="H113:H125" si="62">IF(F113=0, "    ---- ", IF(ABS(ROUND(100/F113*G113-100,1))&lt;999,ROUND(100/F113*G113-100,1),IF(ROUND(100/F113*G113-100,1)&gt;999,999,-999)))</f>
        <v>20.2</v>
      </c>
      <c r="I113" s="23">
        <f>IFERROR(100/'Skjema total MA'!F113*G113,0)</f>
        <v>29.329103741492311</v>
      </c>
      <c r="J113" s="225">
        <f t="shared" si="60"/>
        <v>12398128</v>
      </c>
      <c r="K113" s="36">
        <f t="shared" si="60"/>
        <v>14897959</v>
      </c>
      <c r="L113" s="198">
        <f t="shared" si="61"/>
        <v>20.2</v>
      </c>
      <c r="M113" s="23">
        <f>IFERROR(100/'Skjema total MA'!I113*K113,0)</f>
        <v>29.329103741492311</v>
      </c>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v>76578</v>
      </c>
      <c r="C116" s="178">
        <v>32635.010470000001</v>
      </c>
      <c r="D116" s="121">
        <f t="shared" si="59"/>
        <v>-57.4</v>
      </c>
      <c r="E116" s="23">
        <f>IFERROR(100/'Skjema total MA'!C116*C116,0)</f>
        <v>56.922695057389205</v>
      </c>
      <c r="F116" s="178"/>
      <c r="G116" s="178"/>
      <c r="H116" s="121"/>
      <c r="I116" s="23"/>
      <c r="J116" s="225">
        <f t="shared" si="60"/>
        <v>76578</v>
      </c>
      <c r="K116" s="36">
        <f t="shared" si="60"/>
        <v>32635.010470000001</v>
      </c>
      <c r="L116" s="198">
        <f t="shared" si="61"/>
        <v>-57.4</v>
      </c>
      <c r="M116" s="23">
        <f>IFERROR(100/'Skjema total MA'!I116*K116,0)</f>
        <v>55.8049187961863</v>
      </c>
    </row>
    <row r="117" spans="1:13" ht="15.75" x14ac:dyDescent="0.2">
      <c r="A117" s="18" t="s">
        <v>437</v>
      </c>
      <c r="B117" s="178"/>
      <c r="C117" s="178"/>
      <c r="D117" s="121"/>
      <c r="E117" s="23"/>
      <c r="F117" s="178">
        <v>9686347</v>
      </c>
      <c r="G117" s="178">
        <v>11858811.75</v>
      </c>
      <c r="H117" s="121">
        <f t="shared" si="62"/>
        <v>22.4</v>
      </c>
      <c r="I117" s="23">
        <f>IFERROR(100/'Skjema total MA'!F117*G117,0)</f>
        <v>34.475852361467176</v>
      </c>
      <c r="J117" s="225">
        <f t="shared" si="60"/>
        <v>9686347</v>
      </c>
      <c r="K117" s="36">
        <f t="shared" si="60"/>
        <v>11858811.75</v>
      </c>
      <c r="L117" s="198">
        <f t="shared" si="61"/>
        <v>22.4</v>
      </c>
      <c r="M117" s="23">
        <f>IFERROR(100/'Skjema total MA'!I117*K117,0)</f>
        <v>34.475852361467176</v>
      </c>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v>110139</v>
      </c>
      <c r="C119" s="117">
        <v>90649</v>
      </c>
      <c r="D119" s="125">
        <f t="shared" si="59"/>
        <v>-17.7</v>
      </c>
      <c r="E119" s="8">
        <f>IFERROR(100/'Skjema total MA'!C119*C119,0)</f>
        <v>29.23358649765435</v>
      </c>
      <c r="F119" s="244">
        <v>14066653</v>
      </c>
      <c r="G119" s="117">
        <v>17574977</v>
      </c>
      <c r="H119" s="125">
        <f t="shared" si="62"/>
        <v>24.9</v>
      </c>
      <c r="I119" s="8">
        <f>IFERROR(100/'Skjema total MA'!F119*G119,0)</f>
        <v>31.407190233725341</v>
      </c>
      <c r="J119" s="245">
        <f t="shared" si="60"/>
        <v>14176792</v>
      </c>
      <c r="K119" s="180">
        <f t="shared" si="60"/>
        <v>17665626</v>
      </c>
      <c r="L119" s="339">
        <f t="shared" si="61"/>
        <v>24.6</v>
      </c>
      <c r="M119" s="8">
        <f>IFERROR(100/'Skjema total MA'!I119*K119,0)</f>
        <v>31.395211920182604</v>
      </c>
    </row>
    <row r="120" spans="1:13" x14ac:dyDescent="0.2">
      <c r="A120" s="18" t="s">
        <v>9</v>
      </c>
      <c r="B120" s="178">
        <v>110139</v>
      </c>
      <c r="C120" s="109">
        <v>90649</v>
      </c>
      <c r="D120" s="121">
        <f t="shared" si="59"/>
        <v>-17.7</v>
      </c>
      <c r="E120" s="23">
        <f>IFERROR(100/'Skjema total MA'!C120*C120,0)</f>
        <v>56.219481044021599</v>
      </c>
      <c r="F120" s="178"/>
      <c r="G120" s="109"/>
      <c r="H120" s="121"/>
      <c r="I120" s="23"/>
      <c r="J120" s="225">
        <f t="shared" si="60"/>
        <v>110139</v>
      </c>
      <c r="K120" s="36">
        <f t="shared" si="60"/>
        <v>90649</v>
      </c>
      <c r="L120" s="198">
        <f t="shared" si="61"/>
        <v>-17.7</v>
      </c>
      <c r="M120" s="23">
        <f>IFERROR(100/'Skjema total MA'!I120*K120,0)</f>
        <v>56.219481044021599</v>
      </c>
    </row>
    <row r="121" spans="1:13" x14ac:dyDescent="0.2">
      <c r="A121" s="18" t="s">
        <v>10</v>
      </c>
      <c r="B121" s="178"/>
      <c r="C121" s="109"/>
      <c r="D121" s="121"/>
      <c r="E121" s="23"/>
      <c r="F121" s="178">
        <v>14066653</v>
      </c>
      <c r="G121" s="109">
        <v>17574977</v>
      </c>
      <c r="H121" s="121">
        <f t="shared" si="62"/>
        <v>24.9</v>
      </c>
      <c r="I121" s="23">
        <f>IFERROR(100/'Skjema total MA'!F121*G121,0)</f>
        <v>31.407190233725341</v>
      </c>
      <c r="J121" s="225">
        <f t="shared" si="60"/>
        <v>14066653</v>
      </c>
      <c r="K121" s="36">
        <f t="shared" si="60"/>
        <v>17574977</v>
      </c>
      <c r="L121" s="198">
        <f t="shared" si="61"/>
        <v>24.9</v>
      </c>
      <c r="M121" s="23">
        <f>IFERROR(100/'Skjema total MA'!I121*K121,0)</f>
        <v>31.397053030346431</v>
      </c>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v>65027</v>
      </c>
      <c r="C124" s="178">
        <v>19588.527999999998</v>
      </c>
      <c r="D124" s="121">
        <f t="shared" si="59"/>
        <v>-69.900000000000006</v>
      </c>
      <c r="E124" s="23">
        <f>IFERROR(100/'Skjema total MA'!C124*C124,0)</f>
        <v>85.836436392283318</v>
      </c>
      <c r="F124" s="178"/>
      <c r="G124" s="178"/>
      <c r="H124" s="121"/>
      <c r="I124" s="23"/>
      <c r="J124" s="225">
        <f t="shared" si="60"/>
        <v>65027</v>
      </c>
      <c r="K124" s="36">
        <f t="shared" si="60"/>
        <v>19588.527999999998</v>
      </c>
      <c r="L124" s="198">
        <f t="shared" si="61"/>
        <v>-69.900000000000006</v>
      </c>
      <c r="M124" s="23">
        <f>IFERROR(100/'Skjema total MA'!I124*K124,0)</f>
        <v>40.33529363726452</v>
      </c>
    </row>
    <row r="125" spans="1:13" ht="15.75" x14ac:dyDescent="0.2">
      <c r="A125" s="18" t="s">
        <v>437</v>
      </c>
      <c r="B125" s="178"/>
      <c r="C125" s="178"/>
      <c r="D125" s="121"/>
      <c r="E125" s="23"/>
      <c r="F125" s="178">
        <v>10265239</v>
      </c>
      <c r="G125" s="178">
        <v>12223053.42</v>
      </c>
      <c r="H125" s="121">
        <f t="shared" si="62"/>
        <v>19.100000000000001</v>
      </c>
      <c r="I125" s="23">
        <f>IFERROR(100/'Skjema total MA'!F125*G125,0)</f>
        <v>35.765717119827222</v>
      </c>
      <c r="J125" s="225">
        <f t="shared" si="60"/>
        <v>10265239</v>
      </c>
      <c r="K125" s="36">
        <f t="shared" si="60"/>
        <v>12223053.42</v>
      </c>
      <c r="L125" s="198">
        <f t="shared" si="61"/>
        <v>19.100000000000001</v>
      </c>
      <c r="M125" s="23">
        <f>IFERROR(100/'Skjema total MA'!I125*K125,0)</f>
        <v>35.762215876874592</v>
      </c>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304" priority="10">
      <formula>kvartal &lt; 4</formula>
    </cfRule>
  </conditionalFormatting>
  <conditionalFormatting sqref="A80:A85">
    <cfRule type="expression" dxfId="1303" priority="9">
      <formula>kvartal &lt; 4</formula>
    </cfRule>
  </conditionalFormatting>
  <conditionalFormatting sqref="A90:A95">
    <cfRule type="expression" dxfId="1302" priority="6">
      <formula>kvartal &lt; 4</formula>
    </cfRule>
  </conditionalFormatting>
  <conditionalFormatting sqref="A101:A106">
    <cfRule type="expression" dxfId="1301" priority="5">
      <formula>kvartal &lt; 4</formula>
    </cfRule>
  </conditionalFormatting>
  <conditionalFormatting sqref="A50:C52">
    <cfRule type="expression" dxfId="1300" priority="12">
      <formula>kvartal &lt; 4</formula>
    </cfRule>
  </conditionalFormatting>
  <conditionalFormatting sqref="A115:C115">
    <cfRule type="expression" dxfId="1299" priority="4">
      <formula>kvartal &lt; 4</formula>
    </cfRule>
  </conditionalFormatting>
  <conditionalFormatting sqref="A123:C123">
    <cfRule type="expression" dxfId="1298" priority="3">
      <formula>kvartal &lt; 4</formula>
    </cfRule>
  </conditionalFormatting>
  <conditionalFormatting sqref="B69:C69">
    <cfRule type="expression" dxfId="1297" priority="99">
      <formula>kvartal &lt; 4</formula>
    </cfRule>
  </conditionalFormatting>
  <conditionalFormatting sqref="B72:C72">
    <cfRule type="expression" dxfId="1296" priority="97">
      <formula>kvartal &lt; 4</formula>
    </cfRule>
  </conditionalFormatting>
  <conditionalFormatting sqref="B80:C80">
    <cfRule type="expression" dxfId="1295" priority="95">
      <formula>kvartal &lt; 4</formula>
    </cfRule>
  </conditionalFormatting>
  <conditionalFormatting sqref="B83:C83">
    <cfRule type="expression" dxfId="1294" priority="93">
      <formula>kvartal &lt; 4</formula>
    </cfRule>
  </conditionalFormatting>
  <conditionalFormatting sqref="B90:C90">
    <cfRule type="expression" dxfId="1293" priority="83">
      <formula>kvartal &lt; 4</formula>
    </cfRule>
  </conditionalFormatting>
  <conditionalFormatting sqref="B93:C93">
    <cfRule type="expression" dxfId="1292" priority="81">
      <formula>kvartal &lt; 4</formula>
    </cfRule>
  </conditionalFormatting>
  <conditionalFormatting sqref="B101:C101">
    <cfRule type="expression" dxfId="1291" priority="79">
      <formula>kvartal &lt; 4</formula>
    </cfRule>
  </conditionalFormatting>
  <conditionalFormatting sqref="B104:C104">
    <cfRule type="expression" dxfId="1290" priority="77">
      <formula>kvartal &lt; 4</formula>
    </cfRule>
  </conditionalFormatting>
  <conditionalFormatting sqref="F69:G74">
    <cfRule type="expression" dxfId="1289" priority="54">
      <formula>kvartal &lt; 4</formula>
    </cfRule>
  </conditionalFormatting>
  <conditionalFormatting sqref="F80:G85">
    <cfRule type="expression" dxfId="1288" priority="52">
      <formula>kvartal &lt; 4</formula>
    </cfRule>
  </conditionalFormatting>
  <conditionalFormatting sqref="F90:G95">
    <cfRule type="expression" dxfId="1287" priority="44">
      <formula>kvartal &lt; 4</formula>
    </cfRule>
  </conditionalFormatting>
  <conditionalFormatting sqref="F101:G106">
    <cfRule type="expression" dxfId="1286" priority="40">
      <formula>kvartal &lt; 4</formula>
    </cfRule>
  </conditionalFormatting>
  <conditionalFormatting sqref="F115:G115">
    <cfRule type="expression" dxfId="1285" priority="57">
      <formula>kvartal &lt; 4</formula>
    </cfRule>
  </conditionalFormatting>
  <conditionalFormatting sqref="F123:G123">
    <cfRule type="expression" dxfId="1284" priority="56">
      <formula>kvartal &lt; 4</formula>
    </cfRule>
  </conditionalFormatting>
  <conditionalFormatting sqref="J69:K71 J73:K73">
    <cfRule type="expression" dxfId="1283" priority="39">
      <formula>kvartal &lt; 4</formula>
    </cfRule>
  </conditionalFormatting>
  <conditionalFormatting sqref="J80:K82 J84:K84">
    <cfRule type="expression" dxfId="1282" priority="37">
      <formula>kvartal &lt; 4</formula>
    </cfRule>
  </conditionalFormatting>
  <conditionalFormatting sqref="J92:K92 J94:K94">
    <cfRule type="expression" dxfId="1281" priority="34">
      <formula>kvartal &lt; 4</formula>
    </cfRule>
  </conditionalFormatting>
  <conditionalFormatting sqref="J101:K103 J105:K105">
    <cfRule type="expression" dxfId="1280" priority="33">
      <formula>kvartal &lt; 4</formula>
    </cfRule>
  </conditionalFormatting>
  <conditionalFormatting sqref="J115:K115">
    <cfRule type="expression" dxfId="1279" priority="32">
      <formula>kvartal &lt; 4</formula>
    </cfRule>
  </conditionalFormatting>
  <conditionalFormatting sqref="J123:K123">
    <cfRule type="expression" dxfId="1278" priority="31">
      <formula>kvartal &lt; 4</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55</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416411</v>
      </c>
      <c r="C7" s="243"/>
      <c r="D7" s="278">
        <f>IF(B7=0, "    ---- ", IF(ABS(ROUND(100/B7*C7-100,1))&lt;999,ROUND(100/B7*C7-100,1),IF(ROUND(100/B7*C7-100,1)&gt;999,999,-999)))</f>
        <v>-100</v>
      </c>
      <c r="E7" s="8">
        <f>IFERROR(100/'Skjema total MA'!C7*C7,0)</f>
        <v>0</v>
      </c>
      <c r="F7" s="242"/>
      <c r="G7" s="243"/>
      <c r="H7" s="278"/>
      <c r="I7" s="118"/>
      <c r="J7" s="244">
        <f t="shared" ref="J7:K10" si="0">SUM(B7,F7)</f>
        <v>416411</v>
      </c>
      <c r="K7" s="245">
        <f t="shared" si="0"/>
        <v>0</v>
      </c>
      <c r="L7" s="338">
        <f>IF(J7=0, "    ---- ", IF(ABS(ROUND(100/J7*K7-100,1))&lt;999,ROUND(100/J7*K7-100,1),IF(ROUND(100/J7*K7-100,1)&gt;999,999,-999)))</f>
        <v>-100</v>
      </c>
      <c r="M7" s="8">
        <f>IFERROR(100/'Skjema total MA'!I7*K7,0)</f>
        <v>0</v>
      </c>
    </row>
    <row r="8" spans="1:14" ht="15.75" x14ac:dyDescent="0.2">
      <c r="A8" s="18" t="s">
        <v>25</v>
      </c>
      <c r="B8" s="219">
        <v>204645</v>
      </c>
      <c r="C8" s="220"/>
      <c r="D8" s="121">
        <f t="shared" ref="D8:D10" si="1">IF(B8=0, "    ---- ", IF(ABS(ROUND(100/B8*C8-100,1))&lt;999,ROUND(100/B8*C8-100,1),IF(ROUND(100/B8*C8-100,1)&gt;999,999,-999)))</f>
        <v>-100</v>
      </c>
      <c r="E8" s="23">
        <f>IFERROR(100/'Skjema total MA'!C8*C8,0)</f>
        <v>0</v>
      </c>
      <c r="F8" s="223"/>
      <c r="G8" s="224"/>
      <c r="H8" s="121"/>
      <c r="I8" s="129"/>
      <c r="J8" s="178">
        <f t="shared" si="0"/>
        <v>204645</v>
      </c>
      <c r="K8" s="225">
        <f t="shared" si="0"/>
        <v>0</v>
      </c>
      <c r="L8" s="121">
        <f t="shared" ref="L8:L9" si="2">IF(J8=0, "    ---- ", IF(ABS(ROUND(100/J8*K8-100,1))&lt;999,ROUND(100/J8*K8-100,1),IF(ROUND(100/J8*K8-100,1)&gt;999,999,-999)))</f>
        <v>-100</v>
      </c>
      <c r="M8" s="23">
        <f>IFERROR(100/'Skjema total MA'!I8*K8,0)</f>
        <v>0</v>
      </c>
    </row>
    <row r="9" spans="1:14" ht="15.75" x14ac:dyDescent="0.2">
      <c r="A9" s="18" t="s">
        <v>24</v>
      </c>
      <c r="B9" s="219">
        <v>211766</v>
      </c>
      <c r="C9" s="220"/>
      <c r="D9" s="121">
        <f t="shared" si="1"/>
        <v>-100</v>
      </c>
      <c r="E9" s="23">
        <f>IFERROR(100/'Skjema total MA'!C9*C9,0)</f>
        <v>0</v>
      </c>
      <c r="F9" s="223"/>
      <c r="G9" s="224"/>
      <c r="H9" s="121"/>
      <c r="I9" s="129"/>
      <c r="J9" s="178">
        <f t="shared" si="0"/>
        <v>211766</v>
      </c>
      <c r="K9" s="225">
        <f t="shared" si="0"/>
        <v>0</v>
      </c>
      <c r="L9" s="121">
        <f t="shared" si="2"/>
        <v>-100</v>
      </c>
      <c r="M9" s="23">
        <f>IFERROR(100/'Skjema total MA'!I9*K9,0)</f>
        <v>0</v>
      </c>
    </row>
    <row r="10" spans="1:14" ht="15.75" x14ac:dyDescent="0.2">
      <c r="A10" s="10" t="s">
        <v>386</v>
      </c>
      <c r="B10" s="246">
        <v>689960</v>
      </c>
      <c r="C10" s="247"/>
      <c r="D10" s="125">
        <f t="shared" si="1"/>
        <v>-100</v>
      </c>
      <c r="E10" s="8">
        <f>IFERROR(100/'Skjema total MA'!C10*C10,0)</f>
        <v>0</v>
      </c>
      <c r="F10" s="246"/>
      <c r="G10" s="247"/>
      <c r="H10" s="125"/>
      <c r="I10" s="118"/>
      <c r="J10" s="244">
        <f t="shared" si="0"/>
        <v>689960</v>
      </c>
      <c r="K10" s="245">
        <f t="shared" si="0"/>
        <v>0</v>
      </c>
      <c r="L10" s="339">
        <f t="shared" ref="L10" si="3">IF(J10=0, "    ---- ", IF(ABS(ROUND(100/J10*K10-100,1))&lt;999,ROUND(100/J10*K10-100,1),IF(ROUND(100/J10*K10-100,1)&gt;999,999,-999)))</f>
        <v>-100</v>
      </c>
      <c r="M10" s="8">
        <f>IFERROR(100/'Skjema total MA'!I10*K10,0)</f>
        <v>0</v>
      </c>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538</v>
      </c>
      <c r="C28" s="225"/>
      <c r="D28" s="121">
        <f t="shared" ref="D28" si="4">IF(B28=0, "    ---- ", IF(ABS(ROUND(100/B28*C28-100,1))&lt;999,ROUND(100/B28*C28-100,1),IF(ROUND(100/B28*C28-100,1)&gt;999,999,-999)))</f>
        <v>-100</v>
      </c>
      <c r="E28" s="8">
        <f>IFERROR(100/'Skjema total MA'!C28*C28,0)</f>
        <v>0</v>
      </c>
      <c r="F28" s="178"/>
      <c r="G28" s="225"/>
      <c r="H28" s="121"/>
      <c r="I28" s="23"/>
      <c r="J28" s="36">
        <f t="shared" ref="J28:K28" si="5">SUM(B28,F28)</f>
        <v>538</v>
      </c>
      <c r="K28" s="36">
        <f t="shared" si="5"/>
        <v>0</v>
      </c>
      <c r="L28" s="198">
        <f t="shared" ref="L28" si="6">IF(J28=0, "    ---- ", IF(ABS(ROUND(100/J28*K28-100,1))&lt;999,ROUND(100/J28*K28-100,1),IF(ROUND(100/J28*K28-100,1)&gt;999,999,-999)))</f>
        <v>-100</v>
      </c>
      <c r="M28" s="20">
        <f>IFERROR(100/'Skjema total MA'!I28*K28,0)</f>
        <v>0</v>
      </c>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42537</v>
      </c>
      <c r="C47" s="247"/>
      <c r="D47" s="338">
        <f t="shared" ref="D47:D48" si="7">IF(B47=0, "    ---- ", IF(ABS(ROUND(100/B47*C47-100,1))&lt;999,ROUND(100/B47*C47-100,1),IF(ROUND(100/B47*C47-100,1)&gt;999,999,-999)))</f>
        <v>-100</v>
      </c>
      <c r="E47" s="8">
        <f>IFERROR(100/'Skjema total MA'!C47*C47,0)</f>
        <v>0</v>
      </c>
      <c r="F47" s="109"/>
      <c r="G47" s="27"/>
      <c r="H47" s="117"/>
      <c r="I47" s="117"/>
      <c r="J47" s="31"/>
      <c r="K47" s="31"/>
      <c r="L47" s="117"/>
      <c r="M47" s="117"/>
    </row>
    <row r="48" spans="1:13" ht="15.75" x14ac:dyDescent="0.2">
      <c r="A48" s="18" t="s">
        <v>397</v>
      </c>
      <c r="B48" s="219">
        <v>42537</v>
      </c>
      <c r="C48" s="220"/>
      <c r="D48" s="198">
        <f t="shared" si="7"/>
        <v>-100</v>
      </c>
      <c r="E48" s="23">
        <f>IFERROR(100/'Skjema total MA'!C48*C48,0)</f>
        <v>0</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277" priority="10">
      <formula>kvartal &lt; 4</formula>
    </cfRule>
  </conditionalFormatting>
  <conditionalFormatting sqref="A80:A85">
    <cfRule type="expression" dxfId="1276" priority="9">
      <formula>kvartal &lt; 4</formula>
    </cfRule>
  </conditionalFormatting>
  <conditionalFormatting sqref="A90:A95">
    <cfRule type="expression" dxfId="1275" priority="6">
      <formula>kvartal &lt; 4</formula>
    </cfRule>
  </conditionalFormatting>
  <conditionalFormatting sqref="A101:A106">
    <cfRule type="expression" dxfId="1274" priority="5">
      <formula>kvartal &lt; 4</formula>
    </cfRule>
  </conditionalFormatting>
  <conditionalFormatting sqref="A50:C52">
    <cfRule type="expression" dxfId="1273" priority="12">
      <formula>kvartal &lt; 4</formula>
    </cfRule>
  </conditionalFormatting>
  <conditionalFormatting sqref="A115:C115">
    <cfRule type="expression" dxfId="1272" priority="4">
      <formula>kvartal &lt; 4</formula>
    </cfRule>
  </conditionalFormatting>
  <conditionalFormatting sqref="A123:C123">
    <cfRule type="expression" dxfId="1271" priority="3">
      <formula>kvartal &lt; 4</formula>
    </cfRule>
  </conditionalFormatting>
  <conditionalFormatting sqref="B69:C69">
    <cfRule type="expression" dxfId="1270" priority="99">
      <formula>kvartal &lt; 4</formula>
    </cfRule>
  </conditionalFormatting>
  <conditionalFormatting sqref="B72:C72">
    <cfRule type="expression" dxfId="1269" priority="97">
      <formula>kvartal &lt; 4</formula>
    </cfRule>
  </conditionalFormatting>
  <conditionalFormatting sqref="B80:C80">
    <cfRule type="expression" dxfId="1268" priority="95">
      <formula>kvartal &lt; 4</formula>
    </cfRule>
  </conditionalFormatting>
  <conditionalFormatting sqref="B83:C83">
    <cfRule type="expression" dxfId="1267" priority="93">
      <formula>kvartal &lt; 4</formula>
    </cfRule>
  </conditionalFormatting>
  <conditionalFormatting sqref="B90:C90">
    <cfRule type="expression" dxfId="1266" priority="83">
      <formula>kvartal &lt; 4</formula>
    </cfRule>
  </conditionalFormatting>
  <conditionalFormatting sqref="B93:C93">
    <cfRule type="expression" dxfId="1265" priority="81">
      <formula>kvartal &lt; 4</formula>
    </cfRule>
  </conditionalFormatting>
  <conditionalFormatting sqref="B101:C101">
    <cfRule type="expression" dxfId="1264" priority="79">
      <formula>kvartal &lt; 4</formula>
    </cfRule>
  </conditionalFormatting>
  <conditionalFormatting sqref="B104:C104">
    <cfRule type="expression" dxfId="1263" priority="77">
      <formula>kvartal &lt; 4</formula>
    </cfRule>
  </conditionalFormatting>
  <conditionalFormatting sqref="F69:G74">
    <cfRule type="expression" dxfId="1262" priority="54">
      <formula>kvartal &lt; 4</formula>
    </cfRule>
  </conditionalFormatting>
  <conditionalFormatting sqref="F80:G85">
    <cfRule type="expression" dxfId="1261" priority="52">
      <formula>kvartal &lt; 4</formula>
    </cfRule>
  </conditionalFormatting>
  <conditionalFormatting sqref="F90:G95">
    <cfRule type="expression" dxfId="1260" priority="44">
      <formula>kvartal &lt; 4</formula>
    </cfRule>
  </conditionalFormatting>
  <conditionalFormatting sqref="F101:G106">
    <cfRule type="expression" dxfId="1259" priority="40">
      <formula>kvartal &lt; 4</formula>
    </cfRule>
  </conditionalFormatting>
  <conditionalFormatting sqref="F115:G115">
    <cfRule type="expression" dxfId="1258" priority="57">
      <formula>kvartal &lt; 4</formula>
    </cfRule>
  </conditionalFormatting>
  <conditionalFormatting sqref="F123:G123">
    <cfRule type="expression" dxfId="1257" priority="56">
      <formula>kvartal &lt; 4</formula>
    </cfRule>
  </conditionalFormatting>
  <conditionalFormatting sqref="J69:K74">
    <cfRule type="expression" dxfId="1256" priority="38">
      <formula>kvartal &lt; 4</formula>
    </cfRule>
  </conditionalFormatting>
  <conditionalFormatting sqref="J80:K85">
    <cfRule type="expression" dxfId="1255" priority="37">
      <formula>kvartal &lt; 4</formula>
    </cfRule>
  </conditionalFormatting>
  <conditionalFormatting sqref="J90:K95">
    <cfRule type="expression" dxfId="1254" priority="34">
      <formula>kvartal &lt; 4</formula>
    </cfRule>
  </conditionalFormatting>
  <conditionalFormatting sqref="J101:K106">
    <cfRule type="expression" dxfId="1253" priority="33">
      <formula>kvartal &lt; 4</formula>
    </cfRule>
  </conditionalFormatting>
  <conditionalFormatting sqref="J115:K115">
    <cfRule type="expression" dxfId="1252" priority="32">
      <formula>kvartal &lt; 4</formula>
    </cfRule>
  </conditionalFormatting>
  <conditionalFormatting sqref="J123:K123">
    <cfRule type="expression" dxfId="1251" priority="3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sheetPr codeName="Ark8"/>
  <dimension ref="A1:N144"/>
  <sheetViews>
    <sheetView showGridLines="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428</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330"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118"/>
      <c r="J22" s="252"/>
      <c r="K22" s="252"/>
      <c r="L22" s="338"/>
      <c r="M22" s="21"/>
    </row>
    <row r="23" spans="1:13" ht="15.75" x14ac:dyDescent="0.2">
      <c r="A23" s="379" t="s">
        <v>389</v>
      </c>
      <c r="B23" s="219"/>
      <c r="C23" s="219"/>
      <c r="D23" s="121"/>
      <c r="E23" s="8"/>
      <c r="F23" s="228"/>
      <c r="G23" s="228"/>
      <c r="H23" s="121"/>
      <c r="I23" s="184"/>
      <c r="J23" s="228"/>
      <c r="K23" s="228"/>
      <c r="L23" s="121"/>
      <c r="M23" s="20"/>
    </row>
    <row r="24" spans="1:13" ht="15.75" x14ac:dyDescent="0.2">
      <c r="A24" s="379" t="s">
        <v>390</v>
      </c>
      <c r="B24" s="219"/>
      <c r="C24" s="219"/>
      <c r="D24" s="121"/>
      <c r="E24" s="8"/>
      <c r="F24" s="228"/>
      <c r="G24" s="228"/>
      <c r="H24" s="121"/>
      <c r="I24" s="184"/>
      <c r="J24" s="228"/>
      <c r="K24" s="228"/>
      <c r="L24" s="121"/>
      <c r="M24" s="20"/>
    </row>
    <row r="25" spans="1:13" ht="15.75" x14ac:dyDescent="0.2">
      <c r="A25" s="379" t="s">
        <v>391</v>
      </c>
      <c r="B25" s="219"/>
      <c r="C25" s="219"/>
      <c r="D25" s="121"/>
      <c r="E25" s="8"/>
      <c r="F25" s="228"/>
      <c r="G25" s="228"/>
      <c r="H25" s="121"/>
      <c r="I25" s="184"/>
      <c r="J25" s="228"/>
      <c r="K25" s="228"/>
      <c r="L25" s="121"/>
      <c r="M25" s="20"/>
    </row>
    <row r="26" spans="1:13" ht="15.75" x14ac:dyDescent="0.2">
      <c r="A26" s="379" t="s">
        <v>392</v>
      </c>
      <c r="B26" s="219"/>
      <c r="C26" s="219"/>
      <c r="D26" s="121"/>
      <c r="E26" s="8"/>
      <c r="F26" s="228"/>
      <c r="G26" s="228"/>
      <c r="H26" s="121"/>
      <c r="I26" s="184"/>
      <c r="J26" s="228"/>
      <c r="K26" s="228"/>
      <c r="L26" s="121"/>
      <c r="M26" s="20"/>
    </row>
    <row r="27" spans="1:13" x14ac:dyDescent="0.2">
      <c r="A27" s="379" t="s">
        <v>11</v>
      </c>
      <c r="B27" s="219"/>
      <c r="C27" s="219"/>
      <c r="D27" s="121"/>
      <c r="E27" s="8"/>
      <c r="F27" s="228"/>
      <c r="G27" s="228"/>
      <c r="H27" s="121"/>
      <c r="I27" s="184"/>
      <c r="J27" s="228"/>
      <c r="K27" s="228"/>
      <c r="L27" s="121"/>
      <c r="M27" s="20"/>
    </row>
    <row r="28" spans="1:13" ht="15.75" x14ac:dyDescent="0.2">
      <c r="A28" s="39" t="s">
        <v>245</v>
      </c>
      <c r="B28" s="36"/>
      <c r="C28" s="225"/>
      <c r="D28" s="121"/>
      <c r="E28" s="8"/>
      <c r="F28" s="178"/>
      <c r="G28" s="225"/>
      <c r="H28" s="121"/>
      <c r="I28" s="129"/>
      <c r="J28" s="36"/>
      <c r="K28" s="36"/>
      <c r="L28" s="198"/>
      <c r="M28" s="20"/>
    </row>
    <row r="29" spans="1:13" ht="15.75" x14ac:dyDescent="0.2">
      <c r="A29" s="10" t="s">
        <v>386</v>
      </c>
      <c r="B29" s="180"/>
      <c r="C29" s="180"/>
      <c r="D29" s="125"/>
      <c r="E29" s="8"/>
      <c r="F29" s="244"/>
      <c r="G29" s="244"/>
      <c r="H29" s="125"/>
      <c r="I29" s="118"/>
      <c r="J29" s="180"/>
      <c r="K29" s="180"/>
      <c r="L29" s="339"/>
      <c r="M29" s="21"/>
    </row>
    <row r="30" spans="1:13" ht="15.75" x14ac:dyDescent="0.2">
      <c r="A30" s="379" t="s">
        <v>389</v>
      </c>
      <c r="B30" s="219"/>
      <c r="C30" s="219"/>
      <c r="D30" s="121"/>
      <c r="E30" s="8"/>
      <c r="F30" s="228"/>
      <c r="G30" s="228"/>
      <c r="H30" s="121"/>
      <c r="I30" s="184"/>
      <c r="J30" s="228"/>
      <c r="K30" s="228"/>
      <c r="L30" s="121"/>
      <c r="M30" s="20"/>
    </row>
    <row r="31" spans="1:13" ht="15.75" x14ac:dyDescent="0.2">
      <c r="A31" s="379" t="s">
        <v>390</v>
      </c>
      <c r="B31" s="219"/>
      <c r="C31" s="219"/>
      <c r="D31" s="121"/>
      <c r="E31" s="8"/>
      <c r="F31" s="228"/>
      <c r="G31" s="228"/>
      <c r="H31" s="121"/>
      <c r="I31" s="184"/>
      <c r="J31" s="228"/>
      <c r="K31" s="228"/>
      <c r="L31" s="121"/>
      <c r="M31" s="20"/>
    </row>
    <row r="32" spans="1:13" ht="15.75" x14ac:dyDescent="0.2">
      <c r="A32" s="379" t="s">
        <v>391</v>
      </c>
      <c r="B32" s="219"/>
      <c r="C32" s="219"/>
      <c r="D32" s="121"/>
      <c r="E32" s="8"/>
      <c r="F32" s="228"/>
      <c r="G32" s="228"/>
      <c r="H32" s="121"/>
      <c r="I32" s="184"/>
      <c r="J32" s="228"/>
      <c r="K32" s="228"/>
      <c r="L32" s="121"/>
      <c r="M32" s="20"/>
    </row>
    <row r="33" spans="1:13" ht="15.75" x14ac:dyDescent="0.2">
      <c r="A33" s="379" t="s">
        <v>392</v>
      </c>
      <c r="B33" s="219"/>
      <c r="C33" s="219"/>
      <c r="D33" s="121"/>
      <c r="E33" s="8"/>
      <c r="F33" s="228"/>
      <c r="G33" s="228"/>
      <c r="H33" s="121"/>
      <c r="I33" s="184"/>
      <c r="J33" s="228"/>
      <c r="K33" s="228"/>
      <c r="L33" s="121"/>
      <c r="M33" s="20"/>
    </row>
    <row r="34" spans="1:13" ht="15.75" x14ac:dyDescent="0.2">
      <c r="A34" s="10" t="s">
        <v>387</v>
      </c>
      <c r="B34" s="180"/>
      <c r="C34" s="245"/>
      <c r="D34" s="125"/>
      <c r="E34" s="8"/>
      <c r="F34" s="244"/>
      <c r="G34" s="245"/>
      <c r="H34" s="125"/>
      <c r="I34" s="118"/>
      <c r="J34" s="180"/>
      <c r="K34" s="180"/>
      <c r="L34" s="339"/>
      <c r="M34" s="21"/>
    </row>
    <row r="35" spans="1:13" ht="15.75" x14ac:dyDescent="0.2">
      <c r="A35" s="10" t="s">
        <v>388</v>
      </c>
      <c r="B35" s="180"/>
      <c r="C35" s="245"/>
      <c r="D35" s="125"/>
      <c r="E35" s="8"/>
      <c r="F35" s="244"/>
      <c r="G35" s="245"/>
      <c r="H35" s="125"/>
      <c r="I35" s="118"/>
      <c r="J35" s="180"/>
      <c r="K35" s="180"/>
      <c r="L35" s="339"/>
      <c r="M35" s="21"/>
    </row>
    <row r="36" spans="1:13" ht="15.75" x14ac:dyDescent="0.2">
      <c r="A36" s="9" t="s">
        <v>253</v>
      </c>
      <c r="B36" s="180"/>
      <c r="C36" s="245"/>
      <c r="D36" s="125"/>
      <c r="E36" s="8"/>
      <c r="F36" s="255"/>
      <c r="G36" s="256"/>
      <c r="H36" s="125"/>
      <c r="I36" s="341"/>
      <c r="J36" s="180"/>
      <c r="K36" s="180"/>
      <c r="L36" s="339"/>
      <c r="M36" s="21"/>
    </row>
    <row r="37" spans="1:13" ht="15.75" x14ac:dyDescent="0.2">
      <c r="A37" s="9" t="s">
        <v>394</v>
      </c>
      <c r="B37" s="180"/>
      <c r="C37" s="245"/>
      <c r="D37" s="125"/>
      <c r="E37" s="8"/>
      <c r="F37" s="255"/>
      <c r="G37" s="257"/>
      <c r="H37" s="125"/>
      <c r="I37" s="341"/>
      <c r="J37" s="180"/>
      <c r="K37" s="180"/>
      <c r="L37" s="339"/>
      <c r="M37" s="21"/>
    </row>
    <row r="38" spans="1:13" ht="15.75" x14ac:dyDescent="0.2">
      <c r="A38" s="9" t="s">
        <v>395</v>
      </c>
      <c r="B38" s="180"/>
      <c r="C38" s="245"/>
      <c r="D38" s="125"/>
      <c r="E38" s="21"/>
      <c r="F38" s="255"/>
      <c r="G38" s="256"/>
      <c r="H38" s="125"/>
      <c r="I38" s="341"/>
      <c r="J38" s="180"/>
      <c r="K38" s="180"/>
      <c r="L38" s="339"/>
      <c r="M38" s="21"/>
    </row>
    <row r="39" spans="1:13" ht="15.75" x14ac:dyDescent="0.2">
      <c r="A39" s="15" t="s">
        <v>396</v>
      </c>
      <c r="B39" s="214"/>
      <c r="C39" s="251"/>
      <c r="D39" s="123"/>
      <c r="E39" s="30"/>
      <c r="F39" s="258"/>
      <c r="G39" s="259"/>
      <c r="H39" s="123"/>
      <c r="I39" s="123"/>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45333</v>
      </c>
      <c r="C47" s="247">
        <v>57607</v>
      </c>
      <c r="D47" s="338">
        <f t="shared" ref="D47:D55" si="0">IF(B47=0, "    ---- ", IF(ABS(ROUND(100/B47*C47-100,1))&lt;999,ROUND(100/B47*C47-100,1),IF(ROUND(100/B47*C47-100,1)&gt;999,999,-999)))</f>
        <v>27.1</v>
      </c>
      <c r="E47" s="8">
        <f>IFERROR(100/'Skjema total MA'!C47*C47,0)</f>
        <v>0.87550278256017311</v>
      </c>
      <c r="F47" s="109"/>
      <c r="G47" s="27"/>
      <c r="H47" s="117"/>
      <c r="I47" s="117"/>
      <c r="J47" s="31"/>
      <c r="K47" s="31"/>
      <c r="L47" s="117"/>
      <c r="M47" s="117"/>
    </row>
    <row r="48" spans="1:13" ht="15.75" x14ac:dyDescent="0.2">
      <c r="A48" s="18" t="s">
        <v>397</v>
      </c>
      <c r="B48" s="219">
        <v>44387</v>
      </c>
      <c r="C48" s="220">
        <v>56618</v>
      </c>
      <c r="D48" s="198">
        <f t="shared" si="0"/>
        <v>27.6</v>
      </c>
      <c r="E48" s="23">
        <f>IFERROR(100/'Skjema total MA'!C48*C48,0)</f>
        <v>1.5267854159176077</v>
      </c>
      <c r="F48" s="109"/>
      <c r="G48" s="27"/>
      <c r="H48" s="109"/>
      <c r="I48" s="109"/>
      <c r="J48" s="27"/>
      <c r="K48" s="27"/>
      <c r="L48" s="117"/>
      <c r="M48" s="117"/>
    </row>
    <row r="49" spans="1:13" ht="15.75" x14ac:dyDescent="0.2">
      <c r="A49" s="18" t="s">
        <v>398</v>
      </c>
      <c r="B49" s="36">
        <v>946</v>
      </c>
      <c r="C49" s="225">
        <v>989</v>
      </c>
      <c r="D49" s="198">
        <f>IF(B49=0, "    ---- ", IF(ABS(ROUND(100/B49*C49-100,1))&lt;999,ROUND(100/B49*C49-100,1),IF(ROUND(100/B49*C49-100,1)&gt;999,999,-999)))</f>
        <v>4.5</v>
      </c>
      <c r="E49" s="23">
        <f>IFERROR(100/'Skjema total MA'!C49*C49,0)</f>
        <v>3.4441184299665639E-2</v>
      </c>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v>946</v>
      </c>
      <c r="C51" s="229">
        <v>989</v>
      </c>
      <c r="D51" s="198">
        <f>IF(B51=0, "    ---- ", IF(ABS(ROUND(100/B51*C51-100,1))&lt;999,ROUND(100/B51*C51-100,1),IF(ROUND(100/B51*C51-100,1)&gt;999,999,-999)))</f>
        <v>4.5</v>
      </c>
      <c r="E51" s="23">
        <f>IFERROR(100/'Skjema total MA'!C51*C51,0)</f>
        <v>3.4953876670302052E-2</v>
      </c>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v>45333</v>
      </c>
      <c r="C53" s="247">
        <v>57607</v>
      </c>
      <c r="D53" s="339">
        <f t="shared" si="0"/>
        <v>27.1</v>
      </c>
      <c r="E53" s="8">
        <f>IFERROR(100/'Skjema total MA'!C53*C53,0)</f>
        <v>26.288560836574266</v>
      </c>
      <c r="F53" s="109"/>
      <c r="G53" s="27"/>
      <c r="H53" s="109"/>
      <c r="I53" s="109"/>
      <c r="J53" s="27"/>
      <c r="K53" s="27"/>
      <c r="L53" s="117"/>
      <c r="M53" s="117"/>
    </row>
    <row r="54" spans="1:13" ht="15.75" x14ac:dyDescent="0.2">
      <c r="A54" s="18" t="s">
        <v>397</v>
      </c>
      <c r="B54" s="219">
        <v>44387</v>
      </c>
      <c r="C54" s="220">
        <v>56618</v>
      </c>
      <c r="D54" s="198">
        <f t="shared" si="0"/>
        <v>27.6</v>
      </c>
      <c r="E54" s="23">
        <f>IFERROR(100/'Skjema total MA'!C54*C54,0)</f>
        <v>25.954375612647702</v>
      </c>
      <c r="F54" s="109"/>
      <c r="G54" s="27"/>
      <c r="H54" s="109"/>
      <c r="I54" s="109"/>
      <c r="J54" s="27"/>
      <c r="K54" s="27"/>
      <c r="L54" s="117"/>
      <c r="M54" s="117"/>
    </row>
    <row r="55" spans="1:13" ht="15.75" x14ac:dyDescent="0.2">
      <c r="A55" s="18" t="s">
        <v>398</v>
      </c>
      <c r="B55" s="219">
        <v>946</v>
      </c>
      <c r="C55" s="220">
        <v>989</v>
      </c>
      <c r="D55" s="198">
        <f t="shared" si="0"/>
        <v>4.5</v>
      </c>
      <c r="E55" s="23">
        <f>IFERROR(100/'Skjema total MA'!C55*C55,0)</f>
        <v>100</v>
      </c>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18"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69:A74">
    <cfRule type="expression" dxfId="1250" priority="6">
      <formula>kvartal &lt; 4</formula>
    </cfRule>
  </conditionalFormatting>
  <conditionalFormatting sqref="A80:A85">
    <cfRule type="expression" dxfId="1249" priority="5">
      <formula>kvartal &lt; 4</formula>
    </cfRule>
  </conditionalFormatting>
  <conditionalFormatting sqref="A90:A95">
    <cfRule type="expression" dxfId="1248" priority="4">
      <formula>kvartal &lt; 4</formula>
    </cfRule>
  </conditionalFormatting>
  <conditionalFormatting sqref="A101:A106">
    <cfRule type="expression" dxfId="1247" priority="3">
      <formula>kvartal &lt; 4</formula>
    </cfRule>
  </conditionalFormatting>
  <conditionalFormatting sqref="A50:C52">
    <cfRule type="expression" dxfId="1246" priority="7">
      <formula>kvartal &lt; 4</formula>
    </cfRule>
  </conditionalFormatting>
  <conditionalFormatting sqref="A115:C115">
    <cfRule type="expression" dxfId="1245" priority="2">
      <formula>kvartal &lt; 4</formula>
    </cfRule>
  </conditionalFormatting>
  <conditionalFormatting sqref="A123:C123">
    <cfRule type="expression" dxfId="1244" priority="1">
      <formula>kvartal &lt; 4</formula>
    </cfRule>
  </conditionalFormatting>
  <conditionalFormatting sqref="B69:C69">
    <cfRule type="expression" dxfId="1243" priority="57">
      <formula>kvartal &lt; 4</formula>
    </cfRule>
  </conditionalFormatting>
  <conditionalFormatting sqref="B72:C72">
    <cfRule type="expression" dxfId="1242" priority="55">
      <formula>kvartal &lt; 4</formula>
    </cfRule>
  </conditionalFormatting>
  <conditionalFormatting sqref="B80:C80">
    <cfRule type="expression" dxfId="1241" priority="53">
      <formula>kvartal &lt; 4</formula>
    </cfRule>
  </conditionalFormatting>
  <conditionalFormatting sqref="B83:C83">
    <cfRule type="expression" dxfId="1240" priority="51">
      <formula>kvartal &lt; 4</formula>
    </cfRule>
  </conditionalFormatting>
  <conditionalFormatting sqref="B90:C90">
    <cfRule type="expression" dxfId="1239" priority="49">
      <formula>kvartal &lt; 4</formula>
    </cfRule>
  </conditionalFormatting>
  <conditionalFormatting sqref="B93:C93">
    <cfRule type="expression" dxfId="1238" priority="47">
      <formula>kvartal &lt; 4</formula>
    </cfRule>
  </conditionalFormatting>
  <conditionalFormatting sqref="B101:C101">
    <cfRule type="expression" dxfId="1237" priority="45">
      <formula>kvartal &lt; 4</formula>
    </cfRule>
  </conditionalFormatting>
  <conditionalFormatting sqref="B104:C104">
    <cfRule type="expression" dxfId="1236" priority="43">
      <formula>kvartal &lt; 4</formula>
    </cfRule>
  </conditionalFormatting>
  <conditionalFormatting sqref="F69:G74">
    <cfRule type="expression" dxfId="1235" priority="24">
      <formula>kvartal &lt; 4</formula>
    </cfRule>
  </conditionalFormatting>
  <conditionalFormatting sqref="F80:G85">
    <cfRule type="expression" dxfId="1234" priority="22">
      <formula>kvartal &lt; 4</formula>
    </cfRule>
  </conditionalFormatting>
  <conditionalFormatting sqref="F90:G95">
    <cfRule type="expression" dxfId="1233" priority="19">
      <formula>kvartal &lt; 4</formula>
    </cfRule>
  </conditionalFormatting>
  <conditionalFormatting sqref="F101:G106">
    <cfRule type="expression" dxfId="1232" priority="15">
      <formula>kvartal &lt; 4</formula>
    </cfRule>
  </conditionalFormatting>
  <conditionalFormatting sqref="F115:G115">
    <cfRule type="expression" dxfId="1231" priority="27">
      <formula>kvartal &lt; 4</formula>
    </cfRule>
  </conditionalFormatting>
  <conditionalFormatting sqref="F123:G123">
    <cfRule type="expression" dxfId="1230" priority="26">
      <formula>kvartal &lt; 4</formula>
    </cfRule>
  </conditionalFormatting>
  <conditionalFormatting sqref="J69:K74">
    <cfRule type="expression" dxfId="1229" priority="13">
      <formula>kvartal &lt; 4</formula>
    </cfRule>
  </conditionalFormatting>
  <conditionalFormatting sqref="J80:K85">
    <cfRule type="expression" dxfId="1228" priority="12">
      <formula>kvartal &lt; 4</formula>
    </cfRule>
  </conditionalFormatting>
  <conditionalFormatting sqref="J90:K95">
    <cfRule type="expression" dxfId="1227" priority="11">
      <formula>kvartal &lt; 4</formula>
    </cfRule>
  </conditionalFormatting>
  <conditionalFormatting sqref="J101:K106">
    <cfRule type="expression" dxfId="1226" priority="10">
      <formula>kvartal &lt; 4</formula>
    </cfRule>
  </conditionalFormatting>
  <conditionalFormatting sqref="J115:K115">
    <cfRule type="expression" dxfId="1225" priority="9">
      <formula>kvartal &lt; 4</formula>
    </cfRule>
  </conditionalFormatting>
  <conditionalFormatting sqref="J123:K123">
    <cfRule type="expression" dxfId="1224" priority="8">
      <formula>kvartal &lt; 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activeCell="C1" sqref="C1"/>
      <selection pane="topRight"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417</v>
      </c>
    </row>
    <row r="2" spans="1:14" ht="15.75" x14ac:dyDescent="0.25">
      <c r="A2" s="110" t="s">
        <v>28</v>
      </c>
      <c r="B2" s="236"/>
      <c r="C2" s="236"/>
      <c r="D2" s="236"/>
      <c r="E2" s="752"/>
      <c r="F2" s="236"/>
      <c r="G2" s="236"/>
      <c r="H2" s="236"/>
      <c r="I2" s="236"/>
      <c r="J2" s="236"/>
      <c r="K2" s="236"/>
      <c r="L2" s="236"/>
      <c r="M2" s="236"/>
    </row>
    <row r="3" spans="1:14" ht="15.75" x14ac:dyDescent="0.25">
      <c r="A3" s="120"/>
      <c r="B3" s="236"/>
      <c r="C3" s="236"/>
      <c r="D3" s="236"/>
      <c r="E3" s="752"/>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1372398.0315400001</v>
      </c>
      <c r="C7" s="243">
        <v>1897150.9184099999</v>
      </c>
      <c r="D7" s="292">
        <f t="shared" ref="D7:D10" si="0">IF(AND(_xlfn.NUMBERVALUE(B7)=0,_xlfn.NUMBERVALUE(C7)=0),,IF(B7=0, "    ---- ", IF(ABS(ROUND(100/B7*C7-100,1))&lt;999,IF(ROUND(100/B7*C7-100,1)=0,"    ---- ",ROUND(100/B7*C7-100,1)),IF(ROUND(100/B7*C7-100,1)&gt;999,999,-999))))</f>
        <v>38.200000000000003</v>
      </c>
      <c r="E7" s="293">
        <f>IFERROR(100/'Skjema total MA'!C7*C7,0)</f>
        <v>34.343799506636444</v>
      </c>
      <c r="F7" s="283"/>
      <c r="G7" s="284"/>
      <c r="H7" s="292"/>
      <c r="I7" s="293"/>
      <c r="J7" s="294">
        <f t="shared" ref="J7:K10" si="1">SUM(B7,F7)</f>
        <v>1372398.0315400001</v>
      </c>
      <c r="K7" s="289">
        <f t="shared" si="1"/>
        <v>1897150.9184099999</v>
      </c>
      <c r="L7" s="292">
        <f t="shared" ref="L7:L10" si="2">IF(AND(_xlfn.NUMBERVALUE(J7)=0,_xlfn.NUMBERVALUE(K7)=0),,IF(J7=0, "    ---- ", IF(ABS(ROUND(100/J7*K7-100,1))&lt;999,IF(ROUND(100/J7*K7-100,1)=0,"    ---- ",ROUND(100/J7*K7-100,1)),IF(ROUND(100/J7*K7-100,1)&gt;999,999,-999))))</f>
        <v>38.200000000000003</v>
      </c>
      <c r="M7" s="293">
        <f>IFERROR(100/'Skjema total MA'!I7*K7,0)</f>
        <v>9.6119786708326398</v>
      </c>
    </row>
    <row r="8" spans="1:14" ht="15.75" x14ac:dyDescent="0.2">
      <c r="A8" s="18" t="s">
        <v>25</v>
      </c>
      <c r="B8" s="219">
        <v>1220063.91291</v>
      </c>
      <c r="C8" s="220">
        <v>1513354.7567100001</v>
      </c>
      <c r="D8" s="295">
        <f t="shared" si="0"/>
        <v>24</v>
      </c>
      <c r="E8" s="293">
        <f>IFERROR(100/'Skjema total MA'!C8*C8,0)</f>
        <v>41.258409342597474</v>
      </c>
      <c r="F8" s="296"/>
      <c r="G8" s="297"/>
      <c r="H8" s="295"/>
      <c r="I8" s="293"/>
      <c r="J8" s="298">
        <f t="shared" si="1"/>
        <v>1220063.91291</v>
      </c>
      <c r="K8" s="287">
        <f t="shared" si="1"/>
        <v>1513354.7567100001</v>
      </c>
      <c r="L8" s="295">
        <f t="shared" si="2"/>
        <v>24</v>
      </c>
      <c r="M8" s="293">
        <f>IFERROR(100/'Skjema total MA'!I8*K8,0)</f>
        <v>41.258409342597474</v>
      </c>
    </row>
    <row r="9" spans="1:14" ht="15.75" x14ac:dyDescent="0.2">
      <c r="A9" s="18" t="s">
        <v>24</v>
      </c>
      <c r="B9" s="219">
        <v>152334.11863000001</v>
      </c>
      <c r="C9" s="220">
        <v>382302.39632</v>
      </c>
      <c r="D9" s="295">
        <f t="shared" si="0"/>
        <v>151</v>
      </c>
      <c r="E9" s="293">
        <f>IFERROR(100/'Skjema total MA'!C9*C9,0)</f>
        <v>35.057278102627315</v>
      </c>
      <c r="F9" s="296"/>
      <c r="G9" s="297"/>
      <c r="H9" s="295"/>
      <c r="I9" s="293"/>
      <c r="J9" s="298">
        <f t="shared" si="1"/>
        <v>152334.11863000001</v>
      </c>
      <c r="K9" s="287">
        <f t="shared" si="1"/>
        <v>382302.39632</v>
      </c>
      <c r="L9" s="295">
        <f t="shared" si="2"/>
        <v>151</v>
      </c>
      <c r="M9" s="293">
        <f>IFERROR(100/'Skjema total MA'!I9*K9,0)</f>
        <v>35.057278102627315</v>
      </c>
    </row>
    <row r="10" spans="1:14" ht="15.75" x14ac:dyDescent="0.2">
      <c r="A10" s="10" t="s">
        <v>386</v>
      </c>
      <c r="B10" s="246">
        <v>674084.30090000003</v>
      </c>
      <c r="C10" s="247">
        <v>1418733.75137</v>
      </c>
      <c r="D10" s="295">
        <f t="shared" si="0"/>
        <v>110.5</v>
      </c>
      <c r="E10" s="293">
        <f>IFERROR(100/'Skjema total MA'!C10*C10,0)</f>
        <v>9.2738947317633844</v>
      </c>
      <c r="F10" s="288"/>
      <c r="G10" s="289"/>
      <c r="H10" s="295"/>
      <c r="I10" s="293"/>
      <c r="J10" s="294">
        <f t="shared" si="1"/>
        <v>674084.30090000003</v>
      </c>
      <c r="K10" s="289">
        <f t="shared" si="1"/>
        <v>1418733.75137</v>
      </c>
      <c r="L10" s="295">
        <f t="shared" si="2"/>
        <v>110.5</v>
      </c>
      <c r="M10" s="293">
        <f>IFERROR(100/'Skjema total MA'!I10*K10,0)</f>
        <v>1.2120464390145651</v>
      </c>
    </row>
    <row r="11" spans="1:14" s="35" customFormat="1" ht="15.75" x14ac:dyDescent="0.2">
      <c r="A11" s="10" t="s">
        <v>387</v>
      </c>
      <c r="B11" s="246"/>
      <c r="C11" s="247"/>
      <c r="D11" s="295"/>
      <c r="E11" s="293"/>
      <c r="F11" s="288"/>
      <c r="G11" s="289"/>
      <c r="H11" s="295"/>
      <c r="I11" s="293"/>
      <c r="J11" s="294"/>
      <c r="K11" s="289"/>
      <c r="L11" s="295"/>
      <c r="M11" s="293"/>
      <c r="N11" s="107"/>
    </row>
    <row r="12" spans="1:14" s="35" customFormat="1" ht="15.75" x14ac:dyDescent="0.2">
      <c r="A12" s="33" t="s">
        <v>388</v>
      </c>
      <c r="B12" s="248"/>
      <c r="C12" s="249"/>
      <c r="D12" s="299"/>
      <c r="E12" s="299"/>
      <c r="F12" s="290"/>
      <c r="G12" s="291"/>
      <c r="H12" s="299"/>
      <c r="I12" s="299"/>
      <c r="J12" s="300"/>
      <c r="K12" s="291"/>
      <c r="L12" s="299"/>
      <c r="M12" s="299"/>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239"/>
      <c r="C18" s="239"/>
      <c r="D18" s="239"/>
      <c r="E18" s="236"/>
      <c r="F18" s="239"/>
      <c r="G18" s="239"/>
      <c r="H18" s="239"/>
      <c r="I18" s="236"/>
      <c r="J18" s="239"/>
      <c r="K18" s="239"/>
      <c r="L18" s="239"/>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389">
        <v>885855.12728999997</v>
      </c>
      <c r="C22" s="389">
        <v>917943.60308999999</v>
      </c>
      <c r="D22" s="292">
        <f t="shared" ref="D22:D30" si="3">IF(AND(_xlfn.NUMBERVALUE(B22)=0,_xlfn.NUMBERVALUE(C22)=0),,IF(B22=0, "    ---- ", IF(ABS(ROUND(100/B22*C22-100,1))&lt;999,IF(ROUND(100/B22*C22-100,1)=0,"    ---- ",ROUND(100/B22*C22-100,1)),IF(ROUND(100/B22*C22-100,1)&gt;999,999,-999))))</f>
        <v>3.6</v>
      </c>
      <c r="E22" s="293">
        <f>IFERROR(100/'Skjema total MA'!C22*C22,0)</f>
        <v>37.691925530821621</v>
      </c>
      <c r="F22" s="301"/>
      <c r="G22" s="301"/>
      <c r="H22" s="292"/>
      <c r="I22" s="293"/>
      <c r="J22" s="283">
        <f t="shared" ref="J22:K29" si="4">SUM(B22,F22)</f>
        <v>885855.12728999997</v>
      </c>
      <c r="K22" s="283">
        <f t="shared" si="4"/>
        <v>917943.60308999999</v>
      </c>
      <c r="L22" s="292">
        <f t="shared" ref="L22:L30" si="5">IF(AND(_xlfn.NUMBERVALUE(J22)=0,_xlfn.NUMBERVALUE(K22)=0),,IF(J22=0, "    ---- ", IF(ABS(ROUND(100/J22*K22-100,1))&lt;999,IF(ROUND(100/J22*K22-100,1)=0,"    ---- ",ROUND(100/J22*K22-100,1)),IF(ROUND(100/J22*K22-100,1)&gt;999,999,-999))))</f>
        <v>3.6</v>
      </c>
      <c r="M22" s="293">
        <f>IFERROR(100/'Skjema total MA'!I22*K22,0)</f>
        <v>26.564495440769686</v>
      </c>
    </row>
    <row r="23" spans="1:13" ht="15.75" x14ac:dyDescent="0.2">
      <c r="A23" s="379" t="s">
        <v>389</v>
      </c>
      <c r="B23" s="285"/>
      <c r="C23" s="285"/>
      <c r="D23" s="295"/>
      <c r="E23" s="293"/>
      <c r="F23" s="285"/>
      <c r="G23" s="285"/>
      <c r="H23" s="295"/>
      <c r="I23" s="293"/>
      <c r="J23" s="285"/>
      <c r="K23" s="285"/>
      <c r="L23" s="295"/>
      <c r="M23" s="293"/>
    </row>
    <row r="24" spans="1:13" ht="15.75" x14ac:dyDescent="0.2">
      <c r="A24" s="379" t="s">
        <v>390</v>
      </c>
      <c r="B24" s="285"/>
      <c r="C24" s="285"/>
      <c r="D24" s="295"/>
      <c r="E24" s="293"/>
      <c r="F24" s="285"/>
      <c r="G24" s="285"/>
      <c r="H24" s="295"/>
      <c r="I24" s="293"/>
      <c r="J24" s="285"/>
      <c r="K24" s="285"/>
      <c r="L24" s="295"/>
      <c r="M24" s="293"/>
    </row>
    <row r="25" spans="1:13" ht="15.75" x14ac:dyDescent="0.2">
      <c r="A25" s="379" t="s">
        <v>391</v>
      </c>
      <c r="B25" s="285"/>
      <c r="C25" s="285"/>
      <c r="D25" s="295"/>
      <c r="E25" s="293"/>
      <c r="F25" s="285"/>
      <c r="G25" s="285"/>
      <c r="H25" s="295"/>
      <c r="I25" s="293"/>
      <c r="J25" s="285"/>
      <c r="K25" s="285"/>
      <c r="L25" s="295"/>
      <c r="M25" s="293"/>
    </row>
    <row r="26" spans="1:13" ht="15.75" x14ac:dyDescent="0.2">
      <c r="A26" s="379" t="s">
        <v>392</v>
      </c>
      <c r="B26" s="285"/>
      <c r="C26" s="285"/>
      <c r="D26" s="295"/>
      <c r="E26" s="293"/>
      <c r="F26" s="285"/>
      <c r="G26" s="285"/>
      <c r="H26" s="295"/>
      <c r="I26" s="293"/>
      <c r="J26" s="285"/>
      <c r="K26" s="285"/>
      <c r="L26" s="295"/>
      <c r="M26" s="293"/>
    </row>
    <row r="27" spans="1:13" x14ac:dyDescent="0.2">
      <c r="A27" s="379" t="s">
        <v>11</v>
      </c>
      <c r="B27" s="285"/>
      <c r="C27" s="285"/>
      <c r="D27" s="295"/>
      <c r="E27" s="293"/>
      <c r="F27" s="285"/>
      <c r="G27" s="285"/>
      <c r="H27" s="295"/>
      <c r="I27" s="293"/>
      <c r="J27" s="285"/>
      <c r="K27" s="285"/>
      <c r="L27" s="295"/>
      <c r="M27" s="293"/>
    </row>
    <row r="28" spans="1:13" ht="15.75" x14ac:dyDescent="0.2">
      <c r="A28" s="39" t="s">
        <v>245</v>
      </c>
      <c r="B28" s="285">
        <v>885855.12728999997</v>
      </c>
      <c r="C28" s="285">
        <v>917943.60308999999</v>
      </c>
      <c r="D28" s="295">
        <f t="shared" si="3"/>
        <v>3.6</v>
      </c>
      <c r="E28" s="293">
        <f>IFERROR(100/'Skjema total MA'!C28*C28,0)</f>
        <v>32.117380515011135</v>
      </c>
      <c r="F28" s="298"/>
      <c r="G28" s="287"/>
      <c r="H28" s="295"/>
      <c r="I28" s="293"/>
      <c r="J28" s="286">
        <f t="shared" si="4"/>
        <v>885855.12728999997</v>
      </c>
      <c r="K28" s="286">
        <f t="shared" si="4"/>
        <v>917943.60308999999</v>
      </c>
      <c r="L28" s="295">
        <f t="shared" si="5"/>
        <v>3.6</v>
      </c>
      <c r="M28" s="293">
        <f>IFERROR(100/'Skjema total MA'!I28*K28,0)</f>
        <v>32.117380515011135</v>
      </c>
    </row>
    <row r="29" spans="1:13" ht="15.75" x14ac:dyDescent="0.2">
      <c r="A29" s="10" t="s">
        <v>386</v>
      </c>
      <c r="B29" s="288">
        <v>4683915.7482799999</v>
      </c>
      <c r="C29" s="288">
        <v>5166234.0613500001</v>
      </c>
      <c r="D29" s="295">
        <f t="shared" si="3"/>
        <v>10.3</v>
      </c>
      <c r="E29" s="293">
        <f>IFERROR(100/'Skjema total MA'!C29*C29,0)</f>
        <v>11.865198267730241</v>
      </c>
      <c r="F29" s="294"/>
      <c r="G29" s="294"/>
      <c r="H29" s="295"/>
      <c r="I29" s="293"/>
      <c r="J29" s="288">
        <f t="shared" si="4"/>
        <v>4683915.7482799999</v>
      </c>
      <c r="K29" s="288">
        <f t="shared" si="4"/>
        <v>5166234.0613500001</v>
      </c>
      <c r="L29" s="295">
        <f t="shared" si="5"/>
        <v>10.3</v>
      </c>
      <c r="M29" s="293">
        <f>IFERROR(100/'Skjema total MA'!I29*K29,0)</f>
        <v>7.0548318387348949</v>
      </c>
    </row>
    <row r="30" spans="1:13" ht="15.75" x14ac:dyDescent="0.2">
      <c r="A30" s="379" t="s">
        <v>389</v>
      </c>
      <c r="B30" s="285">
        <v>4683915.7482799999</v>
      </c>
      <c r="C30" s="285">
        <v>5166234.0613500001</v>
      </c>
      <c r="D30" s="295">
        <f t="shared" si="3"/>
        <v>10.3</v>
      </c>
      <c r="E30" s="293">
        <f>IFERROR(100/'Skjema total MA'!C30*C30,0)</f>
        <v>28.777879880666625</v>
      </c>
      <c r="F30" s="285"/>
      <c r="G30" s="285"/>
      <c r="H30" s="295"/>
      <c r="I30" s="293"/>
      <c r="J30" s="285">
        <f t="shared" ref="J30" si="6">SUM(B30,F30)</f>
        <v>4683915.7482799999</v>
      </c>
      <c r="K30" s="285">
        <f t="shared" ref="K30" si="7">SUM(C30,G30)</f>
        <v>5166234.0613500001</v>
      </c>
      <c r="L30" s="295">
        <f t="shared" si="5"/>
        <v>10.3</v>
      </c>
      <c r="M30" s="293">
        <f>IFERROR(100/'Skjema total MA'!I30*K30,0)</f>
        <v>23.771037587736263</v>
      </c>
    </row>
    <row r="31" spans="1:13" ht="15.75" x14ac:dyDescent="0.2">
      <c r="A31" s="379" t="s">
        <v>390</v>
      </c>
      <c r="B31" s="285"/>
      <c r="C31" s="285"/>
      <c r="D31" s="295"/>
      <c r="E31" s="293"/>
      <c r="F31" s="285"/>
      <c r="G31" s="285"/>
      <c r="H31" s="295"/>
      <c r="I31" s="293"/>
      <c r="J31" s="285"/>
      <c r="K31" s="285"/>
      <c r="L31" s="295"/>
      <c r="M31" s="293"/>
    </row>
    <row r="32" spans="1:13" ht="15.75" x14ac:dyDescent="0.2">
      <c r="A32" s="379" t="s">
        <v>391</v>
      </c>
      <c r="B32" s="285"/>
      <c r="C32" s="285"/>
      <c r="D32" s="295"/>
      <c r="E32" s="293"/>
      <c r="F32" s="285"/>
      <c r="G32" s="285"/>
      <c r="H32" s="295"/>
      <c r="I32" s="293"/>
      <c r="J32" s="285"/>
      <c r="K32" s="285"/>
      <c r="L32" s="295"/>
      <c r="M32" s="293"/>
    </row>
    <row r="33" spans="1:14" ht="15.75" x14ac:dyDescent="0.2">
      <c r="A33" s="379" t="s">
        <v>392</v>
      </c>
      <c r="B33" s="285"/>
      <c r="C33" s="285"/>
      <c r="D33" s="295"/>
      <c r="E33" s="293"/>
      <c r="F33" s="285"/>
      <c r="G33" s="285"/>
      <c r="H33" s="295"/>
      <c r="I33" s="293"/>
      <c r="J33" s="285"/>
      <c r="K33" s="285"/>
      <c r="L33" s="295"/>
      <c r="M33" s="293"/>
    </row>
    <row r="34" spans="1:14" ht="15.75" x14ac:dyDescent="0.2">
      <c r="A34" s="10" t="s">
        <v>387</v>
      </c>
      <c r="B34" s="288"/>
      <c r="C34" s="289"/>
      <c r="D34" s="295"/>
      <c r="E34" s="293"/>
      <c r="F34" s="294"/>
      <c r="G34" s="289"/>
      <c r="H34" s="295"/>
      <c r="I34" s="293"/>
      <c r="J34" s="288"/>
      <c r="K34" s="288"/>
      <c r="L34" s="295"/>
      <c r="M34" s="293"/>
    </row>
    <row r="35" spans="1:14" ht="15.75" x14ac:dyDescent="0.2">
      <c r="A35" s="10" t="s">
        <v>388</v>
      </c>
      <c r="B35" s="288"/>
      <c r="C35" s="289"/>
      <c r="D35" s="295"/>
      <c r="E35" s="293"/>
      <c r="F35" s="294"/>
      <c r="G35" s="289"/>
      <c r="H35" s="295"/>
      <c r="I35" s="293"/>
      <c r="J35" s="288"/>
      <c r="K35" s="288"/>
      <c r="L35" s="295"/>
      <c r="M35" s="293"/>
    </row>
    <row r="36" spans="1:14" ht="15.75" x14ac:dyDescent="0.2">
      <c r="A36" s="9" t="s">
        <v>253</v>
      </c>
      <c r="B36" s="288"/>
      <c r="C36" s="289"/>
      <c r="D36" s="295"/>
      <c r="E36" s="293"/>
      <c r="F36" s="302"/>
      <c r="G36" s="303"/>
      <c r="H36" s="295"/>
      <c r="I36" s="293"/>
      <c r="J36" s="288"/>
      <c r="K36" s="288"/>
      <c r="L36" s="295"/>
      <c r="M36" s="293"/>
    </row>
    <row r="37" spans="1:14" ht="15.75" x14ac:dyDescent="0.2">
      <c r="A37" s="9" t="s">
        <v>394</v>
      </c>
      <c r="B37" s="288"/>
      <c r="C37" s="289"/>
      <c r="D37" s="295"/>
      <c r="E37" s="293"/>
      <c r="F37" s="302"/>
      <c r="G37" s="304"/>
      <c r="H37" s="295"/>
      <c r="I37" s="293"/>
      <c r="J37" s="288"/>
      <c r="K37" s="288"/>
      <c r="L37" s="295"/>
      <c r="M37" s="293"/>
    </row>
    <row r="38" spans="1:14" ht="15.75" x14ac:dyDescent="0.2">
      <c r="A38" s="9" t="s">
        <v>395</v>
      </c>
      <c r="B38" s="288"/>
      <c r="C38" s="289"/>
      <c r="D38" s="295"/>
      <c r="E38" s="121"/>
      <c r="F38" s="302"/>
      <c r="G38" s="303"/>
      <c r="H38" s="295"/>
      <c r="I38" s="293"/>
      <c r="J38" s="288"/>
      <c r="K38" s="288"/>
      <c r="L38" s="295"/>
      <c r="M38" s="293"/>
    </row>
    <row r="39" spans="1:14" ht="15.75" x14ac:dyDescent="0.2">
      <c r="A39" s="15" t="s">
        <v>396</v>
      </c>
      <c r="B39" s="290"/>
      <c r="C39" s="291"/>
      <c r="D39" s="299"/>
      <c r="E39" s="122"/>
      <c r="F39" s="305"/>
      <c r="G39" s="306"/>
      <c r="H39" s="299"/>
      <c r="I39" s="293"/>
      <c r="J39" s="288"/>
      <c r="K39" s="288"/>
      <c r="L39" s="299"/>
      <c r="M39" s="299"/>
    </row>
    <row r="40" spans="1:14" ht="15.75" x14ac:dyDescent="0.25">
      <c r="A40" s="35"/>
      <c r="B40" s="197"/>
      <c r="C40" s="197"/>
      <c r="D40" s="282"/>
      <c r="E40" s="282"/>
      <c r="F40" s="282"/>
      <c r="G40" s="282"/>
      <c r="H40" s="282"/>
      <c r="I40" s="282"/>
      <c r="J40" s="282"/>
      <c r="K40" s="282"/>
      <c r="L40" s="282"/>
      <c r="M40" s="236"/>
    </row>
    <row r="41" spans="1:14" x14ac:dyDescent="0.2">
      <c r="A41" s="114"/>
    </row>
    <row r="42" spans="1:14" ht="15.75" x14ac:dyDescent="0.25">
      <c r="A42" s="110" t="s">
        <v>242</v>
      </c>
      <c r="B42" s="236"/>
      <c r="C42" s="236"/>
      <c r="D42" s="236"/>
      <c r="E42" s="236"/>
      <c r="F42" s="236"/>
      <c r="G42" s="236"/>
      <c r="H42" s="236"/>
      <c r="I42" s="236"/>
      <c r="J42" s="236"/>
      <c r="K42" s="236"/>
      <c r="L42" s="236"/>
      <c r="M42" s="236"/>
    </row>
    <row r="43" spans="1:14" ht="15.75" x14ac:dyDescent="0.25">
      <c r="A43" s="120"/>
      <c r="B43" s="239"/>
      <c r="C43" s="239"/>
      <c r="D43" s="239"/>
      <c r="E43" s="239"/>
      <c r="F43" s="236"/>
      <c r="G43" s="236"/>
      <c r="H43" s="236"/>
      <c r="I43" s="236"/>
      <c r="J43" s="236"/>
      <c r="K43" s="236"/>
      <c r="L43" s="236"/>
      <c r="M43" s="236"/>
    </row>
    <row r="44" spans="1:14" ht="15.75" x14ac:dyDescent="0.25">
      <c r="A44" s="191"/>
      <c r="B44" s="790" t="s">
        <v>0</v>
      </c>
      <c r="C44" s="791"/>
      <c r="D44" s="791"/>
      <c r="E44" s="187"/>
      <c r="F44" s="236"/>
      <c r="G44" s="236"/>
      <c r="H44" s="236"/>
      <c r="I44" s="236"/>
      <c r="J44" s="236"/>
      <c r="K44" s="236"/>
      <c r="L44" s="236"/>
      <c r="M44" s="236"/>
    </row>
    <row r="45" spans="1:14" x14ac:dyDescent="0.2">
      <c r="A45" s="105"/>
      <c r="B45" s="17">
        <v>45291</v>
      </c>
      <c r="C45" s="17">
        <v>45657</v>
      </c>
      <c r="D45" s="189" t="s">
        <v>3</v>
      </c>
      <c r="E45" s="241" t="s">
        <v>29</v>
      </c>
      <c r="F45" s="128"/>
      <c r="G45" s="128"/>
      <c r="H45" s="127"/>
      <c r="I45" s="127"/>
      <c r="J45" s="128"/>
      <c r="K45" s="128"/>
      <c r="L45" s="127"/>
      <c r="M45" s="127"/>
    </row>
    <row r="46" spans="1:14" x14ac:dyDescent="0.2">
      <c r="A46" s="768"/>
      <c r="B46" s="188"/>
      <c r="C46" s="188"/>
      <c r="D46" s="189" t="s">
        <v>4</v>
      </c>
      <c r="E46" s="115" t="s">
        <v>30</v>
      </c>
      <c r="F46" s="127"/>
      <c r="G46" s="127"/>
      <c r="H46" s="127"/>
      <c r="I46" s="127"/>
      <c r="J46" s="127"/>
      <c r="K46" s="127"/>
      <c r="L46" s="127"/>
      <c r="M46" s="127"/>
    </row>
    <row r="47" spans="1:14" s="35" customFormat="1" ht="15.75" x14ac:dyDescent="0.2">
      <c r="A47" s="11" t="s">
        <v>23</v>
      </c>
      <c r="B47" s="288">
        <v>1264458.2923999999</v>
      </c>
      <c r="C47" s="289">
        <v>1410527.2077200001</v>
      </c>
      <c r="D47" s="336">
        <f>IF(AND(_xlfn.NUMBERVALUE(B47)=0,_xlfn.NUMBERVALUE(C47)=0),,IF(B47=0, "    ---- ", IF(ABS(ROUND(100/B47*C47-100,1))&lt;999,IF(ROUND(100/B47*C47-100,1)=0,"    ---- ",ROUND(100/B47*C47-100,1)),IF(ROUND(100/B47*C47-100,1)&gt;999,999,-999))))</f>
        <v>11.6</v>
      </c>
      <c r="E47" s="337">
        <f>IFERROR(100/'Skjema total MA'!C47*C47,0)</f>
        <v>21.436986741814213</v>
      </c>
      <c r="F47" s="117"/>
      <c r="G47" s="127"/>
      <c r="H47" s="117"/>
      <c r="I47" s="117"/>
      <c r="J47" s="335"/>
      <c r="K47" s="335"/>
      <c r="L47" s="117"/>
      <c r="M47" s="117"/>
      <c r="N47" s="107"/>
    </row>
    <row r="48" spans="1:14" ht="15.75" x14ac:dyDescent="0.2">
      <c r="A48" s="18" t="s">
        <v>397</v>
      </c>
      <c r="B48" s="286">
        <v>114551.41925000001</v>
      </c>
      <c r="C48" s="287">
        <v>171984.15332000001</v>
      </c>
      <c r="D48" s="295">
        <f t="shared" ref="D48:D57" si="8">IF(AND(_xlfn.NUMBERVALUE(B48)=0,_xlfn.NUMBERVALUE(C48)=0),,IF(B48=0, "    ---- ", IF(ABS(ROUND(100/B48*C48-100,1))&lt;999,IF(ROUND(100/B48*C48-100,1)=0,"    ---- ",ROUND(100/B48*C48-100,1)),IF(ROUND(100/B48*C48-100,1)&gt;999,999,-999))))</f>
        <v>50.1</v>
      </c>
      <c r="E48" s="327">
        <f>IFERROR(100/'Skjema total MA'!C48*C48,0)</f>
        <v>4.6377988812376598</v>
      </c>
      <c r="F48" s="109"/>
      <c r="G48" s="27"/>
      <c r="H48" s="109"/>
      <c r="I48" s="109"/>
      <c r="J48" s="27"/>
      <c r="K48" s="27"/>
      <c r="L48" s="117"/>
      <c r="M48" s="117"/>
    </row>
    <row r="49" spans="1:13" ht="15.75" x14ac:dyDescent="0.2">
      <c r="A49" s="18" t="s">
        <v>398</v>
      </c>
      <c r="B49" s="286">
        <v>1149906.8731499999</v>
      </c>
      <c r="C49" s="287">
        <v>1238543.0544</v>
      </c>
      <c r="D49" s="295">
        <f t="shared" si="8"/>
        <v>7.7</v>
      </c>
      <c r="E49" s="327">
        <f>IFERROR(100/'Skjema total MA'!C49*C49,0)</f>
        <v>43.131334276704962</v>
      </c>
      <c r="F49" s="109"/>
      <c r="G49" s="27"/>
      <c r="H49" s="109"/>
      <c r="I49" s="109"/>
      <c r="J49" s="31"/>
      <c r="K49" s="31"/>
      <c r="L49" s="117"/>
      <c r="M49" s="117"/>
    </row>
    <row r="50" spans="1:13" x14ac:dyDescent="0.2">
      <c r="A50" s="234" t="s">
        <v>6</v>
      </c>
      <c r="B50" s="285"/>
      <c r="C50" s="307"/>
      <c r="D50" s="295"/>
      <c r="E50" s="328"/>
      <c r="F50" s="109"/>
      <c r="G50" s="27"/>
      <c r="H50" s="109"/>
      <c r="I50" s="109"/>
      <c r="J50" s="27"/>
      <c r="K50" s="27"/>
      <c r="L50" s="117"/>
      <c r="M50" s="117"/>
    </row>
    <row r="51" spans="1:13" x14ac:dyDescent="0.2">
      <c r="A51" s="234" t="s">
        <v>7</v>
      </c>
      <c r="B51" s="285">
        <v>1141829.99483</v>
      </c>
      <c r="C51" s="307">
        <v>1230518.9682100001</v>
      </c>
      <c r="D51" s="295">
        <f t="shared" si="8"/>
        <v>7.8</v>
      </c>
      <c r="E51" s="327">
        <f>IFERROR(100/'Skjema total MA'!C51*C51,0)</f>
        <v>43.489796011405133</v>
      </c>
      <c r="F51" s="109"/>
      <c r="G51" s="27"/>
      <c r="H51" s="109"/>
      <c r="I51" s="109"/>
      <c r="J51" s="27"/>
      <c r="K51" s="27"/>
      <c r="L51" s="117"/>
      <c r="M51" s="117"/>
    </row>
    <row r="52" spans="1:13" x14ac:dyDescent="0.2">
      <c r="A52" s="234" t="s">
        <v>8</v>
      </c>
      <c r="B52" s="285">
        <v>8076.8783199999998</v>
      </c>
      <c r="C52" s="307">
        <v>8024.08619</v>
      </c>
      <c r="D52" s="295">
        <f t="shared" si="8"/>
        <v>-0.7</v>
      </c>
      <c r="E52" s="327">
        <f>IFERROR(100/'Skjema total MA'!C52*C52,0)</f>
        <v>19.045562110802472</v>
      </c>
      <c r="F52" s="109"/>
      <c r="G52" s="27"/>
      <c r="H52" s="109"/>
      <c r="I52" s="109"/>
      <c r="J52" s="27"/>
      <c r="K52" s="27"/>
      <c r="L52" s="117"/>
      <c r="M52" s="117"/>
    </row>
    <row r="53" spans="1:13" ht="15.75" x14ac:dyDescent="0.2">
      <c r="A53" s="10" t="s">
        <v>399</v>
      </c>
      <c r="B53" s="288">
        <v>3413</v>
      </c>
      <c r="C53" s="289">
        <v>1271</v>
      </c>
      <c r="D53" s="295">
        <f t="shared" si="8"/>
        <v>-62.8</v>
      </c>
      <c r="E53" s="327">
        <f>IFERROR(100/'Skjema total MA'!C53*C53,0)</f>
        <v>0.58001216559247826</v>
      </c>
      <c r="F53" s="109"/>
      <c r="G53" s="27"/>
      <c r="H53" s="109"/>
      <c r="I53" s="109"/>
      <c r="J53" s="27"/>
      <c r="K53" s="27"/>
      <c r="L53" s="117"/>
      <c r="M53" s="117"/>
    </row>
    <row r="54" spans="1:13" ht="15.75" x14ac:dyDescent="0.2">
      <c r="A54" s="18" t="s">
        <v>397</v>
      </c>
      <c r="B54" s="286">
        <v>3413</v>
      </c>
      <c r="C54" s="287">
        <v>1271</v>
      </c>
      <c r="D54" s="295">
        <f t="shared" si="8"/>
        <v>-62.8</v>
      </c>
      <c r="E54" s="327">
        <f>IFERROR(100/'Skjema total MA'!C54*C54,0)</f>
        <v>0.58264176416820146</v>
      </c>
      <c r="F54" s="109"/>
      <c r="G54" s="27"/>
      <c r="H54" s="109"/>
      <c r="I54" s="109"/>
      <c r="J54" s="27"/>
      <c r="K54" s="27"/>
      <c r="L54" s="117"/>
      <c r="M54" s="117"/>
    </row>
    <row r="55" spans="1:13" ht="15.75" x14ac:dyDescent="0.2">
      <c r="A55" s="18" t="s">
        <v>398</v>
      </c>
      <c r="B55" s="286"/>
      <c r="C55" s="287"/>
      <c r="D55" s="295"/>
      <c r="E55" s="327"/>
      <c r="F55" s="109"/>
      <c r="G55" s="27"/>
      <c r="H55" s="109"/>
      <c r="I55" s="109"/>
      <c r="J55" s="27"/>
      <c r="K55" s="27"/>
      <c r="L55" s="117"/>
      <c r="M55" s="117"/>
    </row>
    <row r="56" spans="1:13" ht="15.75" x14ac:dyDescent="0.2">
      <c r="A56" s="10" t="s">
        <v>400</v>
      </c>
      <c r="B56" s="288">
        <v>3349</v>
      </c>
      <c r="C56" s="289">
        <v>3181</v>
      </c>
      <c r="D56" s="295">
        <f t="shared" si="8"/>
        <v>-5</v>
      </c>
      <c r="E56" s="327">
        <f>IFERROR(100/'Skjema total MA'!C56*C56,0)</f>
        <v>1.3302858565588518</v>
      </c>
      <c r="F56" s="109"/>
      <c r="G56" s="27"/>
      <c r="H56" s="109"/>
      <c r="I56" s="109"/>
      <c r="J56" s="27"/>
      <c r="K56" s="27"/>
      <c r="L56" s="117"/>
      <c r="M56" s="117"/>
    </row>
    <row r="57" spans="1:13" ht="15.75" x14ac:dyDescent="0.2">
      <c r="A57" s="18" t="s">
        <v>397</v>
      </c>
      <c r="B57" s="286">
        <v>3349</v>
      </c>
      <c r="C57" s="287">
        <v>3181</v>
      </c>
      <c r="D57" s="295">
        <f t="shared" si="8"/>
        <v>-5</v>
      </c>
      <c r="E57" s="327">
        <f>IFERROR(100/'Skjema total MA'!C57*C57,0)</f>
        <v>1.3302858565588518</v>
      </c>
      <c r="F57" s="109"/>
      <c r="G57" s="27"/>
      <c r="H57" s="109"/>
      <c r="I57" s="109"/>
      <c r="J57" s="27"/>
      <c r="K57" s="27"/>
      <c r="L57" s="117"/>
      <c r="M57" s="117"/>
    </row>
    <row r="58" spans="1:13" ht="15.75" x14ac:dyDescent="0.2">
      <c r="A58" s="7" t="s">
        <v>398</v>
      </c>
      <c r="B58" s="308"/>
      <c r="C58" s="309"/>
      <c r="D58" s="299"/>
      <c r="E58" s="32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239"/>
      <c r="C62" s="239"/>
      <c r="D62" s="239"/>
      <c r="E62" s="236"/>
      <c r="F62" s="239"/>
      <c r="G62" s="239"/>
      <c r="H62" s="239"/>
      <c r="I62" s="236"/>
      <c r="J62" s="239"/>
      <c r="K62" s="239"/>
      <c r="L62" s="239"/>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310"/>
      <c r="C66" s="310"/>
      <c r="D66" s="292"/>
      <c r="E66" s="293"/>
      <c r="F66" s="310"/>
      <c r="G66" s="310"/>
      <c r="H66" s="292"/>
      <c r="I66" s="293"/>
      <c r="J66" s="289"/>
      <c r="K66" s="283"/>
      <c r="L66" s="295"/>
      <c r="M66" s="293"/>
    </row>
    <row r="67" spans="1:13" x14ac:dyDescent="0.2">
      <c r="A67" s="18" t="s">
        <v>9</v>
      </c>
      <c r="B67" s="286"/>
      <c r="C67" s="311"/>
      <c r="D67" s="295"/>
      <c r="E67" s="293"/>
      <c r="F67" s="298"/>
      <c r="G67" s="311"/>
      <c r="H67" s="295"/>
      <c r="I67" s="293"/>
      <c r="J67" s="287"/>
      <c r="K67" s="286"/>
      <c r="L67" s="295"/>
      <c r="M67" s="293"/>
    </row>
    <row r="68" spans="1:13" x14ac:dyDescent="0.2">
      <c r="A68" s="18" t="s">
        <v>10</v>
      </c>
      <c r="B68" s="312"/>
      <c r="C68" s="313"/>
      <c r="D68" s="295"/>
      <c r="E68" s="293"/>
      <c r="F68" s="312"/>
      <c r="G68" s="313"/>
      <c r="H68" s="295"/>
      <c r="I68" s="293"/>
      <c r="J68" s="287"/>
      <c r="K68" s="286"/>
      <c r="L68" s="295"/>
      <c r="M68" s="293"/>
    </row>
    <row r="69" spans="1:13" ht="15.75" x14ac:dyDescent="0.2">
      <c r="A69" s="234" t="s">
        <v>401</v>
      </c>
      <c r="B69" s="286"/>
      <c r="C69" s="286"/>
      <c r="D69" s="295"/>
      <c r="E69" s="320"/>
      <c r="F69" s="286"/>
      <c r="G69" s="286"/>
      <c r="H69" s="295"/>
      <c r="I69" s="293"/>
      <c r="J69" s="285"/>
      <c r="K69" s="285"/>
      <c r="L69" s="295"/>
      <c r="M69" s="293"/>
    </row>
    <row r="70" spans="1:13" x14ac:dyDescent="0.2">
      <c r="A70" s="234" t="s">
        <v>12</v>
      </c>
      <c r="B70" s="314"/>
      <c r="C70" s="315"/>
      <c r="D70" s="295"/>
      <c r="E70" s="320"/>
      <c r="F70" s="286"/>
      <c r="G70" s="286"/>
      <c r="H70" s="295"/>
      <c r="I70" s="293"/>
      <c r="J70" s="285"/>
      <c r="K70" s="285"/>
      <c r="L70" s="295"/>
      <c r="M70" s="293"/>
    </row>
    <row r="71" spans="1:13" x14ac:dyDescent="0.2">
      <c r="A71" s="234" t="s">
        <v>13</v>
      </c>
      <c r="B71" s="316"/>
      <c r="C71" s="317"/>
      <c r="D71" s="295"/>
      <c r="E71" s="320"/>
      <c r="F71" s="286"/>
      <c r="G71" s="286"/>
      <c r="H71" s="295"/>
      <c r="I71" s="293"/>
      <c r="J71" s="285"/>
      <c r="K71" s="285"/>
      <c r="L71" s="295"/>
      <c r="M71" s="293"/>
    </row>
    <row r="72" spans="1:13" ht="15.75" x14ac:dyDescent="0.2">
      <c r="A72" s="234" t="s">
        <v>402</v>
      </c>
      <c r="B72" s="286"/>
      <c r="C72" s="286"/>
      <c r="D72" s="295"/>
      <c r="E72" s="320"/>
      <c r="F72" s="286"/>
      <c r="G72" s="286"/>
      <c r="H72" s="295"/>
      <c r="I72" s="293"/>
      <c r="J72" s="285"/>
      <c r="K72" s="285"/>
      <c r="L72" s="295"/>
      <c r="M72" s="293"/>
    </row>
    <row r="73" spans="1:13" x14ac:dyDescent="0.2">
      <c r="A73" s="234" t="s">
        <v>12</v>
      </c>
      <c r="B73" s="316"/>
      <c r="C73" s="317"/>
      <c r="D73" s="295"/>
      <c r="E73" s="320"/>
      <c r="F73" s="286"/>
      <c r="G73" s="286"/>
      <c r="H73" s="295"/>
      <c r="I73" s="293"/>
      <c r="J73" s="285"/>
      <c r="K73" s="285"/>
      <c r="L73" s="295"/>
      <c r="M73" s="293"/>
    </row>
    <row r="74" spans="1:13" x14ac:dyDescent="0.2">
      <c r="A74" s="234" t="s">
        <v>13</v>
      </c>
      <c r="B74" s="316"/>
      <c r="C74" s="317"/>
      <c r="D74" s="295"/>
      <c r="E74" s="320"/>
      <c r="F74" s="286"/>
      <c r="G74" s="286"/>
      <c r="H74" s="295"/>
      <c r="I74" s="293"/>
      <c r="J74" s="285"/>
      <c r="K74" s="285"/>
      <c r="L74" s="295"/>
      <c r="M74" s="293"/>
    </row>
    <row r="75" spans="1:13" x14ac:dyDescent="0.2">
      <c r="A75" s="18" t="s">
        <v>308</v>
      </c>
      <c r="B75" s="298"/>
      <c r="C75" s="311"/>
      <c r="D75" s="295"/>
      <c r="E75" s="293"/>
      <c r="F75" s="298"/>
      <c r="G75" s="311"/>
      <c r="H75" s="295"/>
      <c r="I75" s="293"/>
      <c r="J75" s="287"/>
      <c r="K75" s="286"/>
      <c r="L75" s="295"/>
      <c r="M75" s="293"/>
    </row>
    <row r="76" spans="1:13" x14ac:dyDescent="0.2">
      <c r="A76" s="18" t="s">
        <v>307</v>
      </c>
      <c r="B76" s="298"/>
      <c r="C76" s="311"/>
      <c r="D76" s="295"/>
      <c r="E76" s="293"/>
      <c r="F76" s="298"/>
      <c r="G76" s="311"/>
      <c r="H76" s="295"/>
      <c r="I76" s="293"/>
      <c r="J76" s="287"/>
      <c r="K76" s="286"/>
      <c r="L76" s="295"/>
      <c r="M76" s="293"/>
    </row>
    <row r="77" spans="1:13" ht="15.75" x14ac:dyDescent="0.2">
      <c r="A77" s="18" t="s">
        <v>403</v>
      </c>
      <c r="B77" s="298"/>
      <c r="C77" s="298"/>
      <c r="D77" s="295"/>
      <c r="E77" s="293"/>
      <c r="F77" s="298"/>
      <c r="G77" s="311"/>
      <c r="H77" s="295"/>
      <c r="I77" s="293"/>
      <c r="J77" s="287"/>
      <c r="K77" s="286"/>
      <c r="L77" s="295"/>
      <c r="M77" s="293"/>
    </row>
    <row r="78" spans="1:13" x14ac:dyDescent="0.2">
      <c r="A78" s="18" t="s">
        <v>9</v>
      </c>
      <c r="B78" s="298"/>
      <c r="C78" s="311"/>
      <c r="D78" s="295"/>
      <c r="E78" s="293"/>
      <c r="F78" s="298"/>
      <c r="G78" s="311"/>
      <c r="H78" s="295"/>
      <c r="I78" s="293"/>
      <c r="J78" s="287"/>
      <c r="K78" s="286"/>
      <c r="L78" s="295"/>
      <c r="M78" s="293"/>
    </row>
    <row r="79" spans="1:13" x14ac:dyDescent="0.2">
      <c r="A79" s="18" t="s">
        <v>429</v>
      </c>
      <c r="B79" s="312"/>
      <c r="C79" s="313"/>
      <c r="D79" s="295"/>
      <c r="E79" s="293"/>
      <c r="F79" s="312"/>
      <c r="G79" s="313"/>
      <c r="H79" s="295"/>
      <c r="I79" s="293"/>
      <c r="J79" s="287"/>
      <c r="K79" s="286"/>
      <c r="L79" s="295"/>
      <c r="M79" s="293"/>
    </row>
    <row r="80" spans="1:13" ht="15.75" x14ac:dyDescent="0.2">
      <c r="A80" s="234" t="s">
        <v>401</v>
      </c>
      <c r="B80" s="286"/>
      <c r="C80" s="286"/>
      <c r="D80" s="295"/>
      <c r="E80" s="320"/>
      <c r="F80" s="286"/>
      <c r="G80" s="286"/>
      <c r="H80" s="295"/>
      <c r="I80" s="293"/>
      <c r="J80" s="285"/>
      <c r="K80" s="285"/>
      <c r="L80" s="295"/>
      <c r="M80" s="293"/>
    </row>
    <row r="81" spans="1:13" x14ac:dyDescent="0.2">
      <c r="A81" s="234" t="s">
        <v>12</v>
      </c>
      <c r="B81" s="316"/>
      <c r="C81" s="317"/>
      <c r="D81" s="295"/>
      <c r="E81" s="320"/>
      <c r="F81" s="286"/>
      <c r="G81" s="286"/>
      <c r="H81" s="295"/>
      <c r="I81" s="293"/>
      <c r="J81" s="285"/>
      <c r="K81" s="285"/>
      <c r="L81" s="295"/>
      <c r="M81" s="293"/>
    </row>
    <row r="82" spans="1:13" x14ac:dyDescent="0.2">
      <c r="A82" s="234" t="s">
        <v>13</v>
      </c>
      <c r="B82" s="316"/>
      <c r="C82" s="317"/>
      <c r="D82" s="295"/>
      <c r="E82" s="320"/>
      <c r="F82" s="286"/>
      <c r="G82" s="286"/>
      <c r="H82" s="295"/>
      <c r="I82" s="293"/>
      <c r="J82" s="285"/>
      <c r="K82" s="285"/>
      <c r="L82" s="295"/>
      <c r="M82" s="293"/>
    </row>
    <row r="83" spans="1:13" ht="15.75" x14ac:dyDescent="0.2">
      <c r="A83" s="234" t="s">
        <v>402</v>
      </c>
      <c r="B83" s="286"/>
      <c r="C83" s="286"/>
      <c r="D83" s="295"/>
      <c r="E83" s="320"/>
      <c r="F83" s="286"/>
      <c r="G83" s="286"/>
      <c r="H83" s="295"/>
      <c r="I83" s="293"/>
      <c r="J83" s="285"/>
      <c r="K83" s="285"/>
      <c r="L83" s="295"/>
      <c r="M83" s="293"/>
    </row>
    <row r="84" spans="1:13" x14ac:dyDescent="0.2">
      <c r="A84" s="234" t="s">
        <v>12</v>
      </c>
      <c r="B84" s="316"/>
      <c r="C84" s="317"/>
      <c r="D84" s="295"/>
      <c r="E84" s="320"/>
      <c r="F84" s="286"/>
      <c r="G84" s="286"/>
      <c r="H84" s="295"/>
      <c r="I84" s="293"/>
      <c r="J84" s="285"/>
      <c r="K84" s="285"/>
      <c r="L84" s="295"/>
      <c r="M84" s="293"/>
    </row>
    <row r="85" spans="1:13" x14ac:dyDescent="0.2">
      <c r="A85" s="234" t="s">
        <v>13</v>
      </c>
      <c r="B85" s="316"/>
      <c r="C85" s="317"/>
      <c r="D85" s="295"/>
      <c r="E85" s="320"/>
      <c r="F85" s="286"/>
      <c r="G85" s="286"/>
      <c r="H85" s="295"/>
      <c r="I85" s="293"/>
      <c r="J85" s="285"/>
      <c r="K85" s="285"/>
      <c r="L85" s="295"/>
      <c r="M85" s="293"/>
    </row>
    <row r="86" spans="1:13" ht="15.75" x14ac:dyDescent="0.2">
      <c r="A86" s="18" t="s">
        <v>404</v>
      </c>
      <c r="B86" s="298"/>
      <c r="C86" s="311"/>
      <c r="D86" s="295"/>
      <c r="E86" s="293"/>
      <c r="F86" s="298"/>
      <c r="G86" s="311"/>
      <c r="H86" s="295"/>
      <c r="I86" s="293"/>
      <c r="J86" s="287"/>
      <c r="K86" s="286"/>
      <c r="L86" s="295"/>
      <c r="M86" s="293"/>
    </row>
    <row r="87" spans="1:13" ht="15.75" x14ac:dyDescent="0.2">
      <c r="A87" s="10" t="s">
        <v>386</v>
      </c>
      <c r="B87" s="310"/>
      <c r="C87" s="310"/>
      <c r="D87" s="295"/>
      <c r="E87" s="293"/>
      <c r="F87" s="310"/>
      <c r="G87" s="310"/>
      <c r="H87" s="295"/>
      <c r="I87" s="293"/>
      <c r="J87" s="289"/>
      <c r="K87" s="288"/>
      <c r="L87" s="295"/>
      <c r="M87" s="293"/>
    </row>
    <row r="88" spans="1:13" x14ac:dyDescent="0.2">
      <c r="A88" s="18" t="s">
        <v>9</v>
      </c>
      <c r="B88" s="298"/>
      <c r="C88" s="311"/>
      <c r="D88" s="295"/>
      <c r="E88" s="293"/>
      <c r="F88" s="298"/>
      <c r="G88" s="311"/>
      <c r="H88" s="295"/>
      <c r="I88" s="293"/>
      <c r="J88" s="287"/>
      <c r="K88" s="286"/>
      <c r="L88" s="295"/>
      <c r="M88" s="293"/>
    </row>
    <row r="89" spans="1:13" x14ac:dyDescent="0.2">
      <c r="A89" s="18" t="s">
        <v>10</v>
      </c>
      <c r="B89" s="298"/>
      <c r="C89" s="311"/>
      <c r="D89" s="295"/>
      <c r="E89" s="293"/>
      <c r="F89" s="298"/>
      <c r="G89" s="311"/>
      <c r="H89" s="295"/>
      <c r="I89" s="293"/>
      <c r="J89" s="287"/>
      <c r="K89" s="286"/>
      <c r="L89" s="295"/>
      <c r="M89" s="293"/>
    </row>
    <row r="90" spans="1:13" ht="15.75" x14ac:dyDescent="0.2">
      <c r="A90" s="234" t="s">
        <v>401</v>
      </c>
      <c r="B90" s="286"/>
      <c r="C90" s="286"/>
      <c r="D90" s="295"/>
      <c r="E90" s="320"/>
      <c r="F90" s="286"/>
      <c r="G90" s="286"/>
      <c r="H90" s="295"/>
      <c r="I90" s="293"/>
      <c r="J90" s="285"/>
      <c r="K90" s="285"/>
      <c r="L90" s="295"/>
      <c r="M90" s="293"/>
    </row>
    <row r="91" spans="1:13" x14ac:dyDescent="0.2">
      <c r="A91" s="234" t="s">
        <v>12</v>
      </c>
      <c r="B91" s="316"/>
      <c r="C91" s="317"/>
      <c r="D91" s="295"/>
      <c r="E91" s="320"/>
      <c r="F91" s="286"/>
      <c r="G91" s="286"/>
      <c r="H91" s="295"/>
      <c r="I91" s="293"/>
      <c r="J91" s="285"/>
      <c r="K91" s="285"/>
      <c r="L91" s="295"/>
      <c r="M91" s="293"/>
    </row>
    <row r="92" spans="1:13" x14ac:dyDescent="0.2">
      <c r="A92" s="234" t="s">
        <v>13</v>
      </c>
      <c r="B92" s="316"/>
      <c r="C92" s="317"/>
      <c r="D92" s="295"/>
      <c r="E92" s="320"/>
      <c r="F92" s="286"/>
      <c r="G92" s="286"/>
      <c r="H92" s="295"/>
      <c r="I92" s="293"/>
      <c r="J92" s="285"/>
      <c r="K92" s="285"/>
      <c r="L92" s="295"/>
      <c r="M92" s="293"/>
    </row>
    <row r="93" spans="1:13" ht="15.75" x14ac:dyDescent="0.2">
      <c r="A93" s="234" t="s">
        <v>402</v>
      </c>
      <c r="B93" s="286"/>
      <c r="C93" s="286"/>
      <c r="D93" s="295"/>
      <c r="E93" s="320"/>
      <c r="F93" s="286"/>
      <c r="G93" s="286"/>
      <c r="H93" s="295"/>
      <c r="I93" s="293"/>
      <c r="J93" s="285"/>
      <c r="K93" s="285"/>
      <c r="L93" s="295"/>
      <c r="M93" s="293"/>
    </row>
    <row r="94" spans="1:13" x14ac:dyDescent="0.2">
      <c r="A94" s="234" t="s">
        <v>12</v>
      </c>
      <c r="B94" s="316"/>
      <c r="C94" s="317"/>
      <c r="D94" s="295"/>
      <c r="E94" s="320"/>
      <c r="F94" s="286"/>
      <c r="G94" s="286"/>
      <c r="H94" s="295"/>
      <c r="I94" s="293"/>
      <c r="J94" s="285"/>
      <c r="K94" s="285"/>
      <c r="L94" s="295"/>
      <c r="M94" s="293"/>
    </row>
    <row r="95" spans="1:13" x14ac:dyDescent="0.2">
      <c r="A95" s="234" t="s">
        <v>13</v>
      </c>
      <c r="B95" s="316"/>
      <c r="C95" s="317"/>
      <c r="D95" s="295"/>
      <c r="E95" s="320"/>
      <c r="F95" s="286"/>
      <c r="G95" s="286"/>
      <c r="H95" s="295"/>
      <c r="I95" s="293"/>
      <c r="J95" s="285"/>
      <c r="K95" s="285"/>
      <c r="L95" s="295"/>
      <c r="M95" s="293"/>
    </row>
    <row r="96" spans="1:13" x14ac:dyDescent="0.2">
      <c r="A96" s="18" t="s">
        <v>306</v>
      </c>
      <c r="B96" s="298"/>
      <c r="C96" s="311"/>
      <c r="D96" s="295"/>
      <c r="E96" s="293"/>
      <c r="F96" s="298"/>
      <c r="G96" s="311"/>
      <c r="H96" s="295"/>
      <c r="I96" s="293"/>
      <c r="J96" s="287"/>
      <c r="K96" s="286"/>
      <c r="L96" s="295"/>
      <c r="M96" s="293"/>
    </row>
    <row r="97" spans="1:13" x14ac:dyDescent="0.2">
      <c r="A97" s="18" t="s">
        <v>305</v>
      </c>
      <c r="B97" s="298"/>
      <c r="C97" s="311"/>
      <c r="D97" s="295"/>
      <c r="E97" s="293"/>
      <c r="F97" s="298"/>
      <c r="G97" s="311"/>
      <c r="H97" s="295"/>
      <c r="I97" s="293"/>
      <c r="J97" s="287"/>
      <c r="K97" s="286"/>
      <c r="L97" s="295"/>
      <c r="M97" s="293"/>
    </row>
    <row r="98" spans="1:13" ht="15.75" x14ac:dyDescent="0.2">
      <c r="A98" s="18" t="s">
        <v>403</v>
      </c>
      <c r="B98" s="298"/>
      <c r="C98" s="298"/>
      <c r="D98" s="295"/>
      <c r="E98" s="293"/>
      <c r="F98" s="312"/>
      <c r="G98" s="312"/>
      <c r="H98" s="295"/>
      <c r="I98" s="293"/>
      <c r="J98" s="287"/>
      <c r="K98" s="286"/>
      <c r="L98" s="295"/>
      <c r="M98" s="293"/>
    </row>
    <row r="99" spans="1:13" x14ac:dyDescent="0.2">
      <c r="A99" s="18" t="s">
        <v>9</v>
      </c>
      <c r="B99" s="312"/>
      <c r="C99" s="313"/>
      <c r="D99" s="295"/>
      <c r="E99" s="293"/>
      <c r="F99" s="298"/>
      <c r="G99" s="311"/>
      <c r="H99" s="295"/>
      <c r="I99" s="293"/>
      <c r="J99" s="287"/>
      <c r="K99" s="286"/>
      <c r="L99" s="295"/>
      <c r="M99" s="293"/>
    </row>
    <row r="100" spans="1:13" x14ac:dyDescent="0.2">
      <c r="A100" s="18" t="s">
        <v>429</v>
      </c>
      <c r="B100" s="312"/>
      <c r="C100" s="313"/>
      <c r="D100" s="295"/>
      <c r="E100" s="293"/>
      <c r="F100" s="298"/>
      <c r="G100" s="298"/>
      <c r="H100" s="295"/>
      <c r="I100" s="293"/>
      <c r="J100" s="287"/>
      <c r="K100" s="286"/>
      <c r="L100" s="295"/>
      <c r="M100" s="293"/>
    </row>
    <row r="101" spans="1:13" ht="15.75" x14ac:dyDescent="0.2">
      <c r="A101" s="234" t="s">
        <v>401</v>
      </c>
      <c r="B101" s="286"/>
      <c r="C101" s="286"/>
      <c r="D101" s="295"/>
      <c r="E101" s="320"/>
      <c r="F101" s="286"/>
      <c r="G101" s="286"/>
      <c r="H101" s="295"/>
      <c r="I101" s="293"/>
      <c r="J101" s="285"/>
      <c r="K101" s="285"/>
      <c r="L101" s="295"/>
      <c r="M101" s="293"/>
    </row>
    <row r="102" spans="1:13" x14ac:dyDescent="0.2">
      <c r="A102" s="234" t="s">
        <v>12</v>
      </c>
      <c r="B102" s="316"/>
      <c r="C102" s="317"/>
      <c r="D102" s="295"/>
      <c r="E102" s="320"/>
      <c r="F102" s="286"/>
      <c r="G102" s="286"/>
      <c r="H102" s="295"/>
      <c r="I102" s="293"/>
      <c r="J102" s="285"/>
      <c r="K102" s="285"/>
      <c r="L102" s="295"/>
      <c r="M102" s="293"/>
    </row>
    <row r="103" spans="1:13" x14ac:dyDescent="0.2">
      <c r="A103" s="234" t="s">
        <v>13</v>
      </c>
      <c r="B103" s="316"/>
      <c r="C103" s="317"/>
      <c r="D103" s="295"/>
      <c r="E103" s="320"/>
      <c r="F103" s="286"/>
      <c r="G103" s="286"/>
      <c r="H103" s="295"/>
      <c r="I103" s="293"/>
      <c r="J103" s="285"/>
      <c r="K103" s="285"/>
      <c r="L103" s="295"/>
      <c r="M103" s="293"/>
    </row>
    <row r="104" spans="1:13" ht="15.75" x14ac:dyDescent="0.2">
      <c r="A104" s="234" t="s">
        <v>402</v>
      </c>
      <c r="B104" s="286"/>
      <c r="C104" s="286"/>
      <c r="D104" s="295"/>
      <c r="E104" s="320"/>
      <c r="F104" s="286"/>
      <c r="G104" s="286"/>
      <c r="H104" s="295"/>
      <c r="I104" s="293"/>
      <c r="J104" s="285"/>
      <c r="K104" s="285"/>
      <c r="L104" s="295"/>
      <c r="M104" s="293"/>
    </row>
    <row r="105" spans="1:13" x14ac:dyDescent="0.2">
      <c r="A105" s="234" t="s">
        <v>12</v>
      </c>
      <c r="B105" s="316"/>
      <c r="C105" s="317"/>
      <c r="D105" s="295"/>
      <c r="E105" s="320"/>
      <c r="F105" s="286"/>
      <c r="G105" s="286"/>
      <c r="H105" s="295"/>
      <c r="I105" s="293"/>
      <c r="J105" s="285"/>
      <c r="K105" s="285"/>
      <c r="L105" s="295"/>
      <c r="M105" s="293"/>
    </row>
    <row r="106" spans="1:13" x14ac:dyDescent="0.2">
      <c r="A106" s="234" t="s">
        <v>13</v>
      </c>
      <c r="B106" s="316"/>
      <c r="C106" s="317"/>
      <c r="D106" s="295"/>
      <c r="E106" s="320"/>
      <c r="F106" s="286"/>
      <c r="G106" s="286"/>
      <c r="H106" s="295"/>
      <c r="I106" s="293"/>
      <c r="J106" s="285"/>
      <c r="K106" s="285"/>
      <c r="L106" s="295"/>
      <c r="M106" s="293"/>
    </row>
    <row r="107" spans="1:13" ht="15.75" x14ac:dyDescent="0.2">
      <c r="A107" s="18" t="s">
        <v>404</v>
      </c>
      <c r="B107" s="298"/>
      <c r="C107" s="311"/>
      <c r="D107" s="295"/>
      <c r="E107" s="293"/>
      <c r="F107" s="298"/>
      <c r="G107" s="311"/>
      <c r="H107" s="295"/>
      <c r="I107" s="293"/>
      <c r="J107" s="287"/>
      <c r="K107" s="286"/>
      <c r="L107" s="295"/>
      <c r="M107" s="293"/>
    </row>
    <row r="108" spans="1:13" ht="15.75" x14ac:dyDescent="0.2">
      <c r="A108" s="18" t="s">
        <v>405</v>
      </c>
      <c r="B108" s="298"/>
      <c r="C108" s="298"/>
      <c r="D108" s="295"/>
      <c r="E108" s="293"/>
      <c r="F108" s="298"/>
      <c r="G108" s="298"/>
      <c r="H108" s="295"/>
      <c r="I108" s="293"/>
      <c r="J108" s="287"/>
      <c r="K108" s="286"/>
      <c r="L108" s="295"/>
      <c r="M108" s="293"/>
    </row>
    <row r="109" spans="1:13" ht="15.75" x14ac:dyDescent="0.2">
      <c r="A109" s="18" t="s">
        <v>437</v>
      </c>
      <c r="B109" s="298"/>
      <c r="C109" s="298"/>
      <c r="D109" s="295"/>
      <c r="E109" s="293"/>
      <c r="F109" s="298"/>
      <c r="G109" s="298"/>
      <c r="H109" s="295"/>
      <c r="I109" s="293"/>
      <c r="J109" s="287"/>
      <c r="K109" s="286"/>
      <c r="L109" s="295"/>
      <c r="M109" s="293"/>
    </row>
    <row r="110" spans="1:13" ht="15.75" x14ac:dyDescent="0.2">
      <c r="A110" s="18" t="s">
        <v>406</v>
      </c>
      <c r="B110" s="298"/>
      <c r="C110" s="298"/>
      <c r="D110" s="295"/>
      <c r="E110" s="293"/>
      <c r="F110" s="298"/>
      <c r="G110" s="298"/>
      <c r="H110" s="295"/>
      <c r="I110" s="293"/>
      <c r="J110" s="287"/>
      <c r="K110" s="286"/>
      <c r="L110" s="295"/>
      <c r="M110" s="293"/>
    </row>
    <row r="111" spans="1:13" ht="15.75" x14ac:dyDescent="0.2">
      <c r="A111" s="10" t="s">
        <v>387</v>
      </c>
      <c r="B111" s="294"/>
      <c r="C111" s="318"/>
      <c r="D111" s="295"/>
      <c r="E111" s="293"/>
      <c r="F111" s="294"/>
      <c r="G111" s="318"/>
      <c r="H111" s="295"/>
      <c r="I111" s="293"/>
      <c r="J111" s="289"/>
      <c r="K111" s="288"/>
      <c r="L111" s="295"/>
      <c r="M111" s="293"/>
    </row>
    <row r="112" spans="1:13" x14ac:dyDescent="0.2">
      <c r="A112" s="18" t="s">
        <v>9</v>
      </c>
      <c r="B112" s="298"/>
      <c r="C112" s="311"/>
      <c r="D112" s="295"/>
      <c r="E112" s="293"/>
      <c r="F112" s="298"/>
      <c r="G112" s="311"/>
      <c r="H112" s="295"/>
      <c r="I112" s="293"/>
      <c r="J112" s="287"/>
      <c r="K112" s="286"/>
      <c r="L112" s="295"/>
      <c r="M112" s="293"/>
    </row>
    <row r="113" spans="1:13" x14ac:dyDescent="0.2">
      <c r="A113" s="18" t="s">
        <v>10</v>
      </c>
      <c r="B113" s="298"/>
      <c r="C113" s="311"/>
      <c r="D113" s="295"/>
      <c r="E113" s="293"/>
      <c r="F113" s="298"/>
      <c r="G113" s="311"/>
      <c r="H113" s="295"/>
      <c r="I113" s="293"/>
      <c r="J113" s="287"/>
      <c r="K113" s="286"/>
      <c r="L113" s="295"/>
      <c r="M113" s="293"/>
    </row>
    <row r="114" spans="1:13" x14ac:dyDescent="0.2">
      <c r="A114" s="18" t="s">
        <v>26</v>
      </c>
      <c r="B114" s="298"/>
      <c r="C114" s="311"/>
      <c r="D114" s="295"/>
      <c r="E114" s="293"/>
      <c r="F114" s="298"/>
      <c r="G114" s="311"/>
      <c r="H114" s="295"/>
      <c r="I114" s="293"/>
      <c r="J114" s="287"/>
      <c r="K114" s="286"/>
      <c r="L114" s="295"/>
      <c r="M114" s="293"/>
    </row>
    <row r="115" spans="1:13" x14ac:dyDescent="0.2">
      <c r="A115" s="234" t="s">
        <v>15</v>
      </c>
      <c r="B115" s="286"/>
      <c r="C115" s="286"/>
      <c r="D115" s="295"/>
      <c r="E115" s="320"/>
      <c r="F115" s="286"/>
      <c r="G115" s="286"/>
      <c r="H115" s="295"/>
      <c r="I115" s="293"/>
      <c r="J115" s="285"/>
      <c r="K115" s="285"/>
      <c r="L115" s="295"/>
      <c r="M115" s="293"/>
    </row>
    <row r="116" spans="1:13" ht="15.75" x14ac:dyDescent="0.2">
      <c r="A116" s="18" t="s">
        <v>407</v>
      </c>
      <c r="B116" s="298"/>
      <c r="C116" s="298"/>
      <c r="D116" s="295"/>
      <c r="E116" s="293"/>
      <c r="F116" s="298"/>
      <c r="G116" s="298"/>
      <c r="H116" s="295"/>
      <c r="I116" s="293"/>
      <c r="J116" s="287"/>
      <c r="K116" s="286"/>
      <c r="L116" s="295"/>
      <c r="M116" s="293"/>
    </row>
    <row r="117" spans="1:13" ht="15.75" x14ac:dyDescent="0.2">
      <c r="A117" s="18" t="s">
        <v>437</v>
      </c>
      <c r="B117" s="298"/>
      <c r="C117" s="298"/>
      <c r="D117" s="295"/>
      <c r="E117" s="293"/>
      <c r="F117" s="298"/>
      <c r="G117" s="298"/>
      <c r="H117" s="295"/>
      <c r="I117" s="293"/>
      <c r="J117" s="287"/>
      <c r="K117" s="286"/>
      <c r="L117" s="295"/>
      <c r="M117" s="293"/>
    </row>
    <row r="118" spans="1:13" ht="15.75" x14ac:dyDescent="0.2">
      <c r="A118" s="18" t="s">
        <v>406</v>
      </c>
      <c r="B118" s="298"/>
      <c r="C118" s="298"/>
      <c r="D118" s="295"/>
      <c r="E118" s="293"/>
      <c r="F118" s="298"/>
      <c r="G118" s="298"/>
      <c r="H118" s="295"/>
      <c r="I118" s="293"/>
      <c r="J118" s="287"/>
      <c r="K118" s="286"/>
      <c r="L118" s="295"/>
      <c r="M118" s="293"/>
    </row>
    <row r="119" spans="1:13" ht="15.75" x14ac:dyDescent="0.2">
      <c r="A119" s="10" t="s">
        <v>388</v>
      </c>
      <c r="B119" s="294"/>
      <c r="C119" s="318"/>
      <c r="D119" s="295"/>
      <c r="E119" s="293"/>
      <c r="F119" s="294"/>
      <c r="G119" s="318"/>
      <c r="H119" s="295"/>
      <c r="I119" s="293"/>
      <c r="J119" s="289"/>
      <c r="K119" s="288"/>
      <c r="L119" s="295"/>
      <c r="M119" s="293"/>
    </row>
    <row r="120" spans="1:13" x14ac:dyDescent="0.2">
      <c r="A120" s="18" t="s">
        <v>9</v>
      </c>
      <c r="B120" s="298"/>
      <c r="C120" s="311"/>
      <c r="D120" s="295"/>
      <c r="E120" s="293"/>
      <c r="F120" s="298"/>
      <c r="G120" s="311"/>
      <c r="H120" s="295"/>
      <c r="I120" s="293"/>
      <c r="J120" s="287"/>
      <c r="K120" s="286"/>
      <c r="L120" s="295"/>
      <c r="M120" s="293"/>
    </row>
    <row r="121" spans="1:13" x14ac:dyDescent="0.2">
      <c r="A121" s="18" t="s">
        <v>10</v>
      </c>
      <c r="B121" s="298"/>
      <c r="C121" s="311"/>
      <c r="D121" s="295"/>
      <c r="E121" s="293"/>
      <c r="F121" s="298"/>
      <c r="G121" s="311"/>
      <c r="H121" s="295"/>
      <c r="I121" s="293"/>
      <c r="J121" s="287"/>
      <c r="K121" s="286"/>
      <c r="L121" s="295"/>
      <c r="M121" s="293"/>
    </row>
    <row r="122" spans="1:13" x14ac:dyDescent="0.2">
      <c r="A122" s="18" t="s">
        <v>26</v>
      </c>
      <c r="B122" s="298"/>
      <c r="C122" s="311"/>
      <c r="D122" s="295"/>
      <c r="E122" s="293"/>
      <c r="F122" s="298"/>
      <c r="G122" s="311"/>
      <c r="H122" s="295"/>
      <c r="I122" s="293"/>
      <c r="J122" s="287"/>
      <c r="K122" s="286"/>
      <c r="L122" s="295"/>
      <c r="M122" s="293"/>
    </row>
    <row r="123" spans="1:13" x14ac:dyDescent="0.2">
      <c r="A123" s="234" t="s">
        <v>14</v>
      </c>
      <c r="B123" s="286"/>
      <c r="C123" s="286"/>
      <c r="D123" s="295"/>
      <c r="E123" s="320"/>
      <c r="F123" s="286"/>
      <c r="G123" s="286"/>
      <c r="H123" s="295"/>
      <c r="I123" s="293"/>
      <c r="J123" s="285"/>
      <c r="K123" s="285"/>
      <c r="L123" s="295"/>
      <c r="M123" s="293"/>
    </row>
    <row r="124" spans="1:13" ht="15.75" x14ac:dyDescent="0.2">
      <c r="A124" s="18" t="s">
        <v>412</v>
      </c>
      <c r="B124" s="298"/>
      <c r="C124" s="298"/>
      <c r="D124" s="295"/>
      <c r="E124" s="293"/>
      <c r="F124" s="298"/>
      <c r="G124" s="298"/>
      <c r="H124" s="295"/>
      <c r="I124" s="293"/>
      <c r="J124" s="287"/>
      <c r="K124" s="286"/>
      <c r="L124" s="295"/>
      <c r="M124" s="293"/>
    </row>
    <row r="125" spans="1:13" ht="15.75" x14ac:dyDescent="0.2">
      <c r="A125" s="18" t="s">
        <v>437</v>
      </c>
      <c r="B125" s="298"/>
      <c r="C125" s="298"/>
      <c r="D125" s="295"/>
      <c r="E125" s="293"/>
      <c r="F125" s="298"/>
      <c r="G125" s="298"/>
      <c r="H125" s="295"/>
      <c r="I125" s="293"/>
      <c r="J125" s="287"/>
      <c r="K125" s="286"/>
      <c r="L125" s="295"/>
      <c r="M125" s="293"/>
    </row>
    <row r="126" spans="1:13" ht="15.75" x14ac:dyDescent="0.2">
      <c r="A126" s="7" t="s">
        <v>406</v>
      </c>
      <c r="B126" s="308"/>
      <c r="C126" s="308"/>
      <c r="D126" s="299"/>
      <c r="E126" s="319"/>
      <c r="F126" s="308"/>
      <c r="G126" s="308"/>
      <c r="H126" s="299"/>
      <c r="I126" s="299"/>
      <c r="J126" s="309"/>
      <c r="K126" s="308"/>
      <c r="L126" s="299"/>
      <c r="M126" s="299"/>
    </row>
    <row r="127" spans="1:13" x14ac:dyDescent="0.2">
      <c r="A127" s="114"/>
    </row>
    <row r="129" spans="1:14" ht="15.75" x14ac:dyDescent="0.25">
      <c r="A129" s="110" t="s">
        <v>27</v>
      </c>
    </row>
    <row r="130" spans="1:14" ht="15.75" x14ac:dyDescent="0.25">
      <c r="B130" s="239"/>
      <c r="C130" s="239"/>
      <c r="D130" s="239"/>
      <c r="E130" s="236"/>
      <c r="F130" s="239"/>
      <c r="G130" s="239"/>
      <c r="H130" s="239"/>
      <c r="I130" s="236"/>
      <c r="J130" s="239"/>
      <c r="K130" s="239"/>
      <c r="L130" s="239"/>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288"/>
      <c r="C134" s="289"/>
      <c r="D134" s="292"/>
      <c r="E134" s="293"/>
      <c r="F134" s="283"/>
      <c r="G134" s="284"/>
      <c r="H134" s="321"/>
      <c r="I134" s="293"/>
      <c r="J134" s="301"/>
      <c r="K134" s="301"/>
      <c r="L134" s="292"/>
      <c r="M134" s="293"/>
    </row>
    <row r="135" spans="1:14" ht="15.75" x14ac:dyDescent="0.2">
      <c r="A135" s="10" t="s">
        <v>413</v>
      </c>
      <c r="B135" s="288"/>
      <c r="C135" s="289"/>
      <c r="D135" s="295"/>
      <c r="E135" s="293"/>
      <c r="F135" s="288"/>
      <c r="G135" s="289"/>
      <c r="H135" s="322"/>
      <c r="I135" s="293"/>
      <c r="J135" s="294"/>
      <c r="K135" s="294"/>
      <c r="L135" s="295"/>
      <c r="M135" s="293"/>
    </row>
    <row r="136" spans="1:14" ht="15.75" x14ac:dyDescent="0.2">
      <c r="A136" s="10" t="s">
        <v>410</v>
      </c>
      <c r="B136" s="288"/>
      <c r="C136" s="289"/>
      <c r="D136" s="295"/>
      <c r="E136" s="293"/>
      <c r="F136" s="288"/>
      <c r="G136" s="289"/>
      <c r="H136" s="322"/>
      <c r="I136" s="293"/>
      <c r="J136" s="294"/>
      <c r="K136" s="294"/>
      <c r="L136" s="295"/>
      <c r="M136" s="293"/>
    </row>
    <row r="137" spans="1:14" ht="15.75" x14ac:dyDescent="0.2">
      <c r="A137" s="33" t="s">
        <v>411</v>
      </c>
      <c r="B137" s="290"/>
      <c r="C137" s="291"/>
      <c r="D137" s="299"/>
      <c r="E137" s="319"/>
      <c r="F137" s="290"/>
      <c r="G137" s="291"/>
      <c r="H137" s="323"/>
      <c r="I137" s="319"/>
      <c r="J137" s="300"/>
      <c r="K137" s="300"/>
      <c r="L137" s="299"/>
      <c r="M137" s="299"/>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A69:A74">
    <cfRule type="expression" dxfId="1223" priority="10">
      <formula>kvartal &lt; 4</formula>
    </cfRule>
  </conditionalFormatting>
  <conditionalFormatting sqref="A80:A85">
    <cfRule type="expression" dxfId="1222" priority="9">
      <formula>kvartal &lt; 4</formula>
    </cfRule>
  </conditionalFormatting>
  <conditionalFormatting sqref="A90:A95">
    <cfRule type="expression" dxfId="1221" priority="6">
      <formula>kvartal &lt; 4</formula>
    </cfRule>
  </conditionalFormatting>
  <conditionalFormatting sqref="A101:A106">
    <cfRule type="expression" dxfId="1220" priority="5">
      <formula>kvartal &lt; 4</formula>
    </cfRule>
  </conditionalFormatting>
  <conditionalFormatting sqref="A50:C52">
    <cfRule type="expression" dxfId="1219" priority="12">
      <formula>kvartal &lt; 4</formula>
    </cfRule>
  </conditionalFormatting>
  <conditionalFormatting sqref="A115:C115">
    <cfRule type="expression" dxfId="1218" priority="4">
      <formula>kvartal &lt; 4</formula>
    </cfRule>
  </conditionalFormatting>
  <conditionalFormatting sqref="A123:C123">
    <cfRule type="expression" dxfId="1217" priority="3">
      <formula>kvartal &lt; 4</formula>
    </cfRule>
  </conditionalFormatting>
  <conditionalFormatting sqref="B69:C69">
    <cfRule type="expression" dxfId="1216" priority="99">
      <formula>kvartal &lt; 4</formula>
    </cfRule>
  </conditionalFormatting>
  <conditionalFormatting sqref="B72:C72">
    <cfRule type="expression" dxfId="1215" priority="97">
      <formula>kvartal &lt; 4</formula>
    </cfRule>
  </conditionalFormatting>
  <conditionalFormatting sqref="B80:C80">
    <cfRule type="expression" dxfId="1214" priority="95">
      <formula>kvartal &lt; 4</formula>
    </cfRule>
  </conditionalFormatting>
  <conditionalFormatting sqref="B83:C83">
    <cfRule type="expression" dxfId="1213" priority="93">
      <formula>kvartal &lt; 4</formula>
    </cfRule>
  </conditionalFormatting>
  <conditionalFormatting sqref="B90:C90">
    <cfRule type="expression" dxfId="1212" priority="83">
      <formula>kvartal &lt; 4</formula>
    </cfRule>
  </conditionalFormatting>
  <conditionalFormatting sqref="B93:C93">
    <cfRule type="expression" dxfId="1211" priority="81">
      <formula>kvartal &lt; 4</formula>
    </cfRule>
  </conditionalFormatting>
  <conditionalFormatting sqref="B101:C101">
    <cfRule type="expression" dxfId="1210" priority="79">
      <formula>kvartal &lt; 4</formula>
    </cfRule>
  </conditionalFormatting>
  <conditionalFormatting sqref="B104:C104">
    <cfRule type="expression" dxfId="1209" priority="77">
      <formula>kvartal &lt; 4</formula>
    </cfRule>
  </conditionalFormatting>
  <conditionalFormatting sqref="F69:G74">
    <cfRule type="expression" dxfId="1208" priority="54">
      <formula>kvartal &lt; 4</formula>
    </cfRule>
  </conditionalFormatting>
  <conditionalFormatting sqref="F80:G85">
    <cfRule type="expression" dxfId="1207" priority="52">
      <formula>kvartal &lt; 4</formula>
    </cfRule>
  </conditionalFormatting>
  <conditionalFormatting sqref="F90:G95">
    <cfRule type="expression" dxfId="1206" priority="44">
      <formula>kvartal &lt; 4</formula>
    </cfRule>
  </conditionalFormatting>
  <conditionalFormatting sqref="F101:G106">
    <cfRule type="expression" dxfId="1205" priority="40">
      <formula>kvartal &lt; 4</formula>
    </cfRule>
  </conditionalFormatting>
  <conditionalFormatting sqref="F115:G115">
    <cfRule type="expression" dxfId="1204" priority="57">
      <formula>kvartal &lt; 4</formula>
    </cfRule>
  </conditionalFormatting>
  <conditionalFormatting sqref="F123:G123">
    <cfRule type="expression" dxfId="1203" priority="56">
      <formula>kvartal &lt; 4</formula>
    </cfRule>
  </conditionalFormatting>
  <conditionalFormatting sqref="J69:K74">
    <cfRule type="expression" dxfId="1202" priority="38">
      <formula>kvartal &lt; 4</formula>
    </cfRule>
  </conditionalFormatting>
  <conditionalFormatting sqref="J80:K85">
    <cfRule type="expression" dxfId="1201" priority="37">
      <formula>kvartal &lt; 4</formula>
    </cfRule>
  </conditionalFormatting>
  <conditionalFormatting sqref="J90:K95">
    <cfRule type="expression" dxfId="1200" priority="34">
      <formula>kvartal &lt; 4</formula>
    </cfRule>
  </conditionalFormatting>
  <conditionalFormatting sqref="J101:K106">
    <cfRule type="expression" dxfId="1199" priority="33">
      <formula>kvartal &lt; 4</formula>
    </cfRule>
  </conditionalFormatting>
  <conditionalFormatting sqref="J115:K115">
    <cfRule type="expression" dxfId="1198" priority="32">
      <formula>kvartal &lt; 4</formula>
    </cfRule>
  </conditionalFormatting>
  <conditionalFormatting sqref="J123:K123">
    <cfRule type="expression" dxfId="1197" priority="3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7" x14ac:dyDescent="0.2">
      <c r="A1" s="126" t="s">
        <v>124</v>
      </c>
      <c r="B1" s="766"/>
      <c r="C1" s="192" t="s">
        <v>117</v>
      </c>
    </row>
    <row r="2" spans="1:17" ht="15.75" x14ac:dyDescent="0.25">
      <c r="A2" s="110" t="s">
        <v>28</v>
      </c>
      <c r="B2" s="794"/>
      <c r="C2" s="794"/>
      <c r="D2" s="794"/>
      <c r="E2" s="236"/>
      <c r="F2" s="794"/>
      <c r="G2" s="794"/>
      <c r="H2" s="794"/>
      <c r="I2" s="236"/>
      <c r="J2" s="794"/>
      <c r="K2" s="794"/>
      <c r="L2" s="794"/>
      <c r="M2" s="236"/>
    </row>
    <row r="3" spans="1:17" ht="15.75" x14ac:dyDescent="0.25">
      <c r="A3" s="120"/>
      <c r="B3" s="236"/>
      <c r="C3" s="236"/>
      <c r="D3" s="236"/>
      <c r="E3" s="236"/>
      <c r="F3" s="236"/>
      <c r="G3" s="236"/>
      <c r="H3" s="236"/>
      <c r="I3" s="236"/>
      <c r="J3" s="236"/>
      <c r="K3" s="236"/>
      <c r="L3" s="236"/>
      <c r="M3" s="236"/>
    </row>
    <row r="4" spans="1:17" x14ac:dyDescent="0.2">
      <c r="A4" s="108"/>
      <c r="B4" s="790" t="s">
        <v>0</v>
      </c>
      <c r="C4" s="791"/>
      <c r="D4" s="791"/>
      <c r="E4" s="238"/>
      <c r="F4" s="790" t="s">
        <v>1</v>
      </c>
      <c r="G4" s="791"/>
      <c r="H4" s="791"/>
      <c r="I4" s="240"/>
      <c r="J4" s="790" t="s">
        <v>2</v>
      </c>
      <c r="K4" s="791"/>
      <c r="L4" s="791"/>
      <c r="M4" s="240"/>
    </row>
    <row r="5" spans="1:17"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7" x14ac:dyDescent="0.2">
      <c r="A6" s="767"/>
      <c r="B6" s="115"/>
      <c r="C6" s="115"/>
      <c r="D6" s="190" t="s">
        <v>4</v>
      </c>
      <c r="E6" s="115" t="s">
        <v>30</v>
      </c>
      <c r="F6" s="119"/>
      <c r="G6" s="119"/>
      <c r="H6" s="189" t="s">
        <v>4</v>
      </c>
      <c r="I6" s="115" t="s">
        <v>30</v>
      </c>
      <c r="J6" s="119"/>
      <c r="K6" s="119"/>
      <c r="L6" s="189" t="s">
        <v>4</v>
      </c>
      <c r="M6" s="115" t="s">
        <v>30</v>
      </c>
    </row>
    <row r="7" spans="1:17" ht="15.75" x14ac:dyDescent="0.2">
      <c r="A7" s="11" t="s">
        <v>23</v>
      </c>
      <c r="B7" s="242">
        <v>253756</v>
      </c>
      <c r="C7" s="243">
        <v>279442</v>
      </c>
      <c r="D7" s="278">
        <f>IF(B7=0, "    ---- ", IF(ABS(ROUND(100/B7*C7-100,1))&lt;999,ROUND(100/B7*C7-100,1),IF(ROUND(100/B7*C7-100,1)&gt;999,999,-999)))</f>
        <v>10.1</v>
      </c>
      <c r="E7" s="8">
        <f>IFERROR(100/'Skjema total MA'!C7*C7,0)</f>
        <v>5.0586908656570237</v>
      </c>
      <c r="F7" s="242"/>
      <c r="G7" s="243"/>
      <c r="H7" s="278"/>
      <c r="I7" s="118"/>
      <c r="J7" s="244">
        <f t="shared" ref="J7:K10" si="0">SUM(B7,F7)</f>
        <v>253756</v>
      </c>
      <c r="K7" s="245">
        <f t="shared" si="0"/>
        <v>279442</v>
      </c>
      <c r="L7" s="338">
        <f>IF(J7=0, "    ---- ", IF(ABS(ROUND(100/J7*K7-100,1))&lt;999,ROUND(100/J7*K7-100,1),IF(ROUND(100/J7*K7-100,1)&gt;999,999,-999)))</f>
        <v>10.1</v>
      </c>
      <c r="M7" s="8">
        <f>IFERROR(100/'Skjema total MA'!I7*K7,0)</f>
        <v>1.4158022525619312</v>
      </c>
    </row>
    <row r="8" spans="1:17" ht="15.75" x14ac:dyDescent="0.2">
      <c r="A8" s="18" t="s">
        <v>25</v>
      </c>
      <c r="B8" s="219">
        <v>222680</v>
      </c>
      <c r="C8" s="220">
        <v>247833</v>
      </c>
      <c r="D8" s="121">
        <f t="shared" ref="D8:D10" si="1">IF(B8=0, "    ---- ", IF(ABS(ROUND(100/B8*C8-100,1))&lt;999,ROUND(100/B8*C8-100,1),IF(ROUND(100/B8*C8-100,1)&gt;999,999,-999)))</f>
        <v>11.3</v>
      </c>
      <c r="E8" s="23">
        <f>IFERROR(100/'Skjema total MA'!C8*C8,0)</f>
        <v>6.7566413739190336</v>
      </c>
      <c r="F8" s="223"/>
      <c r="G8" s="224"/>
      <c r="H8" s="121"/>
      <c r="I8" s="129"/>
      <c r="J8" s="178">
        <f t="shared" si="0"/>
        <v>222680</v>
      </c>
      <c r="K8" s="225">
        <f t="shared" si="0"/>
        <v>247833</v>
      </c>
      <c r="L8" s="121">
        <f t="shared" ref="L8:L9" si="2">IF(J8=0, "    ---- ", IF(ABS(ROUND(100/J8*K8-100,1))&lt;999,ROUND(100/J8*K8-100,1),IF(ROUND(100/J8*K8-100,1)&gt;999,999,-999)))</f>
        <v>11.3</v>
      </c>
      <c r="M8" s="23">
        <f>IFERROR(100/'Skjema total MA'!I8*K8,0)</f>
        <v>6.7566413739190336</v>
      </c>
    </row>
    <row r="9" spans="1:17" ht="15.75" x14ac:dyDescent="0.2">
      <c r="A9" s="18" t="s">
        <v>24</v>
      </c>
      <c r="B9" s="219">
        <v>31076</v>
      </c>
      <c r="C9" s="220">
        <v>31609</v>
      </c>
      <c r="D9" s="121">
        <f t="shared" si="1"/>
        <v>1.7</v>
      </c>
      <c r="E9" s="23">
        <f>IFERROR(100/'Skjema total MA'!C9*C9,0)</f>
        <v>2.8985575665039995</v>
      </c>
      <c r="F9" s="223"/>
      <c r="G9" s="224"/>
      <c r="H9" s="121"/>
      <c r="I9" s="129"/>
      <c r="J9" s="178">
        <f t="shared" si="0"/>
        <v>31076</v>
      </c>
      <c r="K9" s="225">
        <f t="shared" si="0"/>
        <v>31609</v>
      </c>
      <c r="L9" s="121">
        <f t="shared" si="2"/>
        <v>1.7</v>
      </c>
      <c r="M9" s="23">
        <f>IFERROR(100/'Skjema total MA'!I9*K9,0)</f>
        <v>2.8985575665039995</v>
      </c>
    </row>
    <row r="10" spans="1:17" ht="15.75" x14ac:dyDescent="0.2">
      <c r="A10" s="10" t="s">
        <v>386</v>
      </c>
      <c r="B10" s="246">
        <v>79222</v>
      </c>
      <c r="C10" s="247">
        <v>81530</v>
      </c>
      <c r="D10" s="125">
        <f t="shared" si="1"/>
        <v>2.9</v>
      </c>
      <c r="E10" s="8">
        <f>IFERROR(100/'Skjema total MA'!C10*C10,0)</f>
        <v>0.53294047367981501</v>
      </c>
      <c r="F10" s="246"/>
      <c r="G10" s="247"/>
      <c r="H10" s="125"/>
      <c r="I10" s="118"/>
      <c r="J10" s="244">
        <f t="shared" si="0"/>
        <v>79222</v>
      </c>
      <c r="K10" s="245">
        <f t="shared" si="0"/>
        <v>81530</v>
      </c>
      <c r="L10" s="339">
        <f t="shared" ref="L10" si="3">IF(J10=0, "    ---- ", IF(ABS(ROUND(100/J10*K10-100,1))&lt;999,ROUND(100/J10*K10-100,1),IF(ROUND(100/J10*K10-100,1)&gt;999,999,-999)))</f>
        <v>2.9</v>
      </c>
      <c r="M10" s="8">
        <f>IFERROR(100/'Skjema total MA'!I10*K10,0)</f>
        <v>6.9652354486832907E-2</v>
      </c>
    </row>
    <row r="11" spans="1:17" s="35" customFormat="1" ht="15.75" x14ac:dyDescent="0.2">
      <c r="A11" s="10" t="s">
        <v>387</v>
      </c>
      <c r="B11" s="246"/>
      <c r="C11" s="247"/>
      <c r="D11" s="125"/>
      <c r="E11" s="8"/>
      <c r="F11" s="246"/>
      <c r="G11" s="247"/>
      <c r="H11" s="125"/>
      <c r="I11" s="118"/>
      <c r="J11" s="244"/>
      <c r="K11" s="245"/>
      <c r="L11" s="339"/>
      <c r="M11" s="8"/>
      <c r="N11" s="107"/>
      <c r="Q11" s="107"/>
    </row>
    <row r="12" spans="1:17" s="35" customFormat="1" ht="15.75" x14ac:dyDescent="0.2">
      <c r="A12" s="33" t="s">
        <v>388</v>
      </c>
      <c r="B12" s="248"/>
      <c r="C12" s="249"/>
      <c r="D12" s="123"/>
      <c r="E12" s="30"/>
      <c r="F12" s="248"/>
      <c r="G12" s="249"/>
      <c r="H12" s="123"/>
      <c r="I12" s="123"/>
      <c r="J12" s="250"/>
      <c r="K12" s="251"/>
      <c r="L12" s="340"/>
      <c r="M12" s="30"/>
      <c r="N12" s="107"/>
    </row>
    <row r="13" spans="1:17" s="35" customFormat="1" x14ac:dyDescent="0.2">
      <c r="A13" s="107"/>
      <c r="B13" s="109"/>
      <c r="C13" s="27"/>
      <c r="D13" s="117"/>
      <c r="E13" s="117"/>
      <c r="F13" s="109"/>
      <c r="G13" s="27"/>
      <c r="H13" s="117"/>
      <c r="I13" s="117"/>
      <c r="J13" s="38"/>
      <c r="K13" s="38"/>
      <c r="L13" s="117"/>
      <c r="M13" s="117"/>
      <c r="N13" s="107"/>
    </row>
    <row r="14" spans="1:17" x14ac:dyDescent="0.2">
      <c r="A14" s="113" t="s">
        <v>244</v>
      </c>
    </row>
    <row r="16" spans="1:17"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267655</v>
      </c>
      <c r="C22" s="246">
        <v>310058</v>
      </c>
      <c r="D22" s="278">
        <f t="shared" ref="D22:D30" si="4">IF(B22=0, "    ---- ", IF(ABS(ROUND(100/B22*C22-100,1))&lt;999,ROUND(100/B22*C22-100,1),IF(ROUND(100/B22*C22-100,1)&gt;999,999,-999)))</f>
        <v>15.8</v>
      </c>
      <c r="E22" s="8">
        <f>IFERROR(100/'Skjema total MA'!C22*C22,0)</f>
        <v>12.731373699751863</v>
      </c>
      <c r="F22" s="254"/>
      <c r="G22" s="254"/>
      <c r="H22" s="278"/>
      <c r="I22" s="8"/>
      <c r="J22" s="252">
        <f t="shared" ref="J22:K29" si="5">SUM(B22,F22)</f>
        <v>267655</v>
      </c>
      <c r="K22" s="252">
        <f t="shared" si="5"/>
        <v>310058</v>
      </c>
      <c r="L22" s="338">
        <f t="shared" ref="L22:L30" si="6">IF(J22=0, "    ---- ", IF(ABS(ROUND(100/J22*K22-100,1))&lt;999,ROUND(100/J22*K22-100,1),IF(ROUND(100/J22*K22-100,1)&gt;999,999,-999)))</f>
        <v>15.8</v>
      </c>
      <c r="M22" s="21">
        <f>IFERROR(100/'Skjema total MA'!I22*K22,0)</f>
        <v>8.9728108564057543</v>
      </c>
    </row>
    <row r="23" spans="1:13" ht="15.75" x14ac:dyDescent="0.2">
      <c r="A23" s="379" t="s">
        <v>389</v>
      </c>
      <c r="B23" s="219">
        <v>267655</v>
      </c>
      <c r="C23" s="219">
        <v>310058</v>
      </c>
      <c r="D23" s="121">
        <f t="shared" si="4"/>
        <v>15.8</v>
      </c>
      <c r="E23" s="8">
        <f>IFERROR(100/'Skjema total MA'!C23*C23,0)</f>
        <v>21.434260996568618</v>
      </c>
      <c r="F23" s="228"/>
      <c r="G23" s="228"/>
      <c r="H23" s="121"/>
      <c r="I23" s="331"/>
      <c r="J23" s="228">
        <f t="shared" ref="J23" si="7">SUM(B23,F23)</f>
        <v>267655</v>
      </c>
      <c r="K23" s="228">
        <f t="shared" ref="K23" si="8">SUM(C23,G23)</f>
        <v>310058</v>
      </c>
      <c r="L23" s="121">
        <f t="shared" si="6"/>
        <v>15.8</v>
      </c>
      <c r="M23" s="20">
        <f>IFERROR(100/'Skjema total MA'!I23*K23,0)</f>
        <v>20.748999193247837</v>
      </c>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267655</v>
      </c>
      <c r="C28" s="225">
        <v>310058</v>
      </c>
      <c r="D28" s="121">
        <f t="shared" si="4"/>
        <v>15.8</v>
      </c>
      <c r="E28" s="8">
        <f>IFERROR(100/'Skjema total MA'!C28*C28,0)</f>
        <v>10.848434189422598</v>
      </c>
      <c r="F28" s="178"/>
      <c r="G28" s="225"/>
      <c r="H28" s="121"/>
      <c r="I28" s="23"/>
      <c r="J28" s="36">
        <f t="shared" si="5"/>
        <v>267655</v>
      </c>
      <c r="K28" s="36">
        <f t="shared" si="5"/>
        <v>310058</v>
      </c>
      <c r="L28" s="198">
        <f t="shared" si="6"/>
        <v>15.8</v>
      </c>
      <c r="M28" s="20">
        <f>IFERROR(100/'Skjema total MA'!I28*K28,0)</f>
        <v>10.848434189422598</v>
      </c>
    </row>
    <row r="29" spans="1:13" ht="15.75" x14ac:dyDescent="0.2">
      <c r="A29" s="10" t="s">
        <v>386</v>
      </c>
      <c r="B29" s="180">
        <v>1492640</v>
      </c>
      <c r="C29" s="180">
        <v>1707161</v>
      </c>
      <c r="D29" s="125">
        <f t="shared" si="4"/>
        <v>14.4</v>
      </c>
      <c r="E29" s="8">
        <f>IFERROR(100/'Skjema total MA'!C29*C29,0)</f>
        <v>3.9208064325764478</v>
      </c>
      <c r="F29" s="244"/>
      <c r="G29" s="244"/>
      <c r="H29" s="125"/>
      <c r="I29" s="8"/>
      <c r="J29" s="180">
        <f t="shared" si="5"/>
        <v>1492640</v>
      </c>
      <c r="K29" s="180">
        <f t="shared" si="5"/>
        <v>1707161</v>
      </c>
      <c r="L29" s="339">
        <f t="shared" si="6"/>
        <v>14.4</v>
      </c>
      <c r="M29" s="21">
        <f>IFERROR(100/'Skjema total MA'!I29*K29,0)</f>
        <v>2.331240441997962</v>
      </c>
    </row>
    <row r="30" spans="1:13" ht="15.75" x14ac:dyDescent="0.2">
      <c r="A30" s="379" t="s">
        <v>389</v>
      </c>
      <c r="B30" s="219">
        <v>1492640</v>
      </c>
      <c r="C30" s="219">
        <v>1707161</v>
      </c>
      <c r="D30" s="121">
        <f t="shared" si="4"/>
        <v>14.4</v>
      </c>
      <c r="E30" s="8">
        <f>IFERROR(100/'Skjema total MA'!C30*C30,0)</f>
        <v>9.5095331747553171</v>
      </c>
      <c r="F30" s="228"/>
      <c r="G30" s="228"/>
      <c r="H30" s="121"/>
      <c r="I30" s="331"/>
      <c r="J30" s="228">
        <f t="shared" ref="J30" si="9">SUM(B30,F30)</f>
        <v>1492640</v>
      </c>
      <c r="K30" s="228">
        <f t="shared" ref="K30" si="10">SUM(C30,G30)</f>
        <v>1707161</v>
      </c>
      <c r="L30" s="121">
        <f t="shared" si="6"/>
        <v>14.4</v>
      </c>
      <c r="M30" s="20">
        <f>IFERROR(100/'Skjema total MA'!I30*K30,0)</f>
        <v>7.8550425353188738</v>
      </c>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34190</v>
      </c>
      <c r="C47" s="247">
        <v>41489</v>
      </c>
      <c r="D47" s="338">
        <f t="shared" ref="D47:D48" si="11">IF(B47=0, "    ---- ", IF(ABS(ROUND(100/B47*C47-100,1))&lt;999,ROUND(100/B47*C47-100,1),IF(ROUND(100/B47*C47-100,1)&gt;999,999,-999)))</f>
        <v>21.3</v>
      </c>
      <c r="E47" s="8">
        <f>IFERROR(100/'Skjema total MA'!C47*C47,0)</f>
        <v>0.63054376977865578</v>
      </c>
      <c r="F47" s="109"/>
      <c r="G47" s="27"/>
      <c r="H47" s="117"/>
      <c r="I47" s="117"/>
      <c r="J47" s="31"/>
      <c r="K47" s="31"/>
      <c r="L47" s="117"/>
      <c r="M47" s="117"/>
    </row>
    <row r="48" spans="1:13" ht="15.75" x14ac:dyDescent="0.2">
      <c r="A48" s="18" t="s">
        <v>397</v>
      </c>
      <c r="B48" s="219">
        <v>34190</v>
      </c>
      <c r="C48" s="220">
        <v>41489</v>
      </c>
      <c r="D48" s="198">
        <f t="shared" si="11"/>
        <v>21.3</v>
      </c>
      <c r="E48" s="23">
        <f>IFERROR(100/'Skjema total MA'!C48*C48,0)</f>
        <v>1.1188102744887778</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196" priority="10">
      <formula>kvartal &lt; 4</formula>
    </cfRule>
  </conditionalFormatting>
  <conditionalFormatting sqref="A80:A85">
    <cfRule type="expression" dxfId="1195" priority="9">
      <formula>kvartal &lt; 4</formula>
    </cfRule>
  </conditionalFormatting>
  <conditionalFormatting sqref="A90:A95">
    <cfRule type="expression" dxfId="1194" priority="6">
      <formula>kvartal &lt; 4</formula>
    </cfRule>
  </conditionalFormatting>
  <conditionalFormatting sqref="A101:A106">
    <cfRule type="expression" dxfId="1193" priority="5">
      <formula>kvartal &lt; 4</formula>
    </cfRule>
  </conditionalFormatting>
  <conditionalFormatting sqref="A50:C52">
    <cfRule type="expression" dxfId="1192" priority="12">
      <formula>kvartal &lt; 4</formula>
    </cfRule>
  </conditionalFormatting>
  <conditionalFormatting sqref="A115:C115">
    <cfRule type="expression" dxfId="1191" priority="4">
      <formula>kvartal &lt; 4</formula>
    </cfRule>
  </conditionalFormatting>
  <conditionalFormatting sqref="A123:C123">
    <cfRule type="expression" dxfId="1190" priority="3">
      <formula>kvartal &lt; 4</formula>
    </cfRule>
  </conditionalFormatting>
  <conditionalFormatting sqref="B69:C69">
    <cfRule type="expression" dxfId="1189" priority="99">
      <formula>kvartal &lt; 4</formula>
    </cfRule>
  </conditionalFormatting>
  <conditionalFormatting sqref="B72:C72">
    <cfRule type="expression" dxfId="1188" priority="97">
      <formula>kvartal &lt; 4</formula>
    </cfRule>
  </conditionalFormatting>
  <conditionalFormatting sqref="B80:C80">
    <cfRule type="expression" dxfId="1187" priority="95">
      <formula>kvartal &lt; 4</formula>
    </cfRule>
  </conditionalFormatting>
  <conditionalFormatting sqref="B83:C83">
    <cfRule type="expression" dxfId="1186" priority="93">
      <formula>kvartal &lt; 4</formula>
    </cfRule>
  </conditionalFormatting>
  <conditionalFormatting sqref="B90:C90">
    <cfRule type="expression" dxfId="1185" priority="83">
      <formula>kvartal &lt; 4</formula>
    </cfRule>
  </conditionalFormatting>
  <conditionalFormatting sqref="B93:C93">
    <cfRule type="expression" dxfId="1184" priority="81">
      <formula>kvartal &lt; 4</formula>
    </cfRule>
  </conditionalFormatting>
  <conditionalFormatting sqref="B101:C101">
    <cfRule type="expression" dxfId="1183" priority="79">
      <formula>kvartal &lt; 4</formula>
    </cfRule>
  </conditionalFormatting>
  <conditionalFormatting sqref="B104:C104">
    <cfRule type="expression" dxfId="1182" priority="77">
      <formula>kvartal &lt; 4</formula>
    </cfRule>
  </conditionalFormatting>
  <conditionalFormatting sqref="F69:G74">
    <cfRule type="expression" dxfId="1181" priority="54">
      <formula>kvartal &lt; 4</formula>
    </cfRule>
  </conditionalFormatting>
  <conditionalFormatting sqref="F80:G85">
    <cfRule type="expression" dxfId="1180" priority="52">
      <formula>kvartal &lt; 4</formula>
    </cfRule>
  </conditionalFormatting>
  <conditionalFormatting sqref="F90:G95">
    <cfRule type="expression" dxfId="1179" priority="44">
      <formula>kvartal &lt; 4</formula>
    </cfRule>
  </conditionalFormatting>
  <conditionalFormatting sqref="F101:G106">
    <cfRule type="expression" dxfId="1178" priority="40">
      <formula>kvartal &lt; 4</formula>
    </cfRule>
  </conditionalFormatting>
  <conditionalFormatting sqref="F115:G115">
    <cfRule type="expression" dxfId="1177" priority="57">
      <formula>kvartal &lt; 4</formula>
    </cfRule>
  </conditionalFormatting>
  <conditionalFormatting sqref="F123:G123">
    <cfRule type="expression" dxfId="1176" priority="56">
      <formula>kvartal &lt; 4</formula>
    </cfRule>
  </conditionalFormatting>
  <conditionalFormatting sqref="J69:K74">
    <cfRule type="expression" dxfId="1175" priority="38">
      <formula>kvartal &lt; 4</formula>
    </cfRule>
  </conditionalFormatting>
  <conditionalFormatting sqref="J80:K85">
    <cfRule type="expression" dxfId="1174" priority="37">
      <formula>kvartal &lt; 4</formula>
    </cfRule>
  </conditionalFormatting>
  <conditionalFormatting sqref="J90:K95">
    <cfRule type="expression" dxfId="1173" priority="34">
      <formula>kvartal &lt; 4</formula>
    </cfRule>
  </conditionalFormatting>
  <conditionalFormatting sqref="J101:K106">
    <cfRule type="expression" dxfId="1172" priority="33">
      <formula>kvartal &lt; 4</formula>
    </cfRule>
  </conditionalFormatting>
  <conditionalFormatting sqref="J115:K115">
    <cfRule type="expression" dxfId="1171" priority="32">
      <formula>kvartal &lt; 4</formula>
    </cfRule>
  </conditionalFormatting>
  <conditionalFormatting sqref="J123:K123">
    <cfRule type="expression" dxfId="1170" priority="31">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118</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9340.8760000000002</v>
      </c>
      <c r="C47" s="247">
        <v>2550.2539999999999</v>
      </c>
      <c r="D47" s="338">
        <f t="shared" ref="D47:D57" si="0">IF(B47=0, "    ---- ", IF(ABS(ROUND(100/B47*C47-100,1))&lt;999,ROUND(100/B47*C47-100,1),IF(ROUND(100/B47*C47-100,1)&gt;999,999,-999)))</f>
        <v>-72.7</v>
      </c>
      <c r="E47" s="8">
        <f>IFERROR(100/'Skjema total MA'!C47*C47,0)</f>
        <v>3.8758388272869815E-2</v>
      </c>
      <c r="F47" s="109"/>
      <c r="G47" s="27"/>
      <c r="H47" s="117"/>
      <c r="I47" s="117"/>
      <c r="J47" s="31"/>
      <c r="K47" s="31"/>
      <c r="L47" s="117"/>
      <c r="M47" s="117"/>
    </row>
    <row r="48" spans="1:13" ht="15.75" x14ac:dyDescent="0.2">
      <c r="A48" s="18" t="s">
        <v>397</v>
      </c>
      <c r="B48" s="219">
        <v>9340.8760000000002</v>
      </c>
      <c r="C48" s="220">
        <v>2550.2539999999999</v>
      </c>
      <c r="D48" s="198">
        <f t="shared" si="0"/>
        <v>-72.7</v>
      </c>
      <c r="E48" s="23">
        <f>IFERROR(100/'Skjema total MA'!C48*C48,0)</f>
        <v>6.8771249674759657E-2</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v>7953.7790000000005</v>
      </c>
      <c r="D56" s="339" t="str">
        <f t="shared" si="0"/>
        <v xml:space="preserve">    ---- </v>
      </c>
      <c r="E56" s="8">
        <f>IFERROR(100/'Skjema total MA'!C56*C56,0)</f>
        <v>3.3262495158424419</v>
      </c>
      <c r="F56" s="109"/>
      <c r="G56" s="27"/>
      <c r="H56" s="109"/>
      <c r="I56" s="109"/>
      <c r="J56" s="27"/>
      <c r="K56" s="27"/>
      <c r="L56" s="117"/>
      <c r="M56" s="117"/>
    </row>
    <row r="57" spans="1:13" ht="15.75" x14ac:dyDescent="0.2">
      <c r="A57" s="18" t="s">
        <v>397</v>
      </c>
      <c r="B57" s="219"/>
      <c r="C57" s="220">
        <v>7953.7790000000005</v>
      </c>
      <c r="D57" s="198" t="str">
        <f t="shared" si="0"/>
        <v xml:space="preserve">    ---- </v>
      </c>
      <c r="E57" s="23">
        <f>IFERROR(100/'Skjema total MA'!C57*C57,0)</f>
        <v>3.3262495158424419</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169" priority="10">
      <formula>kvartal &lt; 4</formula>
    </cfRule>
  </conditionalFormatting>
  <conditionalFormatting sqref="A80:A85">
    <cfRule type="expression" dxfId="1168" priority="9">
      <formula>kvartal &lt; 4</formula>
    </cfRule>
  </conditionalFormatting>
  <conditionalFormatting sqref="A90:A95">
    <cfRule type="expression" dxfId="1167" priority="6">
      <formula>kvartal &lt; 4</formula>
    </cfRule>
  </conditionalFormatting>
  <conditionalFormatting sqref="A101:A106">
    <cfRule type="expression" dxfId="1166" priority="5">
      <formula>kvartal &lt; 4</formula>
    </cfRule>
  </conditionalFormatting>
  <conditionalFormatting sqref="A50:C52">
    <cfRule type="expression" dxfId="1165" priority="12">
      <formula>kvartal &lt; 4</formula>
    </cfRule>
  </conditionalFormatting>
  <conditionalFormatting sqref="A115:C115">
    <cfRule type="expression" dxfId="1164" priority="4">
      <formula>kvartal &lt; 4</formula>
    </cfRule>
  </conditionalFormatting>
  <conditionalFormatting sqref="A123:C123">
    <cfRule type="expression" dxfId="1163" priority="3">
      <formula>kvartal &lt; 4</formula>
    </cfRule>
  </conditionalFormatting>
  <conditionalFormatting sqref="B69:C69">
    <cfRule type="expression" dxfId="1162" priority="99">
      <formula>kvartal &lt; 4</formula>
    </cfRule>
  </conditionalFormatting>
  <conditionalFormatting sqref="B72:C72">
    <cfRule type="expression" dxfId="1161" priority="97">
      <formula>kvartal &lt; 4</formula>
    </cfRule>
  </conditionalFormatting>
  <conditionalFormatting sqref="B80:C80">
    <cfRule type="expression" dxfId="1160" priority="95">
      <formula>kvartal &lt; 4</formula>
    </cfRule>
  </conditionalFormatting>
  <conditionalFormatting sqref="B83:C83">
    <cfRule type="expression" dxfId="1159" priority="93">
      <formula>kvartal &lt; 4</formula>
    </cfRule>
  </conditionalFormatting>
  <conditionalFormatting sqref="B90:C90">
    <cfRule type="expression" dxfId="1158" priority="83">
      <formula>kvartal &lt; 4</formula>
    </cfRule>
  </conditionalFormatting>
  <conditionalFormatting sqref="B93:C93">
    <cfRule type="expression" dxfId="1157" priority="81">
      <formula>kvartal &lt; 4</formula>
    </cfRule>
  </conditionalFormatting>
  <conditionalFormatting sqref="B101:C101">
    <cfRule type="expression" dxfId="1156" priority="79">
      <formula>kvartal &lt; 4</formula>
    </cfRule>
  </conditionalFormatting>
  <conditionalFormatting sqref="B104:C104">
    <cfRule type="expression" dxfId="1155" priority="77">
      <formula>kvartal &lt; 4</formula>
    </cfRule>
  </conditionalFormatting>
  <conditionalFormatting sqref="F69:G74">
    <cfRule type="expression" dxfId="1154" priority="54">
      <formula>kvartal &lt; 4</formula>
    </cfRule>
  </conditionalFormatting>
  <conditionalFormatting sqref="F80:G85">
    <cfRule type="expression" dxfId="1153" priority="52">
      <formula>kvartal &lt; 4</formula>
    </cfRule>
  </conditionalFormatting>
  <conditionalFormatting sqref="F90:G95">
    <cfRule type="expression" dxfId="1152" priority="44">
      <formula>kvartal &lt; 4</formula>
    </cfRule>
  </conditionalFormatting>
  <conditionalFormatting sqref="F101:G106">
    <cfRule type="expression" dxfId="1151" priority="40">
      <formula>kvartal &lt; 4</formula>
    </cfRule>
  </conditionalFormatting>
  <conditionalFormatting sqref="F115:G115">
    <cfRule type="expression" dxfId="1150" priority="57">
      <formula>kvartal &lt; 4</formula>
    </cfRule>
  </conditionalFormatting>
  <conditionalFormatting sqref="F123:G123">
    <cfRule type="expression" dxfId="1149" priority="56">
      <formula>kvartal &lt; 4</formula>
    </cfRule>
  </conditionalFormatting>
  <conditionalFormatting sqref="J69:K74">
    <cfRule type="expression" dxfId="1148" priority="38">
      <formula>kvartal &lt; 4</formula>
    </cfRule>
  </conditionalFormatting>
  <conditionalFormatting sqref="J80:K85">
    <cfRule type="expression" dxfId="1147" priority="37">
      <formula>kvartal &lt; 4</formula>
    </cfRule>
  </conditionalFormatting>
  <conditionalFormatting sqref="J90:K95">
    <cfRule type="expression" dxfId="1146" priority="34">
      <formula>kvartal &lt; 4</formula>
    </cfRule>
  </conditionalFormatting>
  <conditionalFormatting sqref="J101:K106">
    <cfRule type="expression" dxfId="1145" priority="33">
      <formula>kvartal &lt; 4</formula>
    </cfRule>
  </conditionalFormatting>
  <conditionalFormatting sqref="J115:K115">
    <cfRule type="expression" dxfId="1144" priority="32">
      <formula>kvartal &lt; 4</formula>
    </cfRule>
  </conditionalFormatting>
  <conditionalFormatting sqref="J123:K123">
    <cfRule type="expression" dxfId="1143" priority="3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119</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895132.28</v>
      </c>
      <c r="C7" s="243">
        <v>914697.04299999995</v>
      </c>
      <c r="D7" s="278">
        <f>IF(B7=0, "    ---- ", IF(ABS(ROUND(100/B7*C7-100,1))&lt;999,ROUND(100/B7*C7-100,1),IF(ROUND(100/B7*C7-100,1)&gt;999,999,-999)))</f>
        <v>2.2000000000000002</v>
      </c>
      <c r="E7" s="8">
        <f>IFERROR(100/'Skjema total MA'!C7*C7,0)</f>
        <v>16.558604562906041</v>
      </c>
      <c r="F7" s="242"/>
      <c r="G7" s="243"/>
      <c r="H7" s="278"/>
      <c r="I7" s="118"/>
      <c r="J7" s="244">
        <f t="shared" ref="J7:K10" si="0">SUM(B7,F7)</f>
        <v>895132.28</v>
      </c>
      <c r="K7" s="245">
        <f t="shared" si="0"/>
        <v>914697.04299999995</v>
      </c>
      <c r="L7" s="338">
        <f>IF(J7=0, "    ---- ", IF(ABS(ROUND(100/J7*K7-100,1))&lt;999,ROUND(100/J7*K7-100,1),IF(ROUND(100/J7*K7-100,1)&gt;999,999,-999)))</f>
        <v>2.2000000000000002</v>
      </c>
      <c r="M7" s="8">
        <f>IFERROR(100/'Skjema total MA'!I7*K7,0)</f>
        <v>4.6343432049983093</v>
      </c>
    </row>
    <row r="8" spans="1:14" ht="15.75" x14ac:dyDescent="0.2">
      <c r="A8" s="18" t="s">
        <v>25</v>
      </c>
      <c r="B8" s="219">
        <v>551234.36</v>
      </c>
      <c r="C8" s="220">
        <v>583470.79399999999</v>
      </c>
      <c r="D8" s="121">
        <f t="shared" ref="D8:D10" si="1">IF(B8=0, "    ---- ", IF(ABS(ROUND(100/B8*C8-100,1))&lt;999,ROUND(100/B8*C8-100,1),IF(ROUND(100/B8*C8-100,1)&gt;999,999,-999)))</f>
        <v>5.8</v>
      </c>
      <c r="E8" s="23">
        <f>IFERROR(100/'Skjema total MA'!C8*C8,0)</f>
        <v>15.907094322442084</v>
      </c>
      <c r="F8" s="223"/>
      <c r="G8" s="224"/>
      <c r="H8" s="121"/>
      <c r="I8" s="129"/>
      <c r="J8" s="178">
        <f t="shared" si="0"/>
        <v>551234.36</v>
      </c>
      <c r="K8" s="225">
        <f t="shared" si="0"/>
        <v>583470.79399999999</v>
      </c>
      <c r="L8" s="121">
        <f t="shared" ref="L8:L9" si="2">IF(J8=0, "    ---- ", IF(ABS(ROUND(100/J8*K8-100,1))&lt;999,ROUND(100/J8*K8-100,1),IF(ROUND(100/J8*K8-100,1)&gt;999,999,-999)))</f>
        <v>5.8</v>
      </c>
      <c r="M8" s="23">
        <f>IFERROR(100/'Skjema total MA'!I8*K8,0)</f>
        <v>15.907094322442084</v>
      </c>
    </row>
    <row r="9" spans="1:14" ht="15.75" x14ac:dyDescent="0.2">
      <c r="A9" s="18" t="s">
        <v>24</v>
      </c>
      <c r="B9" s="219">
        <v>343897.92</v>
      </c>
      <c r="C9" s="220">
        <v>331226.24900000001</v>
      </c>
      <c r="D9" s="121">
        <f t="shared" si="1"/>
        <v>-3.7</v>
      </c>
      <c r="E9" s="23">
        <f>IFERROR(100/'Skjema total MA'!C9*C9,0)</f>
        <v>30.373575572263846</v>
      </c>
      <c r="F9" s="223"/>
      <c r="G9" s="224"/>
      <c r="H9" s="121"/>
      <c r="I9" s="129"/>
      <c r="J9" s="178">
        <f t="shared" si="0"/>
        <v>343897.92</v>
      </c>
      <c r="K9" s="225">
        <f t="shared" si="0"/>
        <v>331226.24900000001</v>
      </c>
      <c r="L9" s="121">
        <f t="shared" si="2"/>
        <v>-3.7</v>
      </c>
      <c r="M9" s="23">
        <f>IFERROR(100/'Skjema total MA'!I9*K9,0)</f>
        <v>30.373575572263846</v>
      </c>
    </row>
    <row r="10" spans="1:14" ht="15.75" x14ac:dyDescent="0.2">
      <c r="A10" s="10" t="s">
        <v>386</v>
      </c>
      <c r="B10" s="246">
        <v>1244975.0162699199</v>
      </c>
      <c r="C10" s="247">
        <v>1203252.1255999999</v>
      </c>
      <c r="D10" s="125">
        <f t="shared" si="1"/>
        <v>-3.4</v>
      </c>
      <c r="E10" s="8">
        <f>IFERROR(100/'Skjema total MA'!C10*C10,0)</f>
        <v>7.8653472068380745</v>
      </c>
      <c r="F10" s="246"/>
      <c r="G10" s="247"/>
      <c r="H10" s="125"/>
      <c r="I10" s="118"/>
      <c r="J10" s="244">
        <f t="shared" si="0"/>
        <v>1244975.0162699199</v>
      </c>
      <c r="K10" s="245">
        <f t="shared" si="0"/>
        <v>1203252.1255999999</v>
      </c>
      <c r="L10" s="339">
        <f t="shared" ref="L10" si="3">IF(J10=0, "    ---- ", IF(ABS(ROUND(100/J10*K10-100,1))&lt;999,ROUND(100/J10*K10-100,1),IF(ROUND(100/J10*K10-100,1)&gt;999,999,-999)))</f>
        <v>-3.4</v>
      </c>
      <c r="M10" s="8">
        <f>IFERROR(100/'Skjema total MA'!I10*K10,0)</f>
        <v>1.0279571150414128</v>
      </c>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1312052.807</v>
      </c>
      <c r="C47" s="247">
        <v>1392693.4258399999</v>
      </c>
      <c r="D47" s="338">
        <f t="shared" ref="D47:D57" si="4">IF(B47=0, "    ---- ", IF(ABS(ROUND(100/B47*C47-100,1))&lt;999,ROUND(100/B47*C47-100,1),IF(ROUND(100/B47*C47-100,1)&gt;999,999,-999)))</f>
        <v>6.1</v>
      </c>
      <c r="E47" s="8">
        <f>IFERROR(100/'Skjema total MA'!C47*C47,0)</f>
        <v>21.165951526310693</v>
      </c>
      <c r="F47" s="109"/>
      <c r="G47" s="27"/>
      <c r="H47" s="117"/>
      <c r="I47" s="117"/>
      <c r="J47" s="31"/>
      <c r="K47" s="31"/>
      <c r="L47" s="117"/>
      <c r="M47" s="117"/>
    </row>
    <row r="48" spans="1:13" ht="15.75" x14ac:dyDescent="0.2">
      <c r="A48" s="18" t="s">
        <v>397</v>
      </c>
      <c r="B48" s="219">
        <v>941861.34199999995</v>
      </c>
      <c r="C48" s="220">
        <v>968480.15183999995</v>
      </c>
      <c r="D48" s="198">
        <f t="shared" si="4"/>
        <v>2.8</v>
      </c>
      <c r="E48" s="23">
        <f>IFERROR(100/'Skjema total MA'!C48*C48,0)</f>
        <v>26.116453626673181</v>
      </c>
      <c r="F48" s="109"/>
      <c r="G48" s="27"/>
      <c r="H48" s="109"/>
      <c r="I48" s="109"/>
      <c r="J48" s="27"/>
      <c r="K48" s="27"/>
      <c r="L48" s="117"/>
      <c r="M48" s="117"/>
    </row>
    <row r="49" spans="1:13" ht="15.75" x14ac:dyDescent="0.2">
      <c r="A49" s="18" t="s">
        <v>398</v>
      </c>
      <c r="B49" s="36">
        <v>370191.46500000003</v>
      </c>
      <c r="C49" s="225">
        <v>424213.27399999998</v>
      </c>
      <c r="D49" s="198">
        <f>IF(B49=0, "    ---- ", IF(ABS(ROUND(100/B49*C49-100,1))&lt;999,ROUND(100/B49*C49-100,1),IF(ROUND(100/B49*C49-100,1)&gt;999,999,-999)))</f>
        <v>14.6</v>
      </c>
      <c r="E49" s="23">
        <f>IFERROR(100/'Skjema total MA'!C49*C49,0)</f>
        <v>14.772909557329177</v>
      </c>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v>361010.65</v>
      </c>
      <c r="C51" s="229">
        <v>416115.70699999999</v>
      </c>
      <c r="D51" s="198">
        <f t="shared" ref="D51:D52" si="5">IF(B51=0, "    ---- ", IF(ABS(ROUND(100/B51*C51-100,1))&lt;999,ROUND(100/B51*C51-100,1),IF(ROUND(100/B51*C51-100,1)&gt;999,999,-999)))</f>
        <v>15.3</v>
      </c>
      <c r="E51" s="23">
        <f>IFERROR(100/'Skjema total MA'!C51*C51,0)</f>
        <v>14.706630033421177</v>
      </c>
      <c r="F51" s="109"/>
      <c r="G51" s="27"/>
      <c r="H51" s="109"/>
      <c r="I51" s="109"/>
      <c r="J51" s="27"/>
      <c r="K51" s="27"/>
      <c r="L51" s="117"/>
      <c r="M51" s="117"/>
    </row>
    <row r="52" spans="1:13" x14ac:dyDescent="0.2">
      <c r="A52" s="234" t="s">
        <v>8</v>
      </c>
      <c r="B52" s="228">
        <v>9180.8150000000005</v>
      </c>
      <c r="C52" s="229">
        <v>8097.567</v>
      </c>
      <c r="D52" s="198">
        <f t="shared" si="5"/>
        <v>-11.8</v>
      </c>
      <c r="E52" s="23">
        <f>IFERROR(100/'Skjema total MA'!C52*C52,0)</f>
        <v>19.219972417181182</v>
      </c>
      <c r="F52" s="109"/>
      <c r="G52" s="27"/>
      <c r="H52" s="109"/>
      <c r="I52" s="109"/>
      <c r="J52" s="27"/>
      <c r="K52" s="27"/>
      <c r="L52" s="117"/>
      <c r="M52" s="117"/>
    </row>
    <row r="53" spans="1:13" ht="15.75" x14ac:dyDescent="0.2">
      <c r="A53" s="10" t="s">
        <v>399</v>
      </c>
      <c r="B53" s="246">
        <v>27389.710999999999</v>
      </c>
      <c r="C53" s="247">
        <v>27260.432000000001</v>
      </c>
      <c r="D53" s="339">
        <f t="shared" si="4"/>
        <v>-0.5</v>
      </c>
      <c r="E53" s="8">
        <f>IFERROR(100/'Skjema total MA'!C53*C53,0)</f>
        <v>12.440111879863487</v>
      </c>
      <c r="F53" s="109"/>
      <c r="G53" s="27"/>
      <c r="H53" s="109"/>
      <c r="I53" s="109"/>
      <c r="J53" s="27"/>
      <c r="K53" s="27"/>
      <c r="L53" s="117"/>
      <c r="M53" s="117"/>
    </row>
    <row r="54" spans="1:13" ht="15.75" x14ac:dyDescent="0.2">
      <c r="A54" s="18" t="s">
        <v>397</v>
      </c>
      <c r="B54" s="219">
        <v>27389.710999999999</v>
      </c>
      <c r="C54" s="220">
        <v>27260.432000000001</v>
      </c>
      <c r="D54" s="198">
        <f t="shared" si="4"/>
        <v>-0.5</v>
      </c>
      <c r="E54" s="23">
        <f>IFERROR(100/'Skjema total MA'!C54*C54,0)</f>
        <v>12.496511559769704</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24623.103999999999</v>
      </c>
      <c r="C56" s="247">
        <v>121048.833</v>
      </c>
      <c r="D56" s="339">
        <f t="shared" si="4"/>
        <v>391.6</v>
      </c>
      <c r="E56" s="8">
        <f>IFERROR(100/'Skjema total MA'!C56*C56,0)</f>
        <v>50.622304461758688</v>
      </c>
      <c r="F56" s="109"/>
      <c r="G56" s="27"/>
      <c r="H56" s="109"/>
      <c r="I56" s="109"/>
      <c r="J56" s="27"/>
      <c r="K56" s="27"/>
      <c r="L56" s="117"/>
      <c r="M56" s="117"/>
    </row>
    <row r="57" spans="1:13" ht="15.75" x14ac:dyDescent="0.2">
      <c r="A57" s="18" t="s">
        <v>397</v>
      </c>
      <c r="B57" s="219">
        <v>24623.103999999999</v>
      </c>
      <c r="C57" s="220">
        <v>121048.833</v>
      </c>
      <c r="D57" s="198">
        <f t="shared" si="4"/>
        <v>391.6</v>
      </c>
      <c r="E57" s="23">
        <f>IFERROR(100/'Skjema total MA'!C57*C57,0)</f>
        <v>50.622304461758688</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142" priority="10">
      <formula>kvartal &lt; 4</formula>
    </cfRule>
  </conditionalFormatting>
  <conditionalFormatting sqref="A80:A85">
    <cfRule type="expression" dxfId="1141" priority="9">
      <formula>kvartal &lt; 4</formula>
    </cfRule>
  </conditionalFormatting>
  <conditionalFormatting sqref="A90:A95">
    <cfRule type="expression" dxfId="1140" priority="6">
      <formula>kvartal &lt; 4</formula>
    </cfRule>
  </conditionalFormatting>
  <conditionalFormatting sqref="A101:A106">
    <cfRule type="expression" dxfId="1139" priority="5">
      <formula>kvartal &lt; 4</formula>
    </cfRule>
  </conditionalFormatting>
  <conditionalFormatting sqref="A50:C52">
    <cfRule type="expression" dxfId="1138" priority="12">
      <formula>kvartal &lt; 4</formula>
    </cfRule>
  </conditionalFormatting>
  <conditionalFormatting sqref="A115:C115">
    <cfRule type="expression" dxfId="1137" priority="4">
      <formula>kvartal &lt; 4</formula>
    </cfRule>
  </conditionalFormatting>
  <conditionalFormatting sqref="A123:C123">
    <cfRule type="expression" dxfId="1136" priority="3">
      <formula>kvartal &lt; 4</formula>
    </cfRule>
  </conditionalFormatting>
  <conditionalFormatting sqref="B69:C69">
    <cfRule type="expression" dxfId="1135" priority="99">
      <formula>kvartal &lt; 4</formula>
    </cfRule>
  </conditionalFormatting>
  <conditionalFormatting sqref="B72:C72">
    <cfRule type="expression" dxfId="1134" priority="97">
      <formula>kvartal &lt; 4</formula>
    </cfRule>
  </conditionalFormatting>
  <conditionalFormatting sqref="B80:C80">
    <cfRule type="expression" dxfId="1133" priority="95">
      <formula>kvartal &lt; 4</formula>
    </cfRule>
  </conditionalFormatting>
  <conditionalFormatting sqref="B83:C83">
    <cfRule type="expression" dxfId="1132" priority="93">
      <formula>kvartal &lt; 4</formula>
    </cfRule>
  </conditionalFormatting>
  <conditionalFormatting sqref="B90:C90">
    <cfRule type="expression" dxfId="1131" priority="83">
      <formula>kvartal &lt; 4</formula>
    </cfRule>
  </conditionalFormatting>
  <conditionalFormatting sqref="B93:C93">
    <cfRule type="expression" dxfId="1130" priority="81">
      <formula>kvartal &lt; 4</formula>
    </cfRule>
  </conditionalFormatting>
  <conditionalFormatting sqref="B101:C101">
    <cfRule type="expression" dxfId="1129" priority="79">
      <formula>kvartal &lt; 4</formula>
    </cfRule>
  </conditionalFormatting>
  <conditionalFormatting sqref="B104:C104">
    <cfRule type="expression" dxfId="1128" priority="77">
      <formula>kvartal &lt; 4</formula>
    </cfRule>
  </conditionalFormatting>
  <conditionalFormatting sqref="F69:G74">
    <cfRule type="expression" dxfId="1127" priority="54">
      <formula>kvartal &lt; 4</formula>
    </cfRule>
  </conditionalFormatting>
  <conditionalFormatting sqref="F80:G85">
    <cfRule type="expression" dxfId="1126" priority="52">
      <formula>kvartal &lt; 4</formula>
    </cfRule>
  </conditionalFormatting>
  <conditionalFormatting sqref="F90:G95">
    <cfRule type="expression" dxfId="1125" priority="44">
      <formula>kvartal &lt; 4</formula>
    </cfRule>
  </conditionalFormatting>
  <conditionalFormatting sqref="F101:G106">
    <cfRule type="expression" dxfId="1124" priority="40">
      <formula>kvartal &lt; 4</formula>
    </cfRule>
  </conditionalFormatting>
  <conditionalFormatting sqref="F115:G115">
    <cfRule type="expression" dxfId="1123" priority="57">
      <formula>kvartal &lt; 4</formula>
    </cfRule>
  </conditionalFormatting>
  <conditionalFormatting sqref="F123:G123">
    <cfRule type="expression" dxfId="1122" priority="56">
      <formula>kvartal &lt; 4</formula>
    </cfRule>
  </conditionalFormatting>
  <conditionalFormatting sqref="J69:K74">
    <cfRule type="expression" dxfId="1121" priority="38">
      <formula>kvartal &lt; 4</formula>
    </cfRule>
  </conditionalFormatting>
  <conditionalFormatting sqref="J80:K85">
    <cfRule type="expression" dxfId="1120" priority="37">
      <formula>kvartal &lt; 4</formula>
    </cfRule>
  </conditionalFormatting>
  <conditionalFormatting sqref="J90:K95">
    <cfRule type="expression" dxfId="1119" priority="34">
      <formula>kvartal &lt; 4</formula>
    </cfRule>
  </conditionalFormatting>
  <conditionalFormatting sqref="J101:K106">
    <cfRule type="expression" dxfId="1118" priority="33">
      <formula>kvartal &lt; 4</formula>
    </cfRule>
  </conditionalFormatting>
  <conditionalFormatting sqref="J115:K115">
    <cfRule type="expression" dxfId="1117" priority="32">
      <formula>kvartal &lt; 4</formula>
    </cfRule>
  </conditionalFormatting>
  <conditionalFormatting sqref="J123:K123">
    <cfRule type="expression" dxfId="1116" priority="31">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84</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v>180051</v>
      </c>
      <c r="G7" s="243">
        <v>259842</v>
      </c>
      <c r="H7" s="278">
        <f>IF(F7=0, "    ---- ", IF(ABS(ROUND(100/F7*G7-100,1))&lt;999,ROUND(100/F7*G7-100,1),IF(ROUND(100/F7*G7-100,1)&gt;999,999,-999)))</f>
        <v>44.3</v>
      </c>
      <c r="I7" s="118">
        <f>IFERROR(100/'Skjema total MA'!F7*G7,0)</f>
        <v>1.8281529046059539</v>
      </c>
      <c r="J7" s="244">
        <f t="shared" ref="J7:K12" si="0">SUM(B7,F7)</f>
        <v>180051</v>
      </c>
      <c r="K7" s="245">
        <f t="shared" si="0"/>
        <v>259842</v>
      </c>
      <c r="L7" s="338">
        <f>IF(J7=0, "    ---- ", IF(ABS(ROUND(100/J7*K7-100,1))&lt;999,ROUND(100/J7*K7-100,1),IF(ROUND(100/J7*K7-100,1)&gt;999,999,-999)))</f>
        <v>44.3</v>
      </c>
      <c r="M7" s="8">
        <f>IFERROR(100/'Skjema total MA'!I7*K7,0)</f>
        <v>1.3164981960843298</v>
      </c>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v>2337948</v>
      </c>
      <c r="G10" s="247">
        <v>2882171</v>
      </c>
      <c r="H10" s="125">
        <f t="shared" ref="H10:H12" si="1">IF(F10=0, "    ---- ", IF(ABS(ROUND(100/F10*G10-100,1))&lt;999,ROUND(100/F10*G10-100,1),IF(ROUND(100/F10*G10-100,1)&gt;999,999,-999)))</f>
        <v>23.3</v>
      </c>
      <c r="I10" s="118">
        <f>IFERROR(100/'Skjema total MA'!F10*G10,0)</f>
        <v>2.8324721206325076</v>
      </c>
      <c r="J10" s="244">
        <f t="shared" si="0"/>
        <v>2337948</v>
      </c>
      <c r="K10" s="245">
        <f t="shared" si="0"/>
        <v>2882171</v>
      </c>
      <c r="L10" s="339">
        <f t="shared" ref="L10:L12" si="2">IF(J10=0, "    ---- ", IF(ABS(ROUND(100/J10*K10-100,1))&lt;999,ROUND(100/J10*K10-100,1),IF(ROUND(100/J10*K10-100,1)&gt;999,999,-999)))</f>
        <v>23.3</v>
      </c>
      <c r="M10" s="8">
        <f>IFERROR(100/'Skjema total MA'!I10*K10,0)</f>
        <v>2.4622837750971382</v>
      </c>
    </row>
    <row r="11" spans="1:14" s="35" customFormat="1" ht="15.75" x14ac:dyDescent="0.2">
      <c r="A11" s="10" t="s">
        <v>387</v>
      </c>
      <c r="B11" s="246"/>
      <c r="C11" s="247"/>
      <c r="D11" s="125"/>
      <c r="E11" s="8"/>
      <c r="F11" s="246">
        <v>10812</v>
      </c>
      <c r="G11" s="247">
        <v>88033</v>
      </c>
      <c r="H11" s="125">
        <f t="shared" si="1"/>
        <v>714.2</v>
      </c>
      <c r="I11" s="118">
        <f>IFERROR(100/'Skjema total MA'!F11*G11,0)</f>
        <v>22.237892862948119</v>
      </c>
      <c r="J11" s="244">
        <f t="shared" si="0"/>
        <v>10812</v>
      </c>
      <c r="K11" s="245">
        <f t="shared" si="0"/>
        <v>88033</v>
      </c>
      <c r="L11" s="339">
        <f t="shared" si="2"/>
        <v>714.2</v>
      </c>
      <c r="M11" s="8">
        <f>IFERROR(100/'Skjema total MA'!I11*K11,0)</f>
        <v>22.153000958105501</v>
      </c>
      <c r="N11" s="107"/>
    </row>
    <row r="12" spans="1:14" s="35" customFormat="1" ht="15.75" x14ac:dyDescent="0.2">
      <c r="A12" s="33" t="s">
        <v>388</v>
      </c>
      <c r="B12" s="248"/>
      <c r="C12" s="249"/>
      <c r="D12" s="123"/>
      <c r="E12" s="30"/>
      <c r="F12" s="248">
        <v>10965</v>
      </c>
      <c r="G12" s="249">
        <v>14463</v>
      </c>
      <c r="H12" s="123">
        <f t="shared" si="1"/>
        <v>31.9</v>
      </c>
      <c r="I12" s="123">
        <f>IFERROR(100/'Skjema total MA'!F12*G12,0)</f>
        <v>3.7068201323690912</v>
      </c>
      <c r="J12" s="250">
        <f t="shared" si="0"/>
        <v>10965</v>
      </c>
      <c r="K12" s="251">
        <f t="shared" si="0"/>
        <v>14463</v>
      </c>
      <c r="L12" s="340">
        <f t="shared" si="2"/>
        <v>31.9</v>
      </c>
      <c r="M12" s="30">
        <f>IFERROR(100/'Skjema total MA'!I12*K12,0)</f>
        <v>3.6918793699743149</v>
      </c>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566363</v>
      </c>
      <c r="C22" s="246">
        <v>636002</v>
      </c>
      <c r="D22" s="278">
        <f t="shared" ref="D22:D30" si="3">IF(B22=0, "    ---- ", IF(ABS(ROUND(100/B22*C22-100,1))&lt;999,ROUND(100/B22*C22-100,1),IF(ROUND(100/B22*C22-100,1)&gt;999,999,-999)))</f>
        <v>12.3</v>
      </c>
      <c r="E22" s="8">
        <f>IFERROR(100/'Skjema total MA'!C22*C22,0)</f>
        <v>26.115046655108351</v>
      </c>
      <c r="F22" s="254">
        <v>70935</v>
      </c>
      <c r="G22" s="254">
        <v>76794</v>
      </c>
      <c r="H22" s="278">
        <f t="shared" ref="H22:H35" si="4">IF(F22=0, "    ---- ", IF(ABS(ROUND(100/F22*G22-100,1))&lt;999,ROUND(100/F22*G22-100,1),IF(ROUND(100/F22*G22-100,1)&gt;999,999,-999)))</f>
        <v>8.3000000000000007</v>
      </c>
      <c r="I22" s="8">
        <f>IFERROR(100/'Skjema total MA'!F22*G22,0)</f>
        <v>7.5277694760003939</v>
      </c>
      <c r="J22" s="252">
        <f t="shared" ref="J22:K35" si="5">SUM(B22,F22)</f>
        <v>637298</v>
      </c>
      <c r="K22" s="252">
        <f t="shared" si="5"/>
        <v>712796</v>
      </c>
      <c r="L22" s="338">
        <f t="shared" ref="L22:L35" si="6">IF(J22=0, "    ---- ", IF(ABS(ROUND(100/J22*K22-100,1))&lt;999,ROUND(100/J22*K22-100,1),IF(ROUND(100/J22*K22-100,1)&gt;999,999,-999)))</f>
        <v>11.8</v>
      </c>
      <c r="M22" s="21">
        <f>IFERROR(100/'Skjema total MA'!I22*K22,0)</f>
        <v>20.627700905000342</v>
      </c>
    </row>
    <row r="23" spans="1:13" ht="15.75" x14ac:dyDescent="0.2">
      <c r="A23" s="379" t="s">
        <v>389</v>
      </c>
      <c r="B23" s="219">
        <v>566363</v>
      </c>
      <c r="C23" s="219">
        <v>636002</v>
      </c>
      <c r="D23" s="121">
        <f t="shared" si="3"/>
        <v>12.3</v>
      </c>
      <c r="E23" s="8">
        <f>IFERROR(100/'Skjema total MA'!C23*C23,0)</f>
        <v>43.966718685986599</v>
      </c>
      <c r="F23" s="228">
        <v>40</v>
      </c>
      <c r="G23" s="228">
        <v>0</v>
      </c>
      <c r="H23" s="121">
        <f t="shared" si="4"/>
        <v>-100</v>
      </c>
      <c r="I23" s="331">
        <f>IFERROR(100/'Skjema total MA'!F23*G23,0)</f>
        <v>0</v>
      </c>
      <c r="J23" s="228">
        <f t="shared" ref="J23:J26" si="7">SUM(B23,F23)</f>
        <v>566403</v>
      </c>
      <c r="K23" s="228">
        <f t="shared" ref="K23:K26" si="8">SUM(C23,G23)</f>
        <v>636002</v>
      </c>
      <c r="L23" s="121">
        <f t="shared" si="6"/>
        <v>12.3</v>
      </c>
      <c r="M23" s="20">
        <f>IFERROR(100/'Skjema total MA'!I23*K23,0)</f>
        <v>42.561085296634857</v>
      </c>
    </row>
    <row r="24" spans="1:13" ht="15.75" x14ac:dyDescent="0.2">
      <c r="A24" s="379" t="s">
        <v>390</v>
      </c>
      <c r="B24" s="219"/>
      <c r="C24" s="219"/>
      <c r="D24" s="121"/>
      <c r="E24" s="8"/>
      <c r="F24" s="228">
        <v>0</v>
      </c>
      <c r="G24" s="228">
        <v>16</v>
      </c>
      <c r="H24" s="121" t="str">
        <f t="shared" si="4"/>
        <v xml:space="preserve">    ---- </v>
      </c>
      <c r="I24" s="331">
        <f>IFERROR(100/'Skjema total MA'!F24*G24,0)</f>
        <v>1.5885135695743577</v>
      </c>
      <c r="J24" s="228">
        <f t="shared" si="7"/>
        <v>0</v>
      </c>
      <c r="K24" s="228">
        <f t="shared" si="8"/>
        <v>16</v>
      </c>
      <c r="L24" s="121" t="str">
        <f t="shared" si="6"/>
        <v xml:space="preserve">    ---- </v>
      </c>
      <c r="M24" s="20">
        <f>IFERROR(100/'Skjema total MA'!I24*K24,0)</f>
        <v>0.12384650146292149</v>
      </c>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v>70895</v>
      </c>
      <c r="G26" s="228">
        <v>76778</v>
      </c>
      <c r="H26" s="121">
        <f t="shared" si="4"/>
        <v>8.3000000000000007</v>
      </c>
      <c r="I26" s="331">
        <f>IFERROR(100/'Skjema total MA'!F26*G26,0)</f>
        <v>8.0280078484468937</v>
      </c>
      <c r="J26" s="228">
        <f t="shared" si="7"/>
        <v>70895</v>
      </c>
      <c r="K26" s="228">
        <f t="shared" si="8"/>
        <v>76778</v>
      </c>
      <c r="L26" s="121">
        <f t="shared" si="6"/>
        <v>8.3000000000000007</v>
      </c>
      <c r="M26" s="20">
        <f>IFERROR(100/'Skjema total MA'!I26*K26,0)</f>
        <v>8.0280078484468937</v>
      </c>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566363</v>
      </c>
      <c r="C28" s="225">
        <v>636002</v>
      </c>
      <c r="D28" s="121">
        <f t="shared" si="3"/>
        <v>12.3</v>
      </c>
      <c r="E28" s="8">
        <f>IFERROR(100/'Skjema total MA'!C28*C28,0)</f>
        <v>22.252694145421664</v>
      </c>
      <c r="F28" s="178"/>
      <c r="G28" s="225"/>
      <c r="H28" s="121"/>
      <c r="I28" s="23"/>
      <c r="J28" s="36">
        <f t="shared" si="5"/>
        <v>566363</v>
      </c>
      <c r="K28" s="36">
        <f t="shared" si="5"/>
        <v>636002</v>
      </c>
      <c r="L28" s="198">
        <f t="shared" si="6"/>
        <v>12.3</v>
      </c>
      <c r="M28" s="20">
        <f>IFERROR(100/'Skjema total MA'!I28*K28,0)</f>
        <v>22.252694145421664</v>
      </c>
    </row>
    <row r="29" spans="1:13" ht="15.75" x14ac:dyDescent="0.2">
      <c r="A29" s="10" t="s">
        <v>386</v>
      </c>
      <c r="B29" s="180">
        <v>3834211</v>
      </c>
      <c r="C29" s="180">
        <v>4433352</v>
      </c>
      <c r="D29" s="125">
        <f t="shared" si="3"/>
        <v>15.6</v>
      </c>
      <c r="E29" s="8">
        <f>IFERROR(100/'Skjema total MA'!C29*C29,0)</f>
        <v>10.182001017757353</v>
      </c>
      <c r="F29" s="244">
        <v>2325142</v>
      </c>
      <c r="G29" s="244">
        <v>2546923</v>
      </c>
      <c r="H29" s="125">
        <f t="shared" si="4"/>
        <v>9.5</v>
      </c>
      <c r="I29" s="8">
        <f>IFERROR(100/'Skjema total MA'!F29*G29,0)</f>
        <v>8.5787743156225531</v>
      </c>
      <c r="J29" s="180">
        <f t="shared" si="5"/>
        <v>6159353</v>
      </c>
      <c r="K29" s="180">
        <f t="shared" si="5"/>
        <v>6980275</v>
      </c>
      <c r="L29" s="339">
        <f t="shared" si="6"/>
        <v>13.3</v>
      </c>
      <c r="M29" s="21">
        <f>IFERROR(100/'Skjema total MA'!I29*K29,0)</f>
        <v>9.532023854965832</v>
      </c>
    </row>
    <row r="30" spans="1:13" ht="15.75" x14ac:dyDescent="0.2">
      <c r="A30" s="379" t="s">
        <v>389</v>
      </c>
      <c r="B30" s="219">
        <v>3834211</v>
      </c>
      <c r="C30" s="219">
        <v>4433352</v>
      </c>
      <c r="D30" s="121">
        <f t="shared" si="3"/>
        <v>15.6</v>
      </c>
      <c r="E30" s="8">
        <f>IFERROR(100/'Skjema total MA'!C30*C30,0)</f>
        <v>24.695449298202004</v>
      </c>
      <c r="F30" s="228">
        <v>18708</v>
      </c>
      <c r="G30" s="228">
        <v>17608</v>
      </c>
      <c r="H30" s="121">
        <f t="shared" si="4"/>
        <v>-5.9</v>
      </c>
      <c r="I30" s="331">
        <f>IFERROR(100/'Skjema total MA'!F30*G30,0)</f>
        <v>0.4656707646957649</v>
      </c>
      <c r="J30" s="228">
        <f t="shared" ref="J30:J33" si="9">SUM(B30,F30)</f>
        <v>3852919</v>
      </c>
      <c r="K30" s="228">
        <f t="shared" ref="K30:K33" si="10">SUM(C30,G30)</f>
        <v>4450960</v>
      </c>
      <c r="L30" s="121">
        <f t="shared" si="6"/>
        <v>15.5</v>
      </c>
      <c r="M30" s="20">
        <f>IFERROR(100/'Skjema total MA'!I30*K30,0)</f>
        <v>20.479896227129661</v>
      </c>
    </row>
    <row r="31" spans="1:13" ht="15.75" x14ac:dyDescent="0.2">
      <c r="A31" s="379" t="s">
        <v>390</v>
      </c>
      <c r="B31" s="219"/>
      <c r="C31" s="219"/>
      <c r="D31" s="121"/>
      <c r="E31" s="8"/>
      <c r="F31" s="228">
        <v>1146861</v>
      </c>
      <c r="G31" s="228">
        <v>1122897</v>
      </c>
      <c r="H31" s="121">
        <f t="shared" si="4"/>
        <v>-2.1</v>
      </c>
      <c r="I31" s="331">
        <f>IFERROR(100/'Skjema total MA'!F31*G31,0)</f>
        <v>14.761307928727581</v>
      </c>
      <c r="J31" s="228">
        <f t="shared" si="9"/>
        <v>1146861</v>
      </c>
      <c r="K31" s="228">
        <f t="shared" si="10"/>
        <v>1122897</v>
      </c>
      <c r="L31" s="121">
        <f t="shared" si="6"/>
        <v>-2.1</v>
      </c>
      <c r="M31" s="20">
        <f>IFERROR(100/'Skjema total MA'!I31*K31,0)</f>
        <v>3.6533297387221713</v>
      </c>
    </row>
    <row r="32" spans="1:13" ht="15.75" x14ac:dyDescent="0.2">
      <c r="A32" s="379" t="s">
        <v>391</v>
      </c>
      <c r="B32" s="219"/>
      <c r="C32" s="219"/>
      <c r="D32" s="121"/>
      <c r="E32" s="8"/>
      <c r="F32" s="228">
        <v>117607</v>
      </c>
      <c r="G32" s="228">
        <v>122668</v>
      </c>
      <c r="H32" s="121">
        <f t="shared" si="4"/>
        <v>4.3</v>
      </c>
      <c r="I32" s="331">
        <f>IFERROR(100/'Skjema total MA'!F32*G32,0)</f>
        <v>1.78486784758356</v>
      </c>
      <c r="J32" s="228">
        <f t="shared" si="9"/>
        <v>117607</v>
      </c>
      <c r="K32" s="228">
        <f t="shared" si="10"/>
        <v>122668</v>
      </c>
      <c r="L32" s="121">
        <f t="shared" si="6"/>
        <v>4.3</v>
      </c>
      <c r="M32" s="20">
        <f>IFERROR(100/'Skjema total MA'!I32*K32,0)</f>
        <v>1.3348682117404866</v>
      </c>
    </row>
    <row r="33" spans="1:13" ht="15.75" x14ac:dyDescent="0.2">
      <c r="A33" s="379" t="s">
        <v>392</v>
      </c>
      <c r="B33" s="219"/>
      <c r="C33" s="219"/>
      <c r="D33" s="121"/>
      <c r="E33" s="8"/>
      <c r="F33" s="228">
        <v>1041966</v>
      </c>
      <c r="G33" s="228">
        <v>1283750</v>
      </c>
      <c r="H33" s="121">
        <f t="shared" si="4"/>
        <v>23.2</v>
      </c>
      <c r="I33" s="331">
        <f>IFERROR(100/'Skjema total MA'!F34*G33,0)</f>
        <v>-301.24412329312389</v>
      </c>
      <c r="J33" s="228">
        <f t="shared" si="9"/>
        <v>1041966</v>
      </c>
      <c r="K33" s="228">
        <f t="shared" si="10"/>
        <v>1283750</v>
      </c>
      <c r="L33" s="121">
        <f t="shared" si="6"/>
        <v>23.2</v>
      </c>
      <c r="M33" s="20">
        <f>IFERROR(100/'Skjema total MA'!I34*K33,0)</f>
        <v>-339.78990773356122</v>
      </c>
    </row>
    <row r="34" spans="1:13" ht="15.75" x14ac:dyDescent="0.2">
      <c r="A34" s="10" t="s">
        <v>387</v>
      </c>
      <c r="B34" s="180"/>
      <c r="C34" s="245"/>
      <c r="D34" s="125"/>
      <c r="E34" s="8"/>
      <c r="F34" s="244">
        <v>13608</v>
      </c>
      <c r="G34" s="245">
        <v>44721</v>
      </c>
      <c r="H34" s="125">
        <f t="shared" si="4"/>
        <v>228.6</v>
      </c>
      <c r="I34" s="8">
        <f>IFERROR(100/'Skjema total MA'!F34*G34,0)</f>
        <v>-10.49420715699458</v>
      </c>
      <c r="J34" s="180">
        <f t="shared" si="5"/>
        <v>13608</v>
      </c>
      <c r="K34" s="180">
        <f t="shared" si="5"/>
        <v>44721</v>
      </c>
      <c r="L34" s="339">
        <f t="shared" si="6"/>
        <v>228.6</v>
      </c>
      <c r="M34" s="21">
        <f>IFERROR(100/'Skjema total MA'!I34*K34,0)</f>
        <v>-11.836996661150996</v>
      </c>
    </row>
    <row r="35" spans="1:13" ht="15.75" x14ac:dyDescent="0.2">
      <c r="A35" s="10" t="s">
        <v>388</v>
      </c>
      <c r="B35" s="180"/>
      <c r="C35" s="245"/>
      <c r="D35" s="125"/>
      <c r="E35" s="8"/>
      <c r="F35" s="244">
        <v>24627</v>
      </c>
      <c r="G35" s="245">
        <v>31858</v>
      </c>
      <c r="H35" s="125">
        <f t="shared" si="4"/>
        <v>29.4</v>
      </c>
      <c r="I35" s="8">
        <f>IFERROR(100/'Skjema total MA'!F35*G35,0)</f>
        <v>14.634742986074627</v>
      </c>
      <c r="J35" s="180">
        <f t="shared" si="5"/>
        <v>24627</v>
      </c>
      <c r="K35" s="180">
        <f t="shared" si="5"/>
        <v>31858</v>
      </c>
      <c r="L35" s="339">
        <f t="shared" si="6"/>
        <v>29.4</v>
      </c>
      <c r="M35" s="21">
        <f>IFERROR(100/'Skjema total MA'!I35*K35,0)</f>
        <v>-8.3136498832342429</v>
      </c>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c r="C47" s="247"/>
      <c r="D47" s="338"/>
      <c r="E47" s="8"/>
      <c r="F47" s="109"/>
      <c r="G47" s="27"/>
      <c r="H47" s="117"/>
      <c r="I47" s="117"/>
      <c r="J47" s="31"/>
      <c r="K47" s="31"/>
      <c r="L47" s="117"/>
      <c r="M47" s="117"/>
    </row>
    <row r="48" spans="1:13" ht="15.75" x14ac:dyDescent="0.2">
      <c r="A48" s="18" t="s">
        <v>397</v>
      </c>
      <c r="B48" s="219"/>
      <c r="C48" s="220"/>
      <c r="D48" s="198"/>
      <c r="E48" s="23"/>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v>367206</v>
      </c>
      <c r="C66" s="281">
        <v>441040</v>
      </c>
      <c r="D66" s="278">
        <f t="shared" ref="D66:D111" si="11">IF(B66=0, "    ---- ", IF(ABS(ROUND(100/B66*C66-100,1))&lt;999,ROUND(100/B66*C66-100,1),IF(ROUND(100/B66*C66-100,1)&gt;999,999,-999)))</f>
        <v>20.100000000000001</v>
      </c>
      <c r="E66" s="8">
        <f>IFERROR(100/'Skjema total MA'!C66*C66,0)</f>
        <v>5.0019964093413742</v>
      </c>
      <c r="F66" s="280">
        <v>5253744</v>
      </c>
      <c r="G66" s="280">
        <v>6342522</v>
      </c>
      <c r="H66" s="278">
        <f t="shared" ref="H66:H111" si="12">IF(F66=0, "    ---- ", IF(ABS(ROUND(100/F66*G66-100,1))&lt;999,ROUND(100/F66*G66-100,1),IF(ROUND(100/F66*G66-100,1)&gt;999,999,-999)))</f>
        <v>20.7</v>
      </c>
      <c r="I66" s="8">
        <f>IFERROR(100/'Skjema total MA'!F66*G66,0)</f>
        <v>11.590847173471506</v>
      </c>
      <c r="J66" s="245">
        <f t="shared" ref="J66:K86" si="13">SUM(B66,F66)</f>
        <v>5620950</v>
      </c>
      <c r="K66" s="252">
        <f t="shared" si="13"/>
        <v>6783562</v>
      </c>
      <c r="L66" s="339">
        <f t="shared" ref="L66:L111" si="14">IF(J66=0, "    ---- ", IF(ABS(ROUND(100/J66*K66-100,1))&lt;999,ROUND(100/J66*K66-100,1),IF(ROUND(100/J66*K66-100,1)&gt;999,999,-999)))</f>
        <v>20.7</v>
      </c>
      <c r="M66" s="8">
        <f>IFERROR(100/'Skjema total MA'!I66*K66,0)</f>
        <v>10.676491750582599</v>
      </c>
    </row>
    <row r="67" spans="1:13" x14ac:dyDescent="0.2">
      <c r="A67" s="39" t="s">
        <v>9</v>
      </c>
      <c r="B67" s="36">
        <v>367206</v>
      </c>
      <c r="C67" s="109">
        <v>441040</v>
      </c>
      <c r="D67" s="121">
        <f t="shared" si="11"/>
        <v>20.100000000000001</v>
      </c>
      <c r="E67" s="23">
        <f>IFERROR(100/'Skjema total MA'!C67*C67,0)</f>
        <v>9.2910507878054585</v>
      </c>
      <c r="F67" s="178"/>
      <c r="G67" s="109"/>
      <c r="H67" s="121"/>
      <c r="I67" s="23"/>
      <c r="J67" s="225">
        <f t="shared" si="13"/>
        <v>367206</v>
      </c>
      <c r="K67" s="36">
        <f t="shared" si="13"/>
        <v>441040</v>
      </c>
      <c r="L67" s="198">
        <f t="shared" si="14"/>
        <v>20.100000000000001</v>
      </c>
      <c r="M67" s="23">
        <f>IFERROR(100/'Skjema total MA'!I67*K67,0)</f>
        <v>9.2910507878054585</v>
      </c>
    </row>
    <row r="68" spans="1:13" x14ac:dyDescent="0.2">
      <c r="A68" s="18" t="s">
        <v>10</v>
      </c>
      <c r="B68" s="230"/>
      <c r="C68" s="231"/>
      <c r="D68" s="121"/>
      <c r="E68" s="23"/>
      <c r="F68" s="230">
        <v>5253744</v>
      </c>
      <c r="G68" s="230">
        <v>6342522</v>
      </c>
      <c r="H68" s="121">
        <f t="shared" si="12"/>
        <v>20.7</v>
      </c>
      <c r="I68" s="23">
        <f>IFERROR(100/'Skjema total MA'!F68*G68,0)</f>
        <v>12.054633004119921</v>
      </c>
      <c r="J68" s="225">
        <f t="shared" si="13"/>
        <v>5253744</v>
      </c>
      <c r="K68" s="36">
        <f t="shared" si="13"/>
        <v>6342522</v>
      </c>
      <c r="L68" s="198">
        <f t="shared" si="14"/>
        <v>20.7</v>
      </c>
      <c r="M68" s="23">
        <f>IFERROR(100/'Skjema total MA'!I68*K68,0)</f>
        <v>12.047806214547148</v>
      </c>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v>5253744</v>
      </c>
      <c r="G72" s="219">
        <v>6342522</v>
      </c>
      <c r="H72" s="121">
        <f t="shared" ref="H72" si="15">IF(F72=0, "    ---- ", IF(ABS(ROUND(100/F72*G72-100,1))&lt;999,ROUND(100/F72*G72-100,1),IF(ROUND(100/F72*G72-100,1)&gt;999,999,-999)))</f>
        <v>20.7</v>
      </c>
      <c r="I72" s="23">
        <f>IFERROR(100/'Skjema total MA'!F72*G72,0)</f>
        <v>12.055211474689457</v>
      </c>
      <c r="J72" s="225">
        <f t="shared" ref="J72" si="16">SUM(B72,F72)</f>
        <v>5253744</v>
      </c>
      <c r="K72" s="36">
        <f t="shared" ref="K72" si="17">SUM(C72,G72)</f>
        <v>6342522</v>
      </c>
      <c r="L72" s="198">
        <f t="shared" ref="L72" si="18">IF(J72=0, "    ---- ", IF(ABS(ROUND(100/J72*K72-100,1))&lt;999,ROUND(100/J72*K72-100,1),IF(ROUND(100/J72*K72-100,1)&gt;999,999,-999)))</f>
        <v>20.7</v>
      </c>
      <c r="M72" s="23">
        <f>IFERROR(100/'Skjema total MA'!I72*K72,0)</f>
        <v>12.048456812317795</v>
      </c>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v>5253744</v>
      </c>
      <c r="G74" s="219">
        <v>6342522</v>
      </c>
      <c r="H74" s="121">
        <f t="shared" ref="H74" si="19">IF(F74=0, "    ---- ", IF(ABS(ROUND(100/F74*G74-100,1))&lt;999,ROUND(100/F74*G74-100,1),IF(ROUND(100/F74*G74-100,1)&gt;999,999,-999)))</f>
        <v>20.7</v>
      </c>
      <c r="I74" s="23">
        <f>IFERROR(100/'Skjema total MA'!F74*G74,0)</f>
        <v>12.055211474689457</v>
      </c>
      <c r="J74" s="225">
        <f t="shared" ref="J74" si="20">SUM(B74,F74)</f>
        <v>5253744</v>
      </c>
      <c r="K74" s="36">
        <f t="shared" ref="K74" si="21">SUM(C74,G74)</f>
        <v>6342522</v>
      </c>
      <c r="L74" s="198">
        <f t="shared" ref="L74" si="22">IF(J74=0, "    ---- ", IF(ABS(ROUND(100/J74*K74-100,1))&lt;999,ROUND(100/J74*K74-100,1),IF(ROUND(100/J74*K74-100,1)&gt;999,999,-999)))</f>
        <v>20.7</v>
      </c>
      <c r="M74" s="23">
        <f>IFERROR(100/'Skjema total MA'!I74*K74,0)</f>
        <v>12.055211474689457</v>
      </c>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v>365664</v>
      </c>
      <c r="C77" s="178">
        <v>439441</v>
      </c>
      <c r="D77" s="121">
        <f t="shared" si="11"/>
        <v>20.2</v>
      </c>
      <c r="E77" s="23">
        <f>IFERROR(100/'Skjema total MA'!C77*C77,0)</f>
        <v>9.3861123602547494</v>
      </c>
      <c r="F77" s="178">
        <v>5253744</v>
      </c>
      <c r="G77" s="109">
        <v>6342506</v>
      </c>
      <c r="H77" s="121">
        <f t="shared" si="12"/>
        <v>20.7</v>
      </c>
      <c r="I77" s="23">
        <f>IFERROR(100/'Skjema total MA'!F77*G77,0)</f>
        <v>12.057580807595478</v>
      </c>
      <c r="J77" s="225">
        <f t="shared" si="13"/>
        <v>5619408</v>
      </c>
      <c r="K77" s="36">
        <f t="shared" si="13"/>
        <v>6781947</v>
      </c>
      <c r="L77" s="198">
        <f t="shared" si="14"/>
        <v>20.7</v>
      </c>
      <c r="M77" s="23">
        <f>IFERROR(100/'Skjema total MA'!I77*K77,0)</f>
        <v>11.839240298532212</v>
      </c>
    </row>
    <row r="78" spans="1:13" x14ac:dyDescent="0.2">
      <c r="A78" s="18" t="s">
        <v>9</v>
      </c>
      <c r="B78" s="178">
        <v>365664</v>
      </c>
      <c r="C78" s="109">
        <v>439441</v>
      </c>
      <c r="D78" s="121">
        <f t="shared" si="11"/>
        <v>20.2</v>
      </c>
      <c r="E78" s="23">
        <f>IFERROR(100/'Skjema total MA'!C78*C78,0)</f>
        <v>9.4462659954118244</v>
      </c>
      <c r="F78" s="178"/>
      <c r="G78" s="109"/>
      <c r="H78" s="121"/>
      <c r="I78" s="23"/>
      <c r="J78" s="225">
        <f t="shared" si="13"/>
        <v>365664</v>
      </c>
      <c r="K78" s="36">
        <f t="shared" si="13"/>
        <v>439441</v>
      </c>
      <c r="L78" s="198">
        <f t="shared" si="14"/>
        <v>20.2</v>
      </c>
      <c r="M78" s="23">
        <f>IFERROR(100/'Skjema total MA'!I78*K78,0)</f>
        <v>9.4462659954118244</v>
      </c>
    </row>
    <row r="79" spans="1:13" x14ac:dyDescent="0.2">
      <c r="A79" s="18" t="s">
        <v>429</v>
      </c>
      <c r="B79" s="230"/>
      <c r="C79" s="231"/>
      <c r="D79" s="121"/>
      <c r="E79" s="23"/>
      <c r="F79" s="230">
        <v>5253744</v>
      </c>
      <c r="G79" s="231">
        <v>6342506</v>
      </c>
      <c r="H79" s="121">
        <f t="shared" si="12"/>
        <v>20.7</v>
      </c>
      <c r="I79" s="23">
        <f>IFERROR(100/'Skjema total MA'!F79*G79,0)</f>
        <v>12.057580807595478</v>
      </c>
      <c r="J79" s="225">
        <f t="shared" si="13"/>
        <v>5253744</v>
      </c>
      <c r="K79" s="36">
        <f t="shared" si="13"/>
        <v>6342506</v>
      </c>
      <c r="L79" s="198">
        <f t="shared" si="14"/>
        <v>20.7</v>
      </c>
      <c r="M79" s="23">
        <f>IFERROR(100/'Skjema total MA'!I79*K79,0)</f>
        <v>12.050750662535084</v>
      </c>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v>5253744</v>
      </c>
      <c r="G83" s="219">
        <v>6342506</v>
      </c>
      <c r="H83" s="121">
        <f t="shared" si="12"/>
        <v>20.7</v>
      </c>
      <c r="I83" s="331">
        <f>IFERROR(100/'Skjema total MA'!F83*G83,0)</f>
        <v>12.057580807595478</v>
      </c>
      <c r="J83" s="225">
        <f t="shared" ref="J83" si="23">SUM(B83,F83)</f>
        <v>5253744</v>
      </c>
      <c r="K83" s="36">
        <f t="shared" ref="K83" si="24">SUM(C83,G83)</f>
        <v>6342506</v>
      </c>
      <c r="L83" s="198">
        <f t="shared" ref="L83" si="25">IF(J83=0, "    ---- ", IF(ABS(ROUND(100/J83*K83-100,1))&lt;999,ROUND(100/J83*K83-100,1),IF(ROUND(100/J83*K83-100,1)&gt;999,999,-999)))</f>
        <v>20.7</v>
      </c>
      <c r="M83" s="23">
        <f>IFERROR(100/'Skjema total MA'!I83*K83,0)</f>
        <v>12.050750662535084</v>
      </c>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v>5253744</v>
      </c>
      <c r="G85" s="219">
        <v>6342506</v>
      </c>
      <c r="H85" s="121">
        <f t="shared" si="12"/>
        <v>20.7</v>
      </c>
      <c r="I85" s="331">
        <f>IFERROR(100/'Skjema total MA'!F85*G85,0)</f>
        <v>12.057580807595478</v>
      </c>
      <c r="J85" s="225">
        <f t="shared" ref="J85" si="26">SUM(B85,F85)</f>
        <v>5253744</v>
      </c>
      <c r="K85" s="36">
        <f t="shared" ref="K85" si="27">SUM(C85,G85)</f>
        <v>6342506</v>
      </c>
      <c r="L85" s="198">
        <f t="shared" ref="L85" si="28">IF(J85=0, "    ---- ", IF(ABS(ROUND(100/J85*K85-100,1))&lt;999,ROUND(100/J85*K85-100,1),IF(ROUND(100/J85*K85-100,1)&gt;999,999,-999)))</f>
        <v>20.7</v>
      </c>
      <c r="M85" s="23">
        <f>IFERROR(100/'Skjema total MA'!I85*K85,0)</f>
        <v>12.057580807595478</v>
      </c>
    </row>
    <row r="86" spans="1:13" ht="15.75" x14ac:dyDescent="0.2">
      <c r="A86" s="18" t="s">
        <v>404</v>
      </c>
      <c r="B86" s="178">
        <v>1542</v>
      </c>
      <c r="C86" s="109">
        <v>1599</v>
      </c>
      <c r="D86" s="121">
        <f t="shared" si="11"/>
        <v>3.7</v>
      </c>
      <c r="E86" s="23">
        <f>IFERROR(100/'Skjema total MA'!C86*C86,0)</f>
        <v>1.684464045889225</v>
      </c>
      <c r="F86" s="178">
        <v>0</v>
      </c>
      <c r="G86" s="109">
        <v>16</v>
      </c>
      <c r="H86" s="121" t="str">
        <f t="shared" si="12"/>
        <v xml:space="preserve">    ---- </v>
      </c>
      <c r="I86" s="23">
        <f>IFERROR(100/'Skjema total MA'!F86*G86,0)</f>
        <v>0.12311653819071168</v>
      </c>
      <c r="J86" s="225">
        <f t="shared" si="13"/>
        <v>1542</v>
      </c>
      <c r="K86" s="36">
        <f t="shared" si="13"/>
        <v>1615</v>
      </c>
      <c r="L86" s="198">
        <f t="shared" si="14"/>
        <v>4.7</v>
      </c>
      <c r="M86" s="23">
        <f>IFERROR(100/'Skjema total MA'!I86*K86,0)</f>
        <v>1.4964490191369701</v>
      </c>
    </row>
    <row r="87" spans="1:13" ht="15.75" x14ac:dyDescent="0.2">
      <c r="A87" s="10" t="s">
        <v>386</v>
      </c>
      <c r="B87" s="281">
        <v>6029037</v>
      </c>
      <c r="C87" s="281">
        <v>6415748</v>
      </c>
      <c r="D87" s="125">
        <f t="shared" si="11"/>
        <v>6.4</v>
      </c>
      <c r="E87" s="8">
        <f>IFERROR(100/'Skjema total MA'!C87*C87,0)</f>
        <v>1.5804491723499081</v>
      </c>
      <c r="F87" s="280">
        <v>55192808</v>
      </c>
      <c r="G87" s="280">
        <v>71462856</v>
      </c>
      <c r="H87" s="125">
        <f t="shared" si="12"/>
        <v>29.5</v>
      </c>
      <c r="I87" s="8">
        <f>IFERROR(100/'Skjema total MA'!F87*G87,0)</f>
        <v>10.741044253062753</v>
      </c>
      <c r="J87" s="245">
        <f t="shared" ref="J87:K111" si="29">SUM(B87,F87)</f>
        <v>61221845</v>
      </c>
      <c r="K87" s="180">
        <f t="shared" si="29"/>
        <v>77878604</v>
      </c>
      <c r="L87" s="339">
        <f t="shared" si="14"/>
        <v>27.2</v>
      </c>
      <c r="M87" s="8">
        <f>IFERROR(100/'Skjema total MA'!I87*K87,0)</f>
        <v>7.2697481639393713</v>
      </c>
    </row>
    <row r="88" spans="1:13" x14ac:dyDescent="0.2">
      <c r="A88" s="18" t="s">
        <v>9</v>
      </c>
      <c r="B88" s="178">
        <v>6029037</v>
      </c>
      <c r="C88" s="109">
        <v>6415748</v>
      </c>
      <c r="D88" s="121">
        <f t="shared" si="11"/>
        <v>6.4</v>
      </c>
      <c r="E88" s="23">
        <f>IFERROR(100/'Skjema total MA'!C88*C88,0)</f>
        <v>1.6696612637680561</v>
      </c>
      <c r="F88" s="178"/>
      <c r="G88" s="109"/>
      <c r="H88" s="121"/>
      <c r="I88" s="23"/>
      <c r="J88" s="225">
        <f t="shared" si="29"/>
        <v>6029037</v>
      </c>
      <c r="K88" s="36">
        <f t="shared" si="29"/>
        <v>6415748</v>
      </c>
      <c r="L88" s="198">
        <f t="shared" si="14"/>
        <v>6.4</v>
      </c>
      <c r="M88" s="23">
        <f>IFERROR(100/'Skjema total MA'!I88*K88,0)</f>
        <v>1.6696612637680561</v>
      </c>
    </row>
    <row r="89" spans="1:13" x14ac:dyDescent="0.2">
      <c r="A89" s="18" t="s">
        <v>10</v>
      </c>
      <c r="B89" s="178"/>
      <c r="C89" s="109"/>
      <c r="D89" s="121"/>
      <c r="E89" s="23"/>
      <c r="F89" s="178">
        <v>55192808</v>
      </c>
      <c r="G89" s="109">
        <v>71462856</v>
      </c>
      <c r="H89" s="121">
        <f t="shared" si="12"/>
        <v>29.5</v>
      </c>
      <c r="I89" s="23">
        <f>IFERROR(100/'Skjema total MA'!F89*G89,0)</f>
        <v>10.910023590445197</v>
      </c>
      <c r="J89" s="225">
        <f t="shared" si="29"/>
        <v>55192808</v>
      </c>
      <c r="K89" s="36">
        <f t="shared" si="29"/>
        <v>71462856</v>
      </c>
      <c r="L89" s="198">
        <f t="shared" si="14"/>
        <v>29.5</v>
      </c>
      <c r="M89" s="23">
        <f>IFERROR(100/'Skjema total MA'!I89*K89,0)</f>
        <v>10.869798335942839</v>
      </c>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v>55192808</v>
      </c>
      <c r="G93" s="219">
        <v>71462856</v>
      </c>
      <c r="H93" s="121">
        <f t="shared" si="12"/>
        <v>29.5</v>
      </c>
      <c r="I93" s="331">
        <f>IFERROR(100/'Skjema total MA'!F93*G93,0)</f>
        <v>10.9154519996092</v>
      </c>
      <c r="J93" s="225">
        <f t="shared" ref="J93" si="30">SUM(B93,F93)</f>
        <v>55192808</v>
      </c>
      <c r="K93" s="36">
        <f t="shared" ref="K93" si="31">SUM(C93,G93)</f>
        <v>71462856</v>
      </c>
      <c r="L93" s="198">
        <f t="shared" ref="L93" si="32">IF(J93=0, "    ---- ", IF(ABS(ROUND(100/J93*K93-100,1))&lt;999,ROUND(100/J93*K93-100,1),IF(ROUND(100/J93*K93-100,1)&gt;999,999,-999)))</f>
        <v>29.5</v>
      </c>
      <c r="M93" s="23">
        <f>IFERROR(100/'Skjema total MA'!I93*K93,0)</f>
        <v>10.875186779928594</v>
      </c>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v>55192808</v>
      </c>
      <c r="G95" s="219">
        <v>71462856</v>
      </c>
      <c r="H95" s="121">
        <f t="shared" si="12"/>
        <v>29.5</v>
      </c>
      <c r="I95" s="331">
        <f>IFERROR(100/'Skjema total MA'!F95*G95,0)</f>
        <v>10.9154519996092</v>
      </c>
      <c r="J95" s="225">
        <f t="shared" ref="J95" si="33">SUM(B95,F95)</f>
        <v>55192808</v>
      </c>
      <c r="K95" s="36">
        <f t="shared" ref="K95" si="34">SUM(C95,G95)</f>
        <v>71462856</v>
      </c>
      <c r="L95" s="198">
        <f t="shared" ref="L95" si="35">IF(J95=0, "    ---- ", IF(ABS(ROUND(100/J95*K95-100,1))&lt;999,ROUND(100/J95*K95-100,1),IF(ROUND(100/J95*K95-100,1)&gt;999,999,-999)))</f>
        <v>29.5</v>
      </c>
      <c r="M95" s="23">
        <f>IFERROR(100/'Skjema total MA'!I95*K95,0)</f>
        <v>10.9154519996092</v>
      </c>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v>6024960</v>
      </c>
      <c r="C98" s="178">
        <v>6410350</v>
      </c>
      <c r="D98" s="121">
        <f t="shared" si="11"/>
        <v>6.4</v>
      </c>
      <c r="E98" s="23">
        <f>IFERROR(100/'Skjema total MA'!C98*C98,0)</f>
        <v>1.676217756344148</v>
      </c>
      <c r="F98" s="230">
        <v>55192728</v>
      </c>
      <c r="G98" s="230">
        <v>71462755</v>
      </c>
      <c r="H98" s="121">
        <f t="shared" si="12"/>
        <v>29.5</v>
      </c>
      <c r="I98" s="23">
        <f>IFERROR(100/'Skjema total MA'!F98*G98,0)</f>
        <v>10.917087902209175</v>
      </c>
      <c r="J98" s="225">
        <f t="shared" si="29"/>
        <v>61217688</v>
      </c>
      <c r="K98" s="36">
        <f t="shared" si="29"/>
        <v>77873105</v>
      </c>
      <c r="L98" s="198">
        <f t="shared" si="14"/>
        <v>27.2</v>
      </c>
      <c r="M98" s="23">
        <f>IFERROR(100/'Skjema total MA'!I98*K98,0)</f>
        <v>7.5092806796639771</v>
      </c>
    </row>
    <row r="99" spans="1:13" x14ac:dyDescent="0.2">
      <c r="A99" s="18" t="s">
        <v>9</v>
      </c>
      <c r="B99" s="230">
        <v>6024960</v>
      </c>
      <c r="C99" s="231">
        <v>6410350</v>
      </c>
      <c r="D99" s="121">
        <f t="shared" si="11"/>
        <v>6.4</v>
      </c>
      <c r="E99" s="23">
        <f>IFERROR(100/'Skjema total MA'!C99*C99,0)</f>
        <v>1.6869100929910488</v>
      </c>
      <c r="F99" s="178"/>
      <c r="G99" s="109"/>
      <c r="H99" s="121"/>
      <c r="I99" s="23"/>
      <c r="J99" s="225">
        <f t="shared" si="29"/>
        <v>6024960</v>
      </c>
      <c r="K99" s="36">
        <f t="shared" si="29"/>
        <v>6410350</v>
      </c>
      <c r="L99" s="198">
        <f t="shared" si="14"/>
        <v>6.4</v>
      </c>
      <c r="M99" s="23">
        <f>IFERROR(100/'Skjema total MA'!I99*K99,0)</f>
        <v>1.6869100929910488</v>
      </c>
    </row>
    <row r="100" spans="1:13" x14ac:dyDescent="0.2">
      <c r="A100" s="18" t="s">
        <v>429</v>
      </c>
      <c r="B100" s="230"/>
      <c r="C100" s="231"/>
      <c r="D100" s="121"/>
      <c r="E100" s="23"/>
      <c r="F100" s="178">
        <v>55192728</v>
      </c>
      <c r="G100" s="178">
        <v>71462755</v>
      </c>
      <c r="H100" s="121">
        <f t="shared" si="12"/>
        <v>29.5</v>
      </c>
      <c r="I100" s="23">
        <f>IFERROR(100/'Skjema total MA'!F100*G100,0)</f>
        <v>10.917087902209175</v>
      </c>
      <c r="J100" s="225">
        <f t="shared" si="29"/>
        <v>55192728</v>
      </c>
      <c r="K100" s="36">
        <f t="shared" si="29"/>
        <v>71462755</v>
      </c>
      <c r="L100" s="198">
        <f t="shared" si="14"/>
        <v>29.5</v>
      </c>
      <c r="M100" s="23">
        <f>IFERROR(100/'Skjema total MA'!I100*K100,0)</f>
        <v>10.876810578051442</v>
      </c>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v>55192728</v>
      </c>
      <c r="G104" s="219">
        <v>71462755</v>
      </c>
      <c r="H104" s="121">
        <f t="shared" si="12"/>
        <v>29.5</v>
      </c>
      <c r="I104" s="331">
        <f>IFERROR(100/'Skjema total MA'!F104*G104,0)</f>
        <v>10.917087902209175</v>
      </c>
      <c r="J104" s="225">
        <f t="shared" ref="J104" si="36">SUM(B104,F104)</f>
        <v>55192728</v>
      </c>
      <c r="K104" s="36">
        <f t="shared" ref="K104" si="37">SUM(C104,G104)</f>
        <v>71462755</v>
      </c>
      <c r="L104" s="198">
        <f t="shared" ref="L104" si="38">IF(J104=0, "    ---- ", IF(ABS(ROUND(100/J104*K104-100,1))&lt;999,ROUND(100/J104*K104-100,1),IF(ROUND(100/J104*K104-100,1)&gt;999,999,-999)))</f>
        <v>29.5</v>
      </c>
      <c r="M104" s="23">
        <f>IFERROR(100/'Skjema total MA'!I104*K104,0)</f>
        <v>10.876810578051442</v>
      </c>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v>55192728</v>
      </c>
      <c r="G106" s="219">
        <v>71462755</v>
      </c>
      <c r="H106" s="121">
        <f t="shared" si="12"/>
        <v>29.5</v>
      </c>
      <c r="I106" s="331">
        <f>IFERROR(100/'Skjema total MA'!F106*G106,0)</f>
        <v>10.917087902209175</v>
      </c>
      <c r="J106" s="225">
        <f t="shared" ref="J106" si="39">SUM(B106,F106)</f>
        <v>55192728</v>
      </c>
      <c r="K106" s="36">
        <f t="shared" ref="K106" si="40">SUM(C106,G106)</f>
        <v>71462755</v>
      </c>
      <c r="L106" s="198">
        <f t="shared" ref="L106" si="41">IF(J106=0, "    ---- ", IF(ABS(ROUND(100/J106*K106-100,1))&lt;999,ROUND(100/J106*K106-100,1),IF(ROUND(100/J106*K106-100,1)&gt;999,999,-999)))</f>
        <v>29.5</v>
      </c>
      <c r="M106" s="23">
        <f>IFERROR(100/'Skjema total MA'!I106*K106,0)</f>
        <v>10.917087902209175</v>
      </c>
    </row>
    <row r="107" spans="1:13" ht="15.75" x14ac:dyDescent="0.2">
      <c r="A107" s="18" t="s">
        <v>404</v>
      </c>
      <c r="B107" s="178">
        <v>4077</v>
      </c>
      <c r="C107" s="109">
        <v>5398</v>
      </c>
      <c r="D107" s="121">
        <f t="shared" si="11"/>
        <v>32.4</v>
      </c>
      <c r="E107" s="23">
        <f>IFERROR(100/'Skjema total MA'!C107*C107,0)</f>
        <v>0.12704061637715935</v>
      </c>
      <c r="F107" s="178">
        <v>80</v>
      </c>
      <c r="G107" s="109">
        <v>101</v>
      </c>
      <c r="H107" s="121">
        <f t="shared" si="12"/>
        <v>26.3</v>
      </c>
      <c r="I107" s="23">
        <f>IFERROR(100/'Skjema total MA'!F107*G107,0)</f>
        <v>2.3776982431824818E-2</v>
      </c>
      <c r="J107" s="225">
        <f t="shared" si="29"/>
        <v>4157</v>
      </c>
      <c r="K107" s="36">
        <f t="shared" si="29"/>
        <v>5499</v>
      </c>
      <c r="L107" s="198">
        <f t="shared" si="14"/>
        <v>32.299999999999997</v>
      </c>
      <c r="M107" s="23">
        <f>IFERROR(100/'Skjema total MA'!I107*K107,0)</f>
        <v>0.1176554821299205</v>
      </c>
    </row>
    <row r="108" spans="1:13" ht="15.75" x14ac:dyDescent="0.2">
      <c r="A108" s="18" t="s">
        <v>405</v>
      </c>
      <c r="B108" s="178">
        <v>3991209</v>
      </c>
      <c r="C108" s="178">
        <v>3964501</v>
      </c>
      <c r="D108" s="121">
        <f t="shared" si="11"/>
        <v>-0.7</v>
      </c>
      <c r="E108" s="23">
        <f>IFERROR(100/'Skjema total MA'!C108*C108,0)</f>
        <v>1.1955577155933972</v>
      </c>
      <c r="F108" s="178"/>
      <c r="G108" s="178"/>
      <c r="H108" s="121"/>
      <c r="I108" s="23"/>
      <c r="J108" s="225">
        <f t="shared" si="29"/>
        <v>3991209</v>
      </c>
      <c r="K108" s="36">
        <f t="shared" si="29"/>
        <v>3964501</v>
      </c>
      <c r="L108" s="198">
        <f t="shared" si="14"/>
        <v>-0.7</v>
      </c>
      <c r="M108" s="23">
        <f>IFERROR(100/'Skjema total MA'!I108*K108,0)</f>
        <v>1.1155284649020833</v>
      </c>
    </row>
    <row r="109" spans="1:13" ht="15.75" x14ac:dyDescent="0.2">
      <c r="A109" s="18" t="s">
        <v>437</v>
      </c>
      <c r="B109" s="178"/>
      <c r="C109" s="178"/>
      <c r="D109" s="121"/>
      <c r="E109" s="23"/>
      <c r="F109" s="178">
        <v>23672244</v>
      </c>
      <c r="G109" s="178">
        <v>31057953</v>
      </c>
      <c r="H109" s="121">
        <f t="shared" si="12"/>
        <v>31.2</v>
      </c>
      <c r="I109" s="23">
        <f>IFERROR(100/'Skjema total MA'!F109*G109,0)</f>
        <v>12.428683399803791</v>
      </c>
      <c r="J109" s="225">
        <f t="shared" si="29"/>
        <v>23672244</v>
      </c>
      <c r="K109" s="36">
        <f t="shared" si="29"/>
        <v>31057953</v>
      </c>
      <c r="L109" s="198">
        <f t="shared" si="14"/>
        <v>31.2</v>
      </c>
      <c r="M109" s="23">
        <f>IFERROR(100/'Skjema total MA'!I109*K109,0)</f>
        <v>12.31825842849876</v>
      </c>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v>139544</v>
      </c>
      <c r="C111" s="117">
        <v>119240</v>
      </c>
      <c r="D111" s="125">
        <f t="shared" si="11"/>
        <v>-14.6</v>
      </c>
      <c r="E111" s="8">
        <f>IFERROR(100/'Skjema total MA'!C111*C111,0)</f>
        <v>21.133902706092947</v>
      </c>
      <c r="F111" s="244">
        <v>8028435</v>
      </c>
      <c r="G111" s="117">
        <v>9266304</v>
      </c>
      <c r="H111" s="125">
        <f t="shared" si="12"/>
        <v>15.4</v>
      </c>
      <c r="I111" s="8">
        <f>IFERROR(100/'Skjema total MA'!F111*G111,0)</f>
        <v>18.239492140157754</v>
      </c>
      <c r="J111" s="245">
        <f t="shared" si="29"/>
        <v>8167979</v>
      </c>
      <c r="K111" s="180">
        <f t="shared" si="29"/>
        <v>9385544</v>
      </c>
      <c r="L111" s="339">
        <f t="shared" si="14"/>
        <v>14.9</v>
      </c>
      <c r="M111" s="8">
        <f>IFERROR(100/'Skjema total MA'!I111*K111,0)</f>
        <v>18.271283712651403</v>
      </c>
    </row>
    <row r="112" spans="1:13" x14ac:dyDescent="0.2">
      <c r="A112" s="18" t="s">
        <v>9</v>
      </c>
      <c r="B112" s="178">
        <v>139544</v>
      </c>
      <c r="C112" s="109">
        <v>119240</v>
      </c>
      <c r="D112" s="121">
        <f t="shared" ref="D112:D120" si="42">IF(B112=0, "    ---- ", IF(ABS(ROUND(100/B112*C112-100,1))&lt;999,ROUND(100/B112*C112-100,1),IF(ROUND(100/B112*C112-100,1)&gt;999,999,-999)))</f>
        <v>-14.6</v>
      </c>
      <c r="E112" s="23">
        <f>IFERROR(100/'Skjema total MA'!C112*C112,0)</f>
        <v>29.025541522060625</v>
      </c>
      <c r="F112" s="178"/>
      <c r="G112" s="109"/>
      <c r="H112" s="121"/>
      <c r="I112" s="23"/>
      <c r="J112" s="225">
        <f t="shared" ref="J112:K125" si="43">SUM(B112,F112)</f>
        <v>139544</v>
      </c>
      <c r="K112" s="36">
        <f t="shared" si="43"/>
        <v>119240</v>
      </c>
      <c r="L112" s="198">
        <f t="shared" ref="L112:L125" si="44">IF(J112=0, "    ---- ", IF(ABS(ROUND(100/J112*K112-100,1))&lt;999,ROUND(100/J112*K112-100,1),IF(ROUND(100/J112*K112-100,1)&gt;999,999,-999)))</f>
        <v>-14.6</v>
      </c>
      <c r="M112" s="23">
        <f>IFERROR(100/'Skjema total MA'!I112*K112,0)</f>
        <v>28.944630613285863</v>
      </c>
    </row>
    <row r="113" spans="1:13" x14ac:dyDescent="0.2">
      <c r="A113" s="18" t="s">
        <v>10</v>
      </c>
      <c r="B113" s="178"/>
      <c r="C113" s="109"/>
      <c r="D113" s="121"/>
      <c r="E113" s="23"/>
      <c r="F113" s="178">
        <v>8028435</v>
      </c>
      <c r="G113" s="109">
        <v>9266304</v>
      </c>
      <c r="H113" s="121">
        <f t="shared" ref="H113:H125" si="45">IF(F113=0, "    ---- ", IF(ABS(ROUND(100/F113*G113-100,1))&lt;999,ROUND(100/F113*G113-100,1),IF(ROUND(100/F113*G113-100,1)&gt;999,999,-999)))</f>
        <v>15.4</v>
      </c>
      <c r="I113" s="23">
        <f>IFERROR(100/'Skjema total MA'!F113*G113,0)</f>
        <v>18.242256628321044</v>
      </c>
      <c r="J113" s="225">
        <f t="shared" si="43"/>
        <v>8028435</v>
      </c>
      <c r="K113" s="36">
        <f t="shared" si="43"/>
        <v>9266304</v>
      </c>
      <c r="L113" s="198">
        <f t="shared" si="44"/>
        <v>15.4</v>
      </c>
      <c r="M113" s="23">
        <f>IFERROR(100/'Skjema total MA'!I113*K113,0)</f>
        <v>18.242256628321044</v>
      </c>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v>7631</v>
      </c>
      <c r="C116" s="178">
        <v>14879</v>
      </c>
      <c r="D116" s="121">
        <f t="shared" si="42"/>
        <v>95</v>
      </c>
      <c r="E116" s="23">
        <f>IFERROR(100/'Skjema total MA'!C116*C116,0)</f>
        <v>25.952275411017936</v>
      </c>
      <c r="F116" s="178"/>
      <c r="G116" s="178"/>
      <c r="H116" s="121"/>
      <c r="I116" s="23"/>
      <c r="J116" s="225">
        <f t="shared" si="43"/>
        <v>7631</v>
      </c>
      <c r="K116" s="36">
        <f t="shared" si="43"/>
        <v>14879</v>
      </c>
      <c r="L116" s="198">
        <f t="shared" si="44"/>
        <v>95</v>
      </c>
      <c r="M116" s="23">
        <f>IFERROR(100/'Skjema total MA'!I116*K116,0)</f>
        <v>25.442657281563786</v>
      </c>
    </row>
    <row r="117" spans="1:13" ht="15.75" x14ac:dyDescent="0.2">
      <c r="A117" s="18" t="s">
        <v>437</v>
      </c>
      <c r="B117" s="178"/>
      <c r="C117" s="178"/>
      <c r="D117" s="121"/>
      <c r="E117" s="23"/>
      <c r="F117" s="178">
        <v>4149180</v>
      </c>
      <c r="G117" s="178">
        <v>5005189</v>
      </c>
      <c r="H117" s="121">
        <f t="shared" si="45"/>
        <v>20.6</v>
      </c>
      <c r="I117" s="23">
        <f>IFERROR(100/'Skjema total MA'!F117*G117,0)</f>
        <v>14.551049518535407</v>
      </c>
      <c r="J117" s="225">
        <f t="shared" si="43"/>
        <v>4149180</v>
      </c>
      <c r="K117" s="36">
        <f t="shared" si="43"/>
        <v>5005189</v>
      </c>
      <c r="L117" s="198">
        <f t="shared" si="44"/>
        <v>20.6</v>
      </c>
      <c r="M117" s="23">
        <f>IFERROR(100/'Skjema total MA'!I117*K117,0)</f>
        <v>14.551049518535407</v>
      </c>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v>46873</v>
      </c>
      <c r="C119" s="117">
        <v>47775</v>
      </c>
      <c r="D119" s="125">
        <f t="shared" si="42"/>
        <v>1.9</v>
      </c>
      <c r="E119" s="8">
        <f>IFERROR(100/'Skjema total MA'!C119*C119,0)</f>
        <v>15.407060143249641</v>
      </c>
      <c r="F119" s="244">
        <v>5514911</v>
      </c>
      <c r="G119" s="117">
        <v>7930670</v>
      </c>
      <c r="H119" s="125">
        <f t="shared" si="45"/>
        <v>43.8</v>
      </c>
      <c r="I119" s="8">
        <f>IFERROR(100/'Skjema total MA'!F119*G119,0)</f>
        <v>14.172426022002677</v>
      </c>
      <c r="J119" s="245">
        <f t="shared" si="43"/>
        <v>5561784</v>
      </c>
      <c r="K119" s="180">
        <f t="shared" si="43"/>
        <v>7978445</v>
      </c>
      <c r="L119" s="339">
        <f t="shared" si="44"/>
        <v>43.5</v>
      </c>
      <c r="M119" s="8">
        <f>IFERROR(100/'Skjema total MA'!I119*K119,0)</f>
        <v>14.179229853984301</v>
      </c>
    </row>
    <row r="120" spans="1:13" x14ac:dyDescent="0.2">
      <c r="A120" s="18" t="s">
        <v>9</v>
      </c>
      <c r="B120" s="178">
        <v>46873</v>
      </c>
      <c r="C120" s="109">
        <v>47775</v>
      </c>
      <c r="D120" s="121">
        <f t="shared" si="42"/>
        <v>1.9</v>
      </c>
      <c r="E120" s="23">
        <f>IFERROR(100/'Skjema total MA'!C120*C120,0)</f>
        <v>29.629512811814052</v>
      </c>
      <c r="F120" s="178"/>
      <c r="G120" s="109"/>
      <c r="H120" s="121"/>
      <c r="I120" s="23"/>
      <c r="J120" s="225">
        <f t="shared" si="43"/>
        <v>46873</v>
      </c>
      <c r="K120" s="36">
        <f t="shared" si="43"/>
        <v>47775</v>
      </c>
      <c r="L120" s="198">
        <f t="shared" si="44"/>
        <v>1.9</v>
      </c>
      <c r="M120" s="23">
        <f>IFERROR(100/'Skjema total MA'!I120*K120,0)</f>
        <v>29.629512811814052</v>
      </c>
    </row>
    <row r="121" spans="1:13" x14ac:dyDescent="0.2">
      <c r="A121" s="18" t="s">
        <v>10</v>
      </c>
      <c r="B121" s="178"/>
      <c r="C121" s="109"/>
      <c r="D121" s="121"/>
      <c r="E121" s="23"/>
      <c r="F121" s="178">
        <v>5514911</v>
      </c>
      <c r="G121" s="109">
        <v>7930670</v>
      </c>
      <c r="H121" s="121">
        <f t="shared" si="45"/>
        <v>43.8</v>
      </c>
      <c r="I121" s="23">
        <f>IFERROR(100/'Skjema total MA'!F121*G121,0)</f>
        <v>14.172426022002677</v>
      </c>
      <c r="J121" s="225">
        <f t="shared" si="43"/>
        <v>5514911</v>
      </c>
      <c r="K121" s="36">
        <f t="shared" si="43"/>
        <v>7930670</v>
      </c>
      <c r="L121" s="198">
        <f t="shared" si="44"/>
        <v>43.8</v>
      </c>
      <c r="M121" s="23">
        <f>IFERROR(100/'Skjema total MA'!I121*K121,0)</f>
        <v>14.167851631110386</v>
      </c>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v>2560240</v>
      </c>
      <c r="G125" s="178">
        <v>3329069</v>
      </c>
      <c r="H125" s="121">
        <f t="shared" si="45"/>
        <v>30</v>
      </c>
      <c r="I125" s="23">
        <f>IFERROR(100/'Skjema total MA'!F125*G125,0)</f>
        <v>9.7411453615643353</v>
      </c>
      <c r="J125" s="225">
        <f t="shared" si="43"/>
        <v>2560240</v>
      </c>
      <c r="K125" s="36">
        <f t="shared" si="43"/>
        <v>3329069</v>
      </c>
      <c r="L125" s="198">
        <f t="shared" si="44"/>
        <v>30</v>
      </c>
      <c r="M125" s="23">
        <f>IFERROR(100/'Skjema total MA'!I125*K125,0)</f>
        <v>9.7401917635578013</v>
      </c>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115" priority="11">
      <formula>kvartal &lt; 4</formula>
    </cfRule>
  </conditionalFormatting>
  <conditionalFormatting sqref="A80:A85">
    <cfRule type="expression" dxfId="1114" priority="10">
      <formula>kvartal &lt; 4</formula>
    </cfRule>
  </conditionalFormatting>
  <conditionalFormatting sqref="A90:A95">
    <cfRule type="expression" dxfId="1113" priority="7">
      <formula>kvartal &lt; 4</formula>
    </cfRule>
  </conditionalFormatting>
  <conditionalFormatting sqref="A101:A106">
    <cfRule type="expression" dxfId="1112" priority="6">
      <formula>kvartal &lt; 4</formula>
    </cfRule>
  </conditionalFormatting>
  <conditionalFormatting sqref="A50:C52">
    <cfRule type="expression" dxfId="1111" priority="13">
      <formula>kvartal &lt; 4</formula>
    </cfRule>
  </conditionalFormatting>
  <conditionalFormatting sqref="A115:C115">
    <cfRule type="expression" dxfId="1110" priority="5">
      <formula>kvartal &lt; 4</formula>
    </cfRule>
  </conditionalFormatting>
  <conditionalFormatting sqref="A123:C123">
    <cfRule type="expression" dxfId="1109" priority="4">
      <formula>kvartal &lt; 4</formula>
    </cfRule>
  </conditionalFormatting>
  <conditionalFormatting sqref="B69:C69">
    <cfRule type="expression" dxfId="1108" priority="100">
      <formula>kvartal &lt; 4</formula>
    </cfRule>
  </conditionalFormatting>
  <conditionalFormatting sqref="B72:C72">
    <cfRule type="expression" dxfId="1107" priority="98">
      <formula>kvartal &lt; 4</formula>
    </cfRule>
  </conditionalFormatting>
  <conditionalFormatting sqref="B80:C80">
    <cfRule type="expression" dxfId="1106" priority="96">
      <formula>kvartal &lt; 4</formula>
    </cfRule>
  </conditionalFormatting>
  <conditionalFormatting sqref="B83:C83">
    <cfRule type="expression" dxfId="1105" priority="94">
      <formula>kvartal &lt; 4</formula>
    </cfRule>
  </conditionalFormatting>
  <conditionalFormatting sqref="B90:C90">
    <cfRule type="expression" dxfId="1104" priority="84">
      <formula>kvartal &lt; 4</formula>
    </cfRule>
  </conditionalFormatting>
  <conditionalFormatting sqref="B93:C93">
    <cfRule type="expression" dxfId="1103" priority="82">
      <formula>kvartal &lt; 4</formula>
    </cfRule>
  </conditionalFormatting>
  <conditionalFormatting sqref="B101:C101">
    <cfRule type="expression" dxfId="1102" priority="80">
      <formula>kvartal &lt; 4</formula>
    </cfRule>
  </conditionalFormatting>
  <conditionalFormatting sqref="B104:C104">
    <cfRule type="expression" dxfId="1101" priority="78">
      <formula>kvartal &lt; 4</formula>
    </cfRule>
  </conditionalFormatting>
  <conditionalFormatting sqref="F69:G74">
    <cfRule type="expression" dxfId="1100" priority="55">
      <formula>kvartal &lt; 4</formula>
    </cfRule>
  </conditionalFormatting>
  <conditionalFormatting sqref="F80:G85">
    <cfRule type="expression" dxfId="1099" priority="53">
      <formula>kvartal &lt; 4</formula>
    </cfRule>
  </conditionalFormatting>
  <conditionalFormatting sqref="F90:G95">
    <cfRule type="expression" dxfId="1098" priority="45">
      <formula>kvartal &lt; 4</formula>
    </cfRule>
  </conditionalFormatting>
  <conditionalFormatting sqref="F101:G106">
    <cfRule type="expression" dxfId="1097" priority="41">
      <formula>kvartal &lt; 4</formula>
    </cfRule>
  </conditionalFormatting>
  <conditionalFormatting sqref="F115:G115">
    <cfRule type="expression" dxfId="1096" priority="58">
      <formula>kvartal &lt; 4</formula>
    </cfRule>
  </conditionalFormatting>
  <conditionalFormatting sqref="F123:G123">
    <cfRule type="expression" dxfId="1095" priority="57">
      <formula>kvartal &lt; 4</formula>
    </cfRule>
  </conditionalFormatting>
  <conditionalFormatting sqref="J69:K71 J73:K73">
    <cfRule type="expression" dxfId="1094" priority="40">
      <formula>kvartal &lt; 4</formula>
    </cfRule>
  </conditionalFormatting>
  <conditionalFormatting sqref="J80:K82 J84:K84">
    <cfRule type="expression" dxfId="1093" priority="38">
      <formula>kvartal &lt; 4</formula>
    </cfRule>
  </conditionalFormatting>
  <conditionalFormatting sqref="J90:K92 J94:K94">
    <cfRule type="expression" dxfId="1092" priority="35">
      <formula>kvartal &lt; 4</formula>
    </cfRule>
  </conditionalFormatting>
  <conditionalFormatting sqref="J101:K103 J105:K105">
    <cfRule type="expression" dxfId="1091" priority="34">
      <formula>kvartal &lt; 4</formula>
    </cfRule>
  </conditionalFormatting>
  <conditionalFormatting sqref="J115:K115">
    <cfRule type="expression" dxfId="1090" priority="33">
      <formula>kvartal &lt; 4</formula>
    </cfRule>
  </conditionalFormatting>
  <conditionalFormatting sqref="J123:K123">
    <cfRule type="expression" dxfId="1089" priority="32">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120</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463124.96323121199</v>
      </c>
      <c r="C7" s="243">
        <v>504201.87027304003</v>
      </c>
      <c r="D7" s="278">
        <f>IF(B7=0, "    ---- ", IF(ABS(ROUND(100/B7*C7-100,1))&lt;999,ROUND(100/B7*C7-100,1),IF(ROUND(100/B7*C7-100,1)&gt;999,999,-999)))</f>
        <v>8.9</v>
      </c>
      <c r="E7" s="8">
        <f>IFERROR(100/'Skjema total MA'!C7*C7,0)</f>
        <v>9.1274804631995732</v>
      </c>
      <c r="F7" s="242"/>
      <c r="G7" s="243"/>
      <c r="H7" s="278"/>
      <c r="I7" s="118"/>
      <c r="J7" s="244">
        <f t="shared" ref="J7:K10" si="0">SUM(B7,F7)</f>
        <v>463124.96323121199</v>
      </c>
      <c r="K7" s="245">
        <f t="shared" si="0"/>
        <v>504201.87027304003</v>
      </c>
      <c r="L7" s="338">
        <f>IF(J7=0, "    ---- ", IF(ABS(ROUND(100/J7*K7-100,1))&lt;999,ROUND(100/J7*K7-100,1),IF(ROUND(100/J7*K7-100,1)&gt;999,999,-999)))</f>
        <v>8.9</v>
      </c>
      <c r="M7" s="8">
        <f>IFERROR(100/'Skjema total MA'!I7*K7,0)</f>
        <v>2.5545556633523545</v>
      </c>
    </row>
    <row r="8" spans="1:14" ht="15.75" x14ac:dyDescent="0.2">
      <c r="A8" s="18" t="s">
        <v>25</v>
      </c>
      <c r="B8" s="219">
        <v>344715.10834118701</v>
      </c>
      <c r="C8" s="220">
        <v>393006.160918098</v>
      </c>
      <c r="D8" s="121">
        <f t="shared" ref="D8:D10" si="1">IF(B8=0, "    ---- ", IF(ABS(ROUND(100/B8*C8-100,1))&lt;999,ROUND(100/B8*C8-100,1),IF(ROUND(100/B8*C8-100,1)&gt;999,999,-999)))</f>
        <v>14</v>
      </c>
      <c r="E8" s="23">
        <f>IFERROR(100/'Skjema total MA'!C8*C8,0)</f>
        <v>10.714479859680925</v>
      </c>
      <c r="F8" s="223"/>
      <c r="G8" s="224"/>
      <c r="H8" s="121"/>
      <c r="I8" s="129"/>
      <c r="J8" s="178">
        <f t="shared" si="0"/>
        <v>344715.10834118701</v>
      </c>
      <c r="K8" s="225">
        <f t="shared" si="0"/>
        <v>393006.160918098</v>
      </c>
      <c r="L8" s="121">
        <f t="shared" ref="L8:L9" si="2">IF(J8=0, "    ---- ", IF(ABS(ROUND(100/J8*K8-100,1))&lt;999,ROUND(100/J8*K8-100,1),IF(ROUND(100/J8*K8-100,1)&gt;999,999,-999)))</f>
        <v>14</v>
      </c>
      <c r="M8" s="23">
        <f>IFERROR(100/'Skjema total MA'!I8*K8,0)</f>
        <v>10.714479859680925</v>
      </c>
    </row>
    <row r="9" spans="1:14" ht="15.75" x14ac:dyDescent="0.2">
      <c r="A9" s="18" t="s">
        <v>24</v>
      </c>
      <c r="B9" s="219">
        <v>118409.854890025</v>
      </c>
      <c r="C9" s="220">
        <v>111195.709354943</v>
      </c>
      <c r="D9" s="121">
        <f t="shared" si="1"/>
        <v>-6.1</v>
      </c>
      <c r="E9" s="23">
        <f>IFERROR(100/'Skjema total MA'!C9*C9,0)</f>
        <v>10.196689699564985</v>
      </c>
      <c r="F9" s="223"/>
      <c r="G9" s="224"/>
      <c r="H9" s="121"/>
      <c r="I9" s="129"/>
      <c r="J9" s="178">
        <f t="shared" si="0"/>
        <v>118409.854890025</v>
      </c>
      <c r="K9" s="225">
        <f t="shared" si="0"/>
        <v>111195.709354943</v>
      </c>
      <c r="L9" s="121">
        <f t="shared" si="2"/>
        <v>-6.1</v>
      </c>
      <c r="M9" s="23">
        <f>IFERROR(100/'Skjema total MA'!I9*K9,0)</f>
        <v>10.196689699564985</v>
      </c>
    </row>
    <row r="10" spans="1:14" ht="15.75" x14ac:dyDescent="0.2">
      <c r="A10" s="10" t="s">
        <v>386</v>
      </c>
      <c r="B10" s="246">
        <v>576634.80327407003</v>
      </c>
      <c r="C10" s="247">
        <v>629850.56915</v>
      </c>
      <c r="D10" s="125">
        <f t="shared" si="1"/>
        <v>9.1999999999999993</v>
      </c>
      <c r="E10" s="8">
        <f>IFERROR(100/'Skjema total MA'!C10*C10,0)</f>
        <v>4.1171698843407594</v>
      </c>
      <c r="F10" s="246"/>
      <c r="G10" s="247"/>
      <c r="H10" s="125"/>
      <c r="I10" s="118"/>
      <c r="J10" s="244">
        <f t="shared" si="0"/>
        <v>576634.80327407003</v>
      </c>
      <c r="K10" s="245">
        <f t="shared" si="0"/>
        <v>629850.56915</v>
      </c>
      <c r="L10" s="339">
        <f t="shared" ref="L10" si="3">IF(J10=0, "    ---- ", IF(ABS(ROUND(100/J10*K10-100,1))&lt;999,ROUND(100/J10*K10-100,1),IF(ROUND(100/J10*K10-100,1)&gt;999,999,-999)))</f>
        <v>9.1999999999999993</v>
      </c>
      <c r="M10" s="8">
        <f>IFERROR(100/'Skjema total MA'!I10*K10,0)</f>
        <v>0.53809119485059809</v>
      </c>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289460.70350543101</v>
      </c>
      <c r="C28" s="225">
        <v>340742.956156709</v>
      </c>
      <c r="D28" s="121">
        <f t="shared" ref="D28" si="4">IF(B28=0, "    ---- ", IF(ABS(ROUND(100/B28*C28-100,1))&lt;999,ROUND(100/B28*C28-100,1),IF(ROUND(100/B28*C28-100,1)&gt;999,999,-999)))</f>
        <v>17.7</v>
      </c>
      <c r="E28" s="8">
        <f>IFERROR(100/'Skjema total MA'!C28*C28,0)</f>
        <v>11.922051794746038</v>
      </c>
      <c r="F28" s="178"/>
      <c r="G28" s="225"/>
      <c r="H28" s="121"/>
      <c r="I28" s="23"/>
      <c r="J28" s="36">
        <f t="shared" ref="J28:K28" si="5">SUM(B28,F28)</f>
        <v>289460.70350543101</v>
      </c>
      <c r="K28" s="36">
        <f t="shared" si="5"/>
        <v>340742.956156709</v>
      </c>
      <c r="L28" s="198">
        <f t="shared" ref="L28" si="6">IF(J28=0, "    ---- ", IF(ABS(ROUND(100/J28*K28-100,1))&lt;999,ROUND(100/J28*K28-100,1),IF(ROUND(100/J28*K28-100,1)&gt;999,999,-999)))</f>
        <v>17.7</v>
      </c>
      <c r="M28" s="20">
        <f>IFERROR(100/'Skjema total MA'!I28*K28,0)</f>
        <v>11.922051794746038</v>
      </c>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192813.92710999999</v>
      </c>
      <c r="C47" s="247">
        <v>229755.72081999999</v>
      </c>
      <c r="D47" s="338">
        <f t="shared" ref="D47:D57" si="7">IF(B47=0, "    ---- ", IF(ABS(ROUND(100/B47*C47-100,1))&lt;999,ROUND(100/B47*C47-100,1),IF(ROUND(100/B47*C47-100,1)&gt;999,999,-999)))</f>
        <v>19.2</v>
      </c>
      <c r="E47" s="8">
        <f>IFERROR(100/'Skjema total MA'!C47*C47,0)</f>
        <v>3.4917939293319957</v>
      </c>
      <c r="F47" s="109"/>
      <c r="G47" s="27"/>
      <c r="H47" s="117"/>
      <c r="I47" s="117"/>
      <c r="J47" s="31"/>
      <c r="K47" s="31"/>
      <c r="L47" s="117"/>
      <c r="M47" s="117"/>
    </row>
    <row r="48" spans="1:13" ht="15.75" x14ac:dyDescent="0.2">
      <c r="A48" s="18" t="s">
        <v>397</v>
      </c>
      <c r="B48" s="219">
        <v>192813.92710999999</v>
      </c>
      <c r="C48" s="220">
        <v>229755.72081999999</v>
      </c>
      <c r="D48" s="198">
        <f t="shared" si="7"/>
        <v>19.2</v>
      </c>
      <c r="E48" s="23">
        <f>IFERROR(100/'Skjema total MA'!C48*C48,0)</f>
        <v>6.1956918960686256</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v>6788.7709999999997</v>
      </c>
      <c r="C53" s="247">
        <v>6980.2266778481398</v>
      </c>
      <c r="D53" s="339">
        <f t="shared" si="7"/>
        <v>2.8</v>
      </c>
      <c r="E53" s="8">
        <f>IFERROR(100/'Skjema total MA'!C53*C53,0)</f>
        <v>3.1853787503895274</v>
      </c>
      <c r="F53" s="109"/>
      <c r="G53" s="27"/>
      <c r="H53" s="109"/>
      <c r="I53" s="109"/>
      <c r="J53" s="27"/>
      <c r="K53" s="27"/>
      <c r="L53" s="117"/>
      <c r="M53" s="117"/>
    </row>
    <row r="54" spans="1:13" ht="15.75" x14ac:dyDescent="0.2">
      <c r="A54" s="18" t="s">
        <v>397</v>
      </c>
      <c r="B54" s="219">
        <v>6788.7709999999997</v>
      </c>
      <c r="C54" s="220">
        <v>6980.2266778481398</v>
      </c>
      <c r="D54" s="198">
        <f t="shared" si="7"/>
        <v>2.8</v>
      </c>
      <c r="E54" s="23">
        <f>IFERROR(100/'Skjema total MA'!C54*C54,0)</f>
        <v>3.1998202878641893</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1103.789</v>
      </c>
      <c r="C56" s="247">
        <v>6401.0619999999999</v>
      </c>
      <c r="D56" s="339">
        <f t="shared" si="7"/>
        <v>479.9</v>
      </c>
      <c r="E56" s="8">
        <f>IFERROR(100/'Skjema total MA'!C56*C56,0)</f>
        <v>2.6769073390620295</v>
      </c>
      <c r="F56" s="109"/>
      <c r="G56" s="27"/>
      <c r="H56" s="109"/>
      <c r="I56" s="109"/>
      <c r="J56" s="27"/>
      <c r="K56" s="27"/>
      <c r="L56" s="117"/>
      <c r="M56" s="117"/>
    </row>
    <row r="57" spans="1:13" ht="15.75" x14ac:dyDescent="0.2">
      <c r="A57" s="18" t="s">
        <v>397</v>
      </c>
      <c r="B57" s="219">
        <v>1103.789</v>
      </c>
      <c r="C57" s="220">
        <v>6401.0619999999999</v>
      </c>
      <c r="D57" s="198">
        <f t="shared" si="7"/>
        <v>479.9</v>
      </c>
      <c r="E57" s="23">
        <f>IFERROR(100/'Skjema total MA'!C57*C57,0)</f>
        <v>2.6769073390620295</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088" priority="10">
      <formula>kvartal &lt; 4</formula>
    </cfRule>
  </conditionalFormatting>
  <conditionalFormatting sqref="A80:A85">
    <cfRule type="expression" dxfId="1087" priority="9">
      <formula>kvartal &lt; 4</formula>
    </cfRule>
  </conditionalFormatting>
  <conditionalFormatting sqref="A90:A95">
    <cfRule type="expression" dxfId="1086" priority="6">
      <formula>kvartal &lt; 4</formula>
    </cfRule>
  </conditionalFormatting>
  <conditionalFormatting sqref="A101:A106">
    <cfRule type="expression" dxfId="1085" priority="5">
      <formula>kvartal &lt; 4</formula>
    </cfRule>
  </conditionalFormatting>
  <conditionalFormatting sqref="A50:C52">
    <cfRule type="expression" dxfId="1084" priority="12">
      <formula>kvartal &lt; 4</formula>
    </cfRule>
  </conditionalFormatting>
  <conditionalFormatting sqref="A115:C115">
    <cfRule type="expression" dxfId="1083" priority="4">
      <formula>kvartal &lt; 4</formula>
    </cfRule>
  </conditionalFormatting>
  <conditionalFormatting sqref="A123:C123">
    <cfRule type="expression" dxfId="1082" priority="3">
      <formula>kvartal &lt; 4</formula>
    </cfRule>
  </conditionalFormatting>
  <conditionalFormatting sqref="B69:C69">
    <cfRule type="expression" dxfId="1081" priority="99">
      <formula>kvartal &lt; 4</formula>
    </cfRule>
  </conditionalFormatting>
  <conditionalFormatting sqref="B72:C72">
    <cfRule type="expression" dxfId="1080" priority="97">
      <formula>kvartal &lt; 4</formula>
    </cfRule>
  </conditionalFormatting>
  <conditionalFormatting sqref="B80:C80">
    <cfRule type="expression" dxfId="1079" priority="95">
      <formula>kvartal &lt; 4</formula>
    </cfRule>
  </conditionalFormatting>
  <conditionalFormatting sqref="B83:C83">
    <cfRule type="expression" dxfId="1078" priority="93">
      <formula>kvartal &lt; 4</formula>
    </cfRule>
  </conditionalFormatting>
  <conditionalFormatting sqref="B90:C90">
    <cfRule type="expression" dxfId="1077" priority="83">
      <formula>kvartal &lt; 4</formula>
    </cfRule>
  </conditionalFormatting>
  <conditionalFormatting sqref="B93:C93">
    <cfRule type="expression" dxfId="1076" priority="81">
      <formula>kvartal &lt; 4</formula>
    </cfRule>
  </conditionalFormatting>
  <conditionalFormatting sqref="B101:C101">
    <cfRule type="expression" dxfId="1075" priority="79">
      <formula>kvartal &lt; 4</formula>
    </cfRule>
  </conditionalFormatting>
  <conditionalFormatting sqref="B104:C104">
    <cfRule type="expression" dxfId="1074" priority="77">
      <formula>kvartal &lt; 4</formula>
    </cfRule>
  </conditionalFormatting>
  <conditionalFormatting sqref="F69:G74">
    <cfRule type="expression" dxfId="1073" priority="54">
      <formula>kvartal &lt; 4</formula>
    </cfRule>
  </conditionalFormatting>
  <conditionalFormatting sqref="F80:G85">
    <cfRule type="expression" dxfId="1072" priority="52">
      <formula>kvartal &lt; 4</formula>
    </cfRule>
  </conditionalFormatting>
  <conditionalFormatting sqref="F90:G95">
    <cfRule type="expression" dxfId="1071" priority="44">
      <formula>kvartal &lt; 4</formula>
    </cfRule>
  </conditionalFormatting>
  <conditionalFormatting sqref="F101:G106">
    <cfRule type="expression" dxfId="1070" priority="40">
      <formula>kvartal &lt; 4</formula>
    </cfRule>
  </conditionalFormatting>
  <conditionalFormatting sqref="F115:G115">
    <cfRule type="expression" dxfId="1069" priority="57">
      <formula>kvartal &lt; 4</formula>
    </cfRule>
  </conditionalFormatting>
  <conditionalFormatting sqref="F123:G123">
    <cfRule type="expression" dxfId="1068" priority="56">
      <formula>kvartal &lt; 4</formula>
    </cfRule>
  </conditionalFormatting>
  <conditionalFormatting sqref="J69:K74">
    <cfRule type="expression" dxfId="1067" priority="38">
      <formula>kvartal &lt; 4</formula>
    </cfRule>
  </conditionalFormatting>
  <conditionalFormatting sqref="J80:K85">
    <cfRule type="expression" dxfId="1066" priority="37">
      <formula>kvartal &lt; 4</formula>
    </cfRule>
  </conditionalFormatting>
  <conditionalFormatting sqref="J90:K95">
    <cfRule type="expression" dxfId="1065" priority="34">
      <formula>kvartal &lt; 4</formula>
    </cfRule>
  </conditionalFormatting>
  <conditionalFormatting sqref="J101:K106">
    <cfRule type="expression" dxfId="1064" priority="33">
      <formula>kvartal &lt; 4</formula>
    </cfRule>
  </conditionalFormatting>
  <conditionalFormatting sqref="J115:K115">
    <cfRule type="expression" dxfId="1063" priority="32">
      <formula>kvartal &lt; 4</formula>
    </cfRule>
  </conditionalFormatting>
  <conditionalFormatting sqref="J123:K123">
    <cfRule type="expression" dxfId="1062" priority="3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61</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-28</v>
      </c>
      <c r="C47" s="247">
        <v>-11.84037</v>
      </c>
      <c r="D47" s="338">
        <f t="shared" ref="D47" si="0">IF(B47=0, "    ---- ", IF(ABS(ROUND(100/B47*C47-100,1))&lt;999,ROUND(100/B47*C47-100,1),IF(ROUND(100/B47*C47-100,1)&gt;999,999,-999)))</f>
        <v>-57.7</v>
      </c>
      <c r="E47" s="8">
        <f>IFERROR(100/'Skjema total MA'!C47*C47,0)</f>
        <v>-1.799482160421823E-4</v>
      </c>
      <c r="F47" s="109"/>
      <c r="G47" s="27"/>
      <c r="H47" s="117"/>
      <c r="I47" s="117"/>
      <c r="J47" s="31"/>
      <c r="K47" s="31"/>
      <c r="L47" s="117"/>
      <c r="M47" s="117"/>
    </row>
    <row r="48" spans="1:13" ht="15.75" x14ac:dyDescent="0.2">
      <c r="A48" s="18" t="s">
        <v>397</v>
      </c>
      <c r="B48" s="219"/>
      <c r="C48" s="220"/>
      <c r="D48" s="198"/>
      <c r="E48" s="23"/>
      <c r="F48" s="109"/>
      <c r="G48" s="27"/>
      <c r="H48" s="109"/>
      <c r="I48" s="109"/>
      <c r="J48" s="27"/>
      <c r="K48" s="27"/>
      <c r="L48" s="117"/>
      <c r="M48" s="117"/>
    </row>
    <row r="49" spans="1:13" ht="15.75" x14ac:dyDescent="0.2">
      <c r="A49" s="18" t="s">
        <v>398</v>
      </c>
      <c r="B49" s="36">
        <v>-28</v>
      </c>
      <c r="C49" s="225">
        <v>-11.84037</v>
      </c>
      <c r="D49" s="198">
        <f>IF(B49=0, "    ---- ", IF(ABS(ROUND(100/B49*C49-100,1))&lt;999,ROUND(100/B49*C49-100,1),IF(ROUND(100/B49*C49-100,1)&gt;999,999,-999)))</f>
        <v>-57.7</v>
      </c>
      <c r="E49" s="23">
        <f>IFERROR(100/'Skjema total MA'!C49*C49,0)</f>
        <v>-4.1233201753916284E-4</v>
      </c>
      <c r="F49" s="109"/>
      <c r="G49" s="27"/>
      <c r="H49" s="691"/>
      <c r="I49" s="109"/>
      <c r="J49" s="31"/>
      <c r="K49" s="31"/>
      <c r="L49" s="117"/>
      <c r="M49" s="117"/>
    </row>
    <row r="50" spans="1:13" x14ac:dyDescent="0.2">
      <c r="A50" s="234" t="s">
        <v>6</v>
      </c>
      <c r="B50" s="219">
        <v>-28</v>
      </c>
      <c r="C50" s="229">
        <v>-11.84037</v>
      </c>
      <c r="D50" s="198">
        <f>IF(B50=0, "    ---- ", IF(ABS(ROUND(100/B50*C50-100,1))&lt;999,ROUND(100/B50*C50-100,1),IF(ROUND(100/B50*C50-100,1)&gt;999,999,-999)))</f>
        <v>-57.7</v>
      </c>
      <c r="E50" s="23">
        <f>IFERROR(100/'Skjema total MA'!C50*C50,0)</f>
        <v>100</v>
      </c>
      <c r="F50" s="109"/>
      <c r="G50" s="27"/>
      <c r="H50" s="691"/>
      <c r="I50" s="109"/>
      <c r="J50" s="27"/>
      <c r="K50" s="27"/>
      <c r="L50" s="117"/>
      <c r="M50" s="117"/>
    </row>
    <row r="51" spans="1:13" x14ac:dyDescent="0.2">
      <c r="A51" s="234" t="s">
        <v>7</v>
      </c>
      <c r="B51" s="219"/>
      <c r="C51" s="229"/>
      <c r="D51" s="198"/>
      <c r="E51" s="20"/>
      <c r="F51" s="109"/>
      <c r="G51" s="27"/>
      <c r="H51" s="109"/>
      <c r="I51" s="109"/>
      <c r="J51" s="27"/>
      <c r="K51" s="27"/>
      <c r="L51" s="117"/>
      <c r="M51" s="117"/>
    </row>
    <row r="52" spans="1:13" x14ac:dyDescent="0.2">
      <c r="A52" s="234" t="s">
        <v>8</v>
      </c>
      <c r="B52" s="219"/>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v>69993517.364010006</v>
      </c>
      <c r="C134" s="245">
        <v>60669635.068020001</v>
      </c>
      <c r="D134" s="278">
        <f t="shared" ref="D134:D137" si="1">IF(B134=0, "    ---- ", IF(ABS(ROUND(100/B134*C134-100,1))&lt;999,ROUND(100/B134*C134-100,1),IF(ROUND(100/B134*C134-100,1)&gt;999,999,-999)))</f>
        <v>-13.3</v>
      </c>
      <c r="E134" s="8">
        <f>IFERROR(100/'Skjema total MA'!C134*C134,0)</f>
        <v>85.713069515433361</v>
      </c>
      <c r="F134" s="252">
        <v>240816.17</v>
      </c>
      <c r="G134" s="253">
        <v>212249.59526999999</v>
      </c>
      <c r="H134" s="342">
        <f t="shared" ref="H134:H136" si="2">IF(F134=0, "    ---- ", IF(ABS(ROUND(100/F134*G134-100,1))&lt;999,ROUND(100/F134*G134-100,1),IF(ROUND(100/F134*G134-100,1)&gt;999,999,-999)))</f>
        <v>-11.9</v>
      </c>
      <c r="I134" s="21">
        <f>IFERROR(100/'Skjema total MA'!F134*G134,0)</f>
        <v>100</v>
      </c>
      <c r="J134" s="254">
        <f t="shared" ref="J134:K137" si="3">SUM(B134,F134)</f>
        <v>70234333.534010008</v>
      </c>
      <c r="K134" s="254">
        <f t="shared" si="3"/>
        <v>60881884.663290001</v>
      </c>
      <c r="L134" s="338">
        <f t="shared" ref="L134:L137" si="4">IF(J134=0, "    ---- ", IF(ABS(ROUND(100/J134*K134-100,1))&lt;999,ROUND(100/J134*K134-100,1),IF(ROUND(100/J134*K134-100,1)&gt;999,999,-999)))</f>
        <v>-13.3</v>
      </c>
      <c r="M134" s="8">
        <f>IFERROR(100/'Skjema total MA'!I134*K134,0)</f>
        <v>85.755782619033766</v>
      </c>
    </row>
    <row r="135" spans="1:14" ht="15.75" x14ac:dyDescent="0.2">
      <c r="A135" s="10" t="s">
        <v>413</v>
      </c>
      <c r="B135" s="180">
        <v>684665855.72836995</v>
      </c>
      <c r="C135" s="245">
        <v>799889817.73760998</v>
      </c>
      <c r="D135" s="125">
        <f t="shared" si="1"/>
        <v>16.8</v>
      </c>
      <c r="E135" s="8">
        <f>IFERROR(100/'Skjema total MA'!C135*C135,0)</f>
        <v>83.879188701895018</v>
      </c>
      <c r="F135" s="180">
        <v>2769122.9589300002</v>
      </c>
      <c r="G135" s="245">
        <v>2886767.1387900002</v>
      </c>
      <c r="H135" s="343">
        <f t="shared" si="2"/>
        <v>4.2</v>
      </c>
      <c r="I135" s="21">
        <f>IFERROR(100/'Skjema total MA'!F135*G135,0)</f>
        <v>100</v>
      </c>
      <c r="J135" s="244">
        <f t="shared" si="3"/>
        <v>687434978.68729997</v>
      </c>
      <c r="K135" s="244">
        <f t="shared" si="3"/>
        <v>802776584.87639999</v>
      </c>
      <c r="L135" s="339">
        <f t="shared" si="4"/>
        <v>16.8</v>
      </c>
      <c r="M135" s="8">
        <f>IFERROR(100/'Skjema total MA'!I135*K135,0)</f>
        <v>83.927841744603427</v>
      </c>
    </row>
    <row r="136" spans="1:14" ht="15.75" x14ac:dyDescent="0.2">
      <c r="A136" s="10" t="s">
        <v>410</v>
      </c>
      <c r="B136" s="180">
        <v>91789.535999999993</v>
      </c>
      <c r="C136" s="245">
        <v>2237.5329999999999</v>
      </c>
      <c r="D136" s="125">
        <f t="shared" si="1"/>
        <v>-97.6</v>
      </c>
      <c r="E136" s="8">
        <f>IFERROR(100/'Skjema total MA'!C136*C136,0)</f>
        <v>0.10026721362796849</v>
      </c>
      <c r="F136" s="180">
        <v>81.662000000000006</v>
      </c>
      <c r="G136" s="245">
        <v>-1022.97</v>
      </c>
      <c r="H136" s="343">
        <f t="shared" si="2"/>
        <v>-999</v>
      </c>
      <c r="I136" s="21">
        <f>IFERROR(100/'Skjema total MA'!F136*G136,0)</f>
        <v>100</v>
      </c>
      <c r="J136" s="244">
        <f t="shared" si="3"/>
        <v>91871.197999999989</v>
      </c>
      <c r="K136" s="244">
        <f t="shared" si="3"/>
        <v>1214.5629999999999</v>
      </c>
      <c r="L136" s="339">
        <f t="shared" si="4"/>
        <v>-98.7</v>
      </c>
      <c r="M136" s="8">
        <f>IFERROR(100/'Skjema total MA'!I136*K136,0)</f>
        <v>5.4451352775390635E-2</v>
      </c>
    </row>
    <row r="137" spans="1:14" ht="15.75" x14ac:dyDescent="0.2">
      <c r="A137" s="33" t="s">
        <v>411</v>
      </c>
      <c r="B137" s="214">
        <v>2139312.477</v>
      </c>
      <c r="C137" s="251">
        <v>2422654.6439999999</v>
      </c>
      <c r="D137" s="123">
        <f t="shared" si="1"/>
        <v>13.2</v>
      </c>
      <c r="E137" s="6">
        <f>IFERROR(100/'Skjema total MA'!C137*C137,0)</f>
        <v>99.985419734027488</v>
      </c>
      <c r="F137" s="214"/>
      <c r="G137" s="251"/>
      <c r="H137" s="344"/>
      <c r="I137" s="30"/>
      <c r="J137" s="250">
        <f t="shared" si="3"/>
        <v>2139312.477</v>
      </c>
      <c r="K137" s="250">
        <f t="shared" si="3"/>
        <v>2422654.6439999999</v>
      </c>
      <c r="L137" s="340">
        <f t="shared" si="4"/>
        <v>13.2</v>
      </c>
      <c r="M137" s="30">
        <f>IFERROR(100/'Skjema total MA'!I137*K137,0)</f>
        <v>99.985419734027488</v>
      </c>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061" priority="10">
      <formula>kvartal &lt; 4</formula>
    </cfRule>
  </conditionalFormatting>
  <conditionalFormatting sqref="A80:A85">
    <cfRule type="expression" dxfId="1060" priority="9">
      <formula>kvartal &lt; 4</formula>
    </cfRule>
  </conditionalFormatting>
  <conditionalFormatting sqref="A90:A95">
    <cfRule type="expression" dxfId="1059" priority="6">
      <formula>kvartal &lt; 4</formula>
    </cfRule>
  </conditionalFormatting>
  <conditionalFormatting sqref="A101:A106">
    <cfRule type="expression" dxfId="1058" priority="5">
      <formula>kvartal &lt; 4</formula>
    </cfRule>
  </conditionalFormatting>
  <conditionalFormatting sqref="A50:C52">
    <cfRule type="expression" dxfId="1057" priority="12">
      <formula>kvartal &lt; 4</formula>
    </cfRule>
  </conditionalFormatting>
  <conditionalFormatting sqref="A115:C115">
    <cfRule type="expression" dxfId="1056" priority="4">
      <formula>kvartal &lt; 4</formula>
    </cfRule>
  </conditionalFormatting>
  <conditionalFormatting sqref="A123:C123">
    <cfRule type="expression" dxfId="1055" priority="3">
      <formula>kvartal &lt; 4</formula>
    </cfRule>
  </conditionalFormatting>
  <conditionalFormatting sqref="B69:C69">
    <cfRule type="expression" dxfId="1054" priority="99">
      <formula>kvartal &lt; 4</formula>
    </cfRule>
  </conditionalFormatting>
  <conditionalFormatting sqref="B72:C72">
    <cfRule type="expression" dxfId="1053" priority="97">
      <formula>kvartal &lt; 4</formula>
    </cfRule>
  </conditionalFormatting>
  <conditionalFormatting sqref="B80:C80">
    <cfRule type="expression" dxfId="1052" priority="95">
      <formula>kvartal &lt; 4</formula>
    </cfRule>
  </conditionalFormatting>
  <conditionalFormatting sqref="B83:C83">
    <cfRule type="expression" dxfId="1051" priority="93">
      <formula>kvartal &lt; 4</formula>
    </cfRule>
  </conditionalFormatting>
  <conditionalFormatting sqref="B90:C90">
    <cfRule type="expression" dxfId="1050" priority="83">
      <formula>kvartal &lt; 4</formula>
    </cfRule>
  </conditionalFormatting>
  <conditionalFormatting sqref="B93:C93">
    <cfRule type="expression" dxfId="1049" priority="81">
      <formula>kvartal &lt; 4</formula>
    </cfRule>
  </conditionalFormatting>
  <conditionalFormatting sqref="B101:C101">
    <cfRule type="expression" dxfId="1048" priority="79">
      <formula>kvartal &lt; 4</formula>
    </cfRule>
  </conditionalFormatting>
  <conditionalFormatting sqref="B104:C104">
    <cfRule type="expression" dxfId="1047" priority="77">
      <formula>kvartal &lt; 4</formula>
    </cfRule>
  </conditionalFormatting>
  <conditionalFormatting sqref="F69:G74">
    <cfRule type="expression" dxfId="1046" priority="54">
      <formula>kvartal &lt; 4</formula>
    </cfRule>
  </conditionalFormatting>
  <conditionalFormatting sqref="F80:G85">
    <cfRule type="expression" dxfId="1045" priority="52">
      <formula>kvartal &lt; 4</formula>
    </cfRule>
  </conditionalFormatting>
  <conditionalFormatting sqref="F90:G95">
    <cfRule type="expression" dxfId="1044" priority="44">
      <formula>kvartal &lt; 4</formula>
    </cfRule>
  </conditionalFormatting>
  <conditionalFormatting sqref="F101:G106">
    <cfRule type="expression" dxfId="1043" priority="40">
      <formula>kvartal &lt; 4</formula>
    </cfRule>
  </conditionalFormatting>
  <conditionalFormatting sqref="F115:G115">
    <cfRule type="expression" dxfId="1042" priority="57">
      <formula>kvartal &lt; 4</formula>
    </cfRule>
  </conditionalFormatting>
  <conditionalFormatting sqref="F123:G123">
    <cfRule type="expression" dxfId="1041" priority="56">
      <formula>kvartal &lt; 4</formula>
    </cfRule>
  </conditionalFormatting>
  <conditionalFormatting sqref="J69:K74">
    <cfRule type="expression" dxfId="1040" priority="38">
      <formula>kvartal &lt; 4</formula>
    </cfRule>
  </conditionalFormatting>
  <conditionalFormatting sqref="J80:K85">
    <cfRule type="expression" dxfId="1039" priority="37">
      <formula>kvartal &lt; 4</formula>
    </cfRule>
  </conditionalFormatting>
  <conditionalFormatting sqref="J90:K95">
    <cfRule type="expression" dxfId="1038" priority="34">
      <formula>kvartal &lt; 4</formula>
    </cfRule>
  </conditionalFormatting>
  <conditionalFormatting sqref="J101:K106">
    <cfRule type="expression" dxfId="1037" priority="33">
      <formula>kvartal &lt; 4</formula>
    </cfRule>
  </conditionalFormatting>
  <conditionalFormatting sqref="J115:K115">
    <cfRule type="expression" dxfId="1036" priority="32">
      <formula>kvartal &lt; 4</formula>
    </cfRule>
  </conditionalFormatting>
  <conditionalFormatting sqref="J123:K123">
    <cfRule type="expression" dxfId="1035" priority="31">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123</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34244.85</v>
      </c>
      <c r="C7" s="243">
        <v>40281.127</v>
      </c>
      <c r="D7" s="278">
        <f>IF(B7=0, "    ---- ", IF(ABS(ROUND(100/B7*C7-100,1))&lt;999,ROUND(100/B7*C7-100,1),IF(ROUND(100/B7*C7-100,1)&gt;999,999,-999)))</f>
        <v>17.600000000000001</v>
      </c>
      <c r="E7" s="8">
        <f>IFERROR(100/'Skjema total MA'!C7*C7,0)</f>
        <v>0.72920237191714388</v>
      </c>
      <c r="F7" s="242"/>
      <c r="G7" s="243"/>
      <c r="H7" s="278"/>
      <c r="I7" s="118"/>
      <c r="J7" s="244">
        <f t="shared" ref="J7:K10" si="0">SUM(B7,F7)</f>
        <v>34244.85</v>
      </c>
      <c r="K7" s="245">
        <f t="shared" si="0"/>
        <v>40281.127</v>
      </c>
      <c r="L7" s="338">
        <f>IF(J7=0, "    ---- ", IF(ABS(ROUND(100/J7*K7-100,1))&lt;999,ROUND(100/J7*K7-100,1),IF(ROUND(100/J7*K7-100,1)&gt;999,999,-999)))</f>
        <v>17.600000000000001</v>
      </c>
      <c r="M7" s="8">
        <f>IFERROR(100/'Skjema total MA'!I7*K7,0)</f>
        <v>0.20408567911170555</v>
      </c>
    </row>
    <row r="8" spans="1:14" ht="15.75" x14ac:dyDescent="0.2">
      <c r="A8" s="18" t="s">
        <v>25</v>
      </c>
      <c r="B8" s="219">
        <v>32807.173999999999</v>
      </c>
      <c r="C8" s="220">
        <v>38666.915000000001</v>
      </c>
      <c r="D8" s="121">
        <f t="shared" ref="D8:D10" si="1">IF(B8=0, "    ---- ", IF(ABS(ROUND(100/B8*C8-100,1))&lt;999,ROUND(100/B8*C8-100,1),IF(ROUND(100/B8*C8-100,1)&gt;999,999,-999)))</f>
        <v>17.899999999999999</v>
      </c>
      <c r="E8" s="23">
        <f>IFERROR(100/'Skjema total MA'!C8*C8,0)</f>
        <v>1.0541714690570283</v>
      </c>
      <c r="F8" s="223"/>
      <c r="G8" s="224"/>
      <c r="H8" s="121"/>
      <c r="I8" s="129"/>
      <c r="J8" s="178">
        <f t="shared" si="0"/>
        <v>32807.173999999999</v>
      </c>
      <c r="K8" s="225">
        <f t="shared" si="0"/>
        <v>38666.915000000001</v>
      </c>
      <c r="L8" s="121">
        <f t="shared" ref="L8:L9" si="2">IF(J8=0, "    ---- ", IF(ABS(ROUND(100/J8*K8-100,1))&lt;999,ROUND(100/J8*K8-100,1),IF(ROUND(100/J8*K8-100,1)&gt;999,999,-999)))</f>
        <v>17.899999999999999</v>
      </c>
      <c r="M8" s="23">
        <f>IFERROR(100/'Skjema total MA'!I8*K8,0)</f>
        <v>1.0541714690570283</v>
      </c>
    </row>
    <row r="9" spans="1:14" ht="15.75" x14ac:dyDescent="0.2">
      <c r="A9" s="18" t="s">
        <v>24</v>
      </c>
      <c r="B9" s="219">
        <v>1437.6759999999999</v>
      </c>
      <c r="C9" s="220">
        <v>1614.212</v>
      </c>
      <c r="D9" s="121">
        <f t="shared" si="1"/>
        <v>12.3</v>
      </c>
      <c r="E9" s="23">
        <f>IFERROR(100/'Skjema total MA'!C9*C9,0)</f>
        <v>0.14802386682721866</v>
      </c>
      <c r="F9" s="223"/>
      <c r="G9" s="224"/>
      <c r="H9" s="121"/>
      <c r="I9" s="129"/>
      <c r="J9" s="178">
        <f t="shared" si="0"/>
        <v>1437.6759999999999</v>
      </c>
      <c r="K9" s="225">
        <f t="shared" si="0"/>
        <v>1614.212</v>
      </c>
      <c r="L9" s="121">
        <f t="shared" si="2"/>
        <v>12.3</v>
      </c>
      <c r="M9" s="23">
        <f>IFERROR(100/'Skjema total MA'!I9*K9,0)</f>
        <v>0.14802386682721866</v>
      </c>
    </row>
    <row r="10" spans="1:14" ht="15.75" x14ac:dyDescent="0.2">
      <c r="A10" s="10" t="s">
        <v>386</v>
      </c>
      <c r="B10" s="246">
        <v>24460.813999999998</v>
      </c>
      <c r="C10" s="247">
        <v>27212.107</v>
      </c>
      <c r="D10" s="125">
        <f t="shared" si="1"/>
        <v>11.2</v>
      </c>
      <c r="E10" s="8">
        <f>IFERROR(100/'Skjema total MA'!C10*C10,0)</f>
        <v>0.17787848883117638</v>
      </c>
      <c r="F10" s="246"/>
      <c r="G10" s="247"/>
      <c r="H10" s="125"/>
      <c r="I10" s="118"/>
      <c r="J10" s="244">
        <f t="shared" si="0"/>
        <v>24460.813999999998</v>
      </c>
      <c r="K10" s="245">
        <f t="shared" si="0"/>
        <v>27212.107</v>
      </c>
      <c r="L10" s="339">
        <f t="shared" ref="L10" si="3">IF(J10=0, "    ---- ", IF(ABS(ROUND(100/J10*K10-100,1))&lt;999,ROUND(100/J10*K10-100,1),IF(ROUND(100/J10*K10-100,1)&gt;999,999,-999)))</f>
        <v>11.2</v>
      </c>
      <c r="M10" s="8">
        <f>IFERROR(100/'Skjema total MA'!I10*K10,0)</f>
        <v>2.3247728726819909E-2</v>
      </c>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32000.355</v>
      </c>
      <c r="C22" s="246">
        <v>38222.427000000003</v>
      </c>
      <c r="D22" s="278">
        <f t="shared" ref="D22:D29" si="4">IF(B22=0, "    ---- ", IF(ABS(ROUND(100/B22*C22-100,1))&lt;999,ROUND(100/B22*C22-100,1),IF(ROUND(100/B22*C22-100,1)&gt;999,999,-999)))</f>
        <v>19.399999999999999</v>
      </c>
      <c r="E22" s="8">
        <f>IFERROR(100/'Skjema total MA'!C22*C22,0)</f>
        <v>1.5694612035441291</v>
      </c>
      <c r="F22" s="254"/>
      <c r="G22" s="254"/>
      <c r="H22" s="278"/>
      <c r="I22" s="8"/>
      <c r="J22" s="252">
        <f t="shared" ref="J22:K29" si="5">SUM(B22,F22)</f>
        <v>32000.355</v>
      </c>
      <c r="K22" s="252">
        <f t="shared" si="5"/>
        <v>38222.427000000003</v>
      </c>
      <c r="L22" s="338">
        <f t="shared" ref="L22:L29" si="6">IF(J22=0, "    ---- ", IF(ABS(ROUND(100/J22*K22-100,1))&lt;999,ROUND(100/J22*K22-100,1),IF(ROUND(100/J22*K22-100,1)&gt;999,999,-999)))</f>
        <v>19.399999999999999</v>
      </c>
      <c r="M22" s="21">
        <f>IFERROR(100/'Skjema total MA'!I22*K22,0)</f>
        <v>1.1061240411270681</v>
      </c>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32000.355</v>
      </c>
      <c r="C28" s="225">
        <v>38222.427000000003</v>
      </c>
      <c r="D28" s="121">
        <f t="shared" si="4"/>
        <v>19.399999999999999</v>
      </c>
      <c r="E28" s="8">
        <f>IFERROR(100/'Skjema total MA'!C28*C28,0)</f>
        <v>1.337341671137366</v>
      </c>
      <c r="F28" s="178"/>
      <c r="G28" s="225"/>
      <c r="H28" s="121"/>
      <c r="I28" s="23"/>
      <c r="J28" s="36">
        <f t="shared" si="5"/>
        <v>32000.355</v>
      </c>
      <c r="K28" s="36">
        <f t="shared" si="5"/>
        <v>38222.427000000003</v>
      </c>
      <c r="L28" s="198">
        <f t="shared" si="6"/>
        <v>19.399999999999999</v>
      </c>
      <c r="M28" s="20">
        <f>IFERROR(100/'Skjema total MA'!I28*K28,0)</f>
        <v>1.337341671137366</v>
      </c>
    </row>
    <row r="29" spans="1:13" ht="15.75" x14ac:dyDescent="0.2">
      <c r="A29" s="10" t="s">
        <v>386</v>
      </c>
      <c r="B29" s="180">
        <v>110683.291</v>
      </c>
      <c r="C29" s="180">
        <v>142878.58499999999</v>
      </c>
      <c r="D29" s="125">
        <f t="shared" si="4"/>
        <v>29.1</v>
      </c>
      <c r="E29" s="8">
        <f>IFERROR(100/'Skjema total MA'!C29*C29,0)</f>
        <v>0.32814671559707648</v>
      </c>
      <c r="F29" s="244"/>
      <c r="G29" s="244"/>
      <c r="H29" s="125"/>
      <c r="I29" s="8"/>
      <c r="J29" s="180">
        <f t="shared" si="5"/>
        <v>110683.291</v>
      </c>
      <c r="K29" s="180">
        <f t="shared" si="5"/>
        <v>142878.58499999999</v>
      </c>
      <c r="L29" s="339">
        <f t="shared" si="6"/>
        <v>29.1</v>
      </c>
      <c r="M29" s="21">
        <f>IFERROR(100/'Skjema total MA'!I29*K29,0)</f>
        <v>0.19511008958583484</v>
      </c>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276813.52799999999</v>
      </c>
      <c r="C47" s="247">
        <v>311518.71999999997</v>
      </c>
      <c r="D47" s="338">
        <f t="shared" ref="D47:D48" si="7">IF(B47=0, "    ---- ", IF(ABS(ROUND(100/B47*C47-100,1))&lt;999,ROUND(100/B47*C47-100,1),IF(ROUND(100/B47*C47-100,1)&gt;999,999,-999)))</f>
        <v>12.5</v>
      </c>
      <c r="E47" s="8">
        <f>IFERROR(100/'Skjema total MA'!C47*C47,0)</f>
        <v>4.7344160636655861</v>
      </c>
      <c r="F47" s="109"/>
      <c r="G47" s="27"/>
      <c r="H47" s="117"/>
      <c r="I47" s="117"/>
      <c r="J47" s="31"/>
      <c r="K47" s="31"/>
      <c r="L47" s="117"/>
      <c r="M47" s="117"/>
    </row>
    <row r="48" spans="1:13" ht="15.75" x14ac:dyDescent="0.2">
      <c r="A48" s="18" t="s">
        <v>397</v>
      </c>
      <c r="B48" s="219">
        <v>276813.52799999999</v>
      </c>
      <c r="C48" s="220">
        <v>311518.71999999997</v>
      </c>
      <c r="D48" s="198">
        <f t="shared" si="7"/>
        <v>12.5</v>
      </c>
      <c r="E48" s="23">
        <f>IFERROR(100/'Skjema total MA'!C48*C48,0)</f>
        <v>8.4005482087202079</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034" priority="10">
      <formula>kvartal &lt; 4</formula>
    </cfRule>
  </conditionalFormatting>
  <conditionalFormatting sqref="A80:A85">
    <cfRule type="expression" dxfId="1033" priority="9">
      <formula>kvartal &lt; 4</formula>
    </cfRule>
  </conditionalFormatting>
  <conditionalFormatting sqref="A90:A95">
    <cfRule type="expression" dxfId="1032" priority="6">
      <formula>kvartal &lt; 4</formula>
    </cfRule>
  </conditionalFormatting>
  <conditionalFormatting sqref="A101:A106">
    <cfRule type="expression" dxfId="1031" priority="5">
      <formula>kvartal &lt; 4</formula>
    </cfRule>
  </conditionalFormatting>
  <conditionalFormatting sqref="A50:C52">
    <cfRule type="expression" dxfId="1030" priority="12">
      <formula>kvartal &lt; 4</formula>
    </cfRule>
  </conditionalFormatting>
  <conditionalFormatting sqref="A115:C115">
    <cfRule type="expression" dxfId="1029" priority="4">
      <formula>kvartal &lt; 4</formula>
    </cfRule>
  </conditionalFormatting>
  <conditionalFormatting sqref="A123:C123">
    <cfRule type="expression" dxfId="1028" priority="3">
      <formula>kvartal &lt; 4</formula>
    </cfRule>
  </conditionalFormatting>
  <conditionalFormatting sqref="B69:C69">
    <cfRule type="expression" dxfId="1027" priority="99">
      <formula>kvartal &lt; 4</formula>
    </cfRule>
  </conditionalFormatting>
  <conditionalFormatting sqref="B72:C72">
    <cfRule type="expression" dxfId="1026" priority="97">
      <formula>kvartal &lt; 4</formula>
    </cfRule>
  </conditionalFormatting>
  <conditionalFormatting sqref="B80:C80">
    <cfRule type="expression" dxfId="1025" priority="95">
      <formula>kvartal &lt; 4</formula>
    </cfRule>
  </conditionalFormatting>
  <conditionalFormatting sqref="B83:C83">
    <cfRule type="expression" dxfId="1024" priority="93">
      <formula>kvartal &lt; 4</formula>
    </cfRule>
  </conditionalFormatting>
  <conditionalFormatting sqref="B90:C90">
    <cfRule type="expression" dxfId="1023" priority="83">
      <formula>kvartal &lt; 4</formula>
    </cfRule>
  </conditionalFormatting>
  <conditionalFormatting sqref="B93:C93">
    <cfRule type="expression" dxfId="1022" priority="81">
      <formula>kvartal &lt; 4</formula>
    </cfRule>
  </conditionalFormatting>
  <conditionalFormatting sqref="B101:C101">
    <cfRule type="expression" dxfId="1021" priority="79">
      <formula>kvartal &lt; 4</formula>
    </cfRule>
  </conditionalFormatting>
  <conditionalFormatting sqref="B104:C104">
    <cfRule type="expression" dxfId="1020" priority="77">
      <formula>kvartal &lt; 4</formula>
    </cfRule>
  </conditionalFormatting>
  <conditionalFormatting sqref="F69:G74">
    <cfRule type="expression" dxfId="1019" priority="54">
      <formula>kvartal &lt; 4</formula>
    </cfRule>
  </conditionalFormatting>
  <conditionalFormatting sqref="F80:G85">
    <cfRule type="expression" dxfId="1018" priority="52">
      <formula>kvartal &lt; 4</formula>
    </cfRule>
  </conditionalFormatting>
  <conditionalFormatting sqref="F90:G95">
    <cfRule type="expression" dxfId="1017" priority="44">
      <formula>kvartal &lt; 4</formula>
    </cfRule>
  </conditionalFormatting>
  <conditionalFormatting sqref="F101:G106">
    <cfRule type="expression" dxfId="1016" priority="40">
      <formula>kvartal &lt; 4</formula>
    </cfRule>
  </conditionalFormatting>
  <conditionalFormatting sqref="F115:G115">
    <cfRule type="expression" dxfId="1015" priority="57">
      <formula>kvartal &lt; 4</formula>
    </cfRule>
  </conditionalFormatting>
  <conditionalFormatting sqref="F123:G123">
    <cfRule type="expression" dxfId="1014" priority="56">
      <formula>kvartal &lt; 4</formula>
    </cfRule>
  </conditionalFormatting>
  <conditionalFormatting sqref="J69:K74">
    <cfRule type="expression" dxfId="1013" priority="38">
      <formula>kvartal &lt; 4</formula>
    </cfRule>
  </conditionalFormatting>
  <conditionalFormatting sqref="J80:K85">
    <cfRule type="expression" dxfId="1012" priority="37">
      <formula>kvartal &lt; 4</formula>
    </cfRule>
  </conditionalFormatting>
  <conditionalFormatting sqref="J90:K95">
    <cfRule type="expression" dxfId="1011" priority="34">
      <formula>kvartal &lt; 4</formula>
    </cfRule>
  </conditionalFormatting>
  <conditionalFormatting sqref="J101:K106">
    <cfRule type="expression" dxfId="1010" priority="33">
      <formula>kvartal &lt; 4</formula>
    </cfRule>
  </conditionalFormatting>
  <conditionalFormatting sqref="J115:K115">
    <cfRule type="expression" dxfId="1009" priority="32">
      <formula>kvartal &lt; 4</formula>
    </cfRule>
  </conditionalFormatting>
  <conditionalFormatting sqref="J123:K123">
    <cfRule type="expression" dxfId="1008" priority="31">
      <formula>kvartal &lt; 4</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486</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106120</v>
      </c>
      <c r="C47" s="247">
        <v>112297</v>
      </c>
      <c r="D47" s="338">
        <f t="shared" ref="D47:D57" si="0">IF(B47=0, "    ---- ", IF(ABS(ROUND(100/B47*C47-100,1))&lt;999,ROUND(100/B47*C47-100,1),IF(ROUND(100/B47*C47-100,1)&gt;999,999,-999)))</f>
        <v>5.8</v>
      </c>
      <c r="E47" s="8">
        <f>IFERROR(100/'Skjema total MA'!C47*C47,0)</f>
        <v>1.7066734246386681</v>
      </c>
      <c r="F47" s="109"/>
      <c r="G47" s="27"/>
      <c r="H47" s="117"/>
      <c r="I47" s="117"/>
      <c r="J47" s="31"/>
      <c r="K47" s="31"/>
      <c r="L47" s="117"/>
      <c r="M47" s="117"/>
    </row>
    <row r="48" spans="1:13" ht="15.75" x14ac:dyDescent="0.2">
      <c r="A48" s="18" t="s">
        <v>397</v>
      </c>
      <c r="B48" s="219">
        <v>106120</v>
      </c>
      <c r="C48" s="220">
        <v>112297</v>
      </c>
      <c r="D48" s="198">
        <f t="shared" si="0"/>
        <v>5.8</v>
      </c>
      <c r="E48" s="23">
        <f>IFERROR(100/'Skjema total MA'!C48*C48,0)</f>
        <v>3.0282493527023138</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v>2534</v>
      </c>
      <c r="C53" s="247">
        <v>3780</v>
      </c>
      <c r="D53" s="339">
        <f t="shared" si="0"/>
        <v>49.2</v>
      </c>
      <c r="E53" s="8">
        <f>IFERROR(100/'Skjema total MA'!C53*C53,0)</f>
        <v>1.7249771722577243</v>
      </c>
      <c r="F53" s="109"/>
      <c r="G53" s="27"/>
      <c r="H53" s="109"/>
      <c r="I53" s="109"/>
      <c r="J53" s="27"/>
      <c r="K53" s="27"/>
      <c r="L53" s="117"/>
      <c r="M53" s="117"/>
    </row>
    <row r="54" spans="1:13" ht="15.75" x14ac:dyDescent="0.2">
      <c r="A54" s="18" t="s">
        <v>397</v>
      </c>
      <c r="B54" s="219">
        <v>2534</v>
      </c>
      <c r="C54" s="220">
        <v>3780</v>
      </c>
      <c r="D54" s="198">
        <f t="shared" si="0"/>
        <v>49.2</v>
      </c>
      <c r="E54" s="23">
        <f>IFERROR(100/'Skjema total MA'!C54*C54,0)</f>
        <v>1.7327976935922909</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2123</v>
      </c>
      <c r="C56" s="247">
        <v>954</v>
      </c>
      <c r="D56" s="339">
        <f t="shared" si="0"/>
        <v>-55.1</v>
      </c>
      <c r="E56" s="8">
        <f>IFERROR(100/'Skjema total MA'!C56*C56,0)</f>
        <v>0.39896029775452518</v>
      </c>
      <c r="F56" s="109"/>
      <c r="G56" s="27"/>
      <c r="H56" s="109"/>
      <c r="I56" s="109"/>
      <c r="J56" s="27"/>
      <c r="K56" s="27"/>
      <c r="L56" s="117"/>
      <c r="M56" s="117"/>
    </row>
    <row r="57" spans="1:13" ht="15.75" x14ac:dyDescent="0.2">
      <c r="A57" s="18" t="s">
        <v>397</v>
      </c>
      <c r="B57" s="219">
        <v>2123</v>
      </c>
      <c r="C57" s="220">
        <v>954</v>
      </c>
      <c r="D57" s="198">
        <f t="shared" si="0"/>
        <v>-55.1</v>
      </c>
      <c r="E57" s="23">
        <f>IFERROR(100/'Skjema total MA'!C57*C57,0)</f>
        <v>0.39896029775452518</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1007" priority="10">
      <formula>kvartal &lt; 4</formula>
    </cfRule>
  </conditionalFormatting>
  <conditionalFormatting sqref="A80:A85">
    <cfRule type="expression" dxfId="1006" priority="9">
      <formula>kvartal &lt; 4</formula>
    </cfRule>
  </conditionalFormatting>
  <conditionalFormatting sqref="A90:A95">
    <cfRule type="expression" dxfId="1005" priority="6">
      <formula>kvartal &lt; 4</formula>
    </cfRule>
  </conditionalFormatting>
  <conditionalFormatting sqref="A101:A106">
    <cfRule type="expression" dxfId="1004" priority="5">
      <formula>kvartal &lt; 4</formula>
    </cfRule>
  </conditionalFormatting>
  <conditionalFormatting sqref="A50:C52">
    <cfRule type="expression" dxfId="1003" priority="12">
      <formula>kvartal &lt; 4</formula>
    </cfRule>
  </conditionalFormatting>
  <conditionalFormatting sqref="A115:C115">
    <cfRule type="expression" dxfId="1002" priority="4">
      <formula>kvartal &lt; 4</formula>
    </cfRule>
  </conditionalFormatting>
  <conditionalFormatting sqref="A123:C123">
    <cfRule type="expression" dxfId="1001" priority="3">
      <formula>kvartal &lt; 4</formula>
    </cfRule>
  </conditionalFormatting>
  <conditionalFormatting sqref="B69:C69">
    <cfRule type="expression" dxfId="1000" priority="99">
      <formula>kvartal &lt; 4</formula>
    </cfRule>
  </conditionalFormatting>
  <conditionalFormatting sqref="B72:C72">
    <cfRule type="expression" dxfId="999" priority="97">
      <formula>kvartal &lt; 4</formula>
    </cfRule>
  </conditionalFormatting>
  <conditionalFormatting sqref="B80:C80">
    <cfRule type="expression" dxfId="998" priority="95">
      <formula>kvartal &lt; 4</formula>
    </cfRule>
  </conditionalFormatting>
  <conditionalFormatting sqref="B83:C83">
    <cfRule type="expression" dxfId="997" priority="93">
      <formula>kvartal &lt; 4</formula>
    </cfRule>
  </conditionalFormatting>
  <conditionalFormatting sqref="B90:C90">
    <cfRule type="expression" dxfId="996" priority="83">
      <formula>kvartal &lt; 4</formula>
    </cfRule>
  </conditionalFormatting>
  <conditionalFormatting sqref="B93:C93">
    <cfRule type="expression" dxfId="995" priority="81">
      <formula>kvartal &lt; 4</formula>
    </cfRule>
  </conditionalFormatting>
  <conditionalFormatting sqref="B101:C101">
    <cfRule type="expression" dxfId="994" priority="79">
      <formula>kvartal &lt; 4</formula>
    </cfRule>
  </conditionalFormatting>
  <conditionalFormatting sqref="B104:C104">
    <cfRule type="expression" dxfId="993" priority="77">
      <formula>kvartal &lt; 4</formula>
    </cfRule>
  </conditionalFormatting>
  <conditionalFormatting sqref="F69:G74">
    <cfRule type="expression" dxfId="992" priority="54">
      <formula>kvartal &lt; 4</formula>
    </cfRule>
  </conditionalFormatting>
  <conditionalFormatting sqref="F80:G85">
    <cfRule type="expression" dxfId="991" priority="52">
      <formula>kvartal &lt; 4</formula>
    </cfRule>
  </conditionalFormatting>
  <conditionalFormatting sqref="F90:G95">
    <cfRule type="expression" dxfId="990" priority="44">
      <formula>kvartal &lt; 4</formula>
    </cfRule>
  </conditionalFormatting>
  <conditionalFormatting sqref="F101:G106">
    <cfRule type="expression" dxfId="989" priority="40">
      <formula>kvartal &lt; 4</formula>
    </cfRule>
  </conditionalFormatting>
  <conditionalFormatting sqref="F115:G115">
    <cfRule type="expression" dxfId="988" priority="57">
      <formula>kvartal &lt; 4</formula>
    </cfRule>
  </conditionalFormatting>
  <conditionalFormatting sqref="F123:G123">
    <cfRule type="expression" dxfId="987" priority="56">
      <formula>kvartal &lt; 4</formula>
    </cfRule>
  </conditionalFormatting>
  <conditionalFormatting sqref="J69:K74">
    <cfRule type="expression" dxfId="986" priority="38">
      <formula>kvartal &lt; 4</formula>
    </cfRule>
  </conditionalFormatting>
  <conditionalFormatting sqref="J80:K85">
    <cfRule type="expression" dxfId="985" priority="37">
      <formula>kvartal &lt; 4</formula>
    </cfRule>
  </conditionalFormatting>
  <conditionalFormatting sqref="J90:K95">
    <cfRule type="expression" dxfId="984" priority="34">
      <formula>kvartal &lt; 4</formula>
    </cfRule>
  </conditionalFormatting>
  <conditionalFormatting sqref="J101:K106">
    <cfRule type="expression" dxfId="983" priority="33">
      <formula>kvartal &lt; 4</formula>
    </cfRule>
  </conditionalFormatting>
  <conditionalFormatting sqref="J115:K115">
    <cfRule type="expression" dxfId="982" priority="32">
      <formula>kvartal &lt; 4</formula>
    </cfRule>
  </conditionalFormatting>
  <conditionalFormatting sqref="J123:K123">
    <cfRule type="expression" dxfId="981" priority="31">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sheetPr codeName="Ark21"/>
  <dimension ref="A1:N144"/>
  <sheetViews>
    <sheetView showGridLines="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432</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27118</v>
      </c>
      <c r="C47" s="247">
        <v>32229.312999999998</v>
      </c>
      <c r="D47" s="338">
        <f t="shared" ref="D47:D57" si="0">IF(B47=0, "    ---- ", IF(ABS(ROUND(100/B47*C47-100,1))&lt;999,ROUND(100/B47*C47-100,1),IF(ROUND(100/B47*C47-100,1)&gt;999,999,-999)))</f>
        <v>18.8</v>
      </c>
      <c r="E47" s="8">
        <f>IFERROR(100/'Skjema total MA'!C47*C47,0)</f>
        <v>0.48981639751250294</v>
      </c>
      <c r="F47" s="109"/>
      <c r="G47" s="27"/>
      <c r="H47" s="117"/>
      <c r="I47" s="117"/>
      <c r="J47" s="31"/>
      <c r="K47" s="31"/>
      <c r="L47" s="117"/>
      <c r="M47" s="117"/>
    </row>
    <row r="48" spans="1:13" ht="15.75" x14ac:dyDescent="0.2">
      <c r="A48" s="18" t="s">
        <v>397</v>
      </c>
      <c r="B48" s="219">
        <v>27118</v>
      </c>
      <c r="C48" s="220">
        <v>32229.312999999998</v>
      </c>
      <c r="D48" s="198">
        <f t="shared" si="0"/>
        <v>18.8</v>
      </c>
      <c r="E48" s="23">
        <f>IFERROR(100/'Skjema total MA'!C48*C48,0)</f>
        <v>0.8691095597414914</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v>5250</v>
      </c>
      <c r="C53" s="247">
        <v>7229.9740000000002</v>
      </c>
      <c r="D53" s="339">
        <f t="shared" si="0"/>
        <v>37.700000000000003</v>
      </c>
      <c r="E53" s="8">
        <f>IFERROR(100/'Skjema total MA'!C53*C53,0)</f>
        <v>3.2993492343959971</v>
      </c>
      <c r="F53" s="109"/>
      <c r="G53" s="27"/>
      <c r="H53" s="109"/>
      <c r="I53" s="109"/>
      <c r="J53" s="27"/>
      <c r="K53" s="27"/>
      <c r="L53" s="117"/>
      <c r="M53" s="117"/>
    </row>
    <row r="54" spans="1:13" ht="15.75" x14ac:dyDescent="0.2">
      <c r="A54" s="18" t="s">
        <v>397</v>
      </c>
      <c r="B54" s="219">
        <v>5250</v>
      </c>
      <c r="C54" s="220">
        <v>7229.9740000000002</v>
      </c>
      <c r="D54" s="198">
        <f t="shared" si="0"/>
        <v>37.700000000000003</v>
      </c>
      <c r="E54" s="23">
        <f>IFERROR(100/'Skjema total MA'!C54*C54,0)</f>
        <v>3.3143074793471503</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2554</v>
      </c>
      <c r="C56" s="247">
        <v>3534.0010000000002</v>
      </c>
      <c r="D56" s="339">
        <f t="shared" si="0"/>
        <v>38.4</v>
      </c>
      <c r="E56" s="8">
        <f>IFERROR(100/'Skjema total MA'!C56*C56,0)</f>
        <v>1.4779099488729452</v>
      </c>
      <c r="F56" s="109"/>
      <c r="G56" s="27"/>
      <c r="H56" s="109"/>
      <c r="I56" s="109"/>
      <c r="J56" s="27"/>
      <c r="K56" s="27"/>
      <c r="L56" s="117"/>
      <c r="M56" s="117"/>
    </row>
    <row r="57" spans="1:13" ht="15.75" x14ac:dyDescent="0.2">
      <c r="A57" s="18" t="s">
        <v>397</v>
      </c>
      <c r="B57" s="219">
        <v>2554</v>
      </c>
      <c r="C57" s="220">
        <v>3534.0010000000002</v>
      </c>
      <c r="D57" s="198">
        <f t="shared" si="0"/>
        <v>38.4</v>
      </c>
      <c r="E57" s="23">
        <f>IFERROR(100/'Skjema total MA'!C57*C57,0)</f>
        <v>1.4779099488729452</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69:A74">
    <cfRule type="expression" dxfId="980" priority="6">
      <formula>kvartal &lt; 4</formula>
    </cfRule>
  </conditionalFormatting>
  <conditionalFormatting sqref="A80:A85">
    <cfRule type="expression" dxfId="979" priority="5">
      <formula>kvartal &lt; 4</formula>
    </cfRule>
  </conditionalFormatting>
  <conditionalFormatting sqref="A90:A95">
    <cfRule type="expression" dxfId="978" priority="4">
      <formula>kvartal &lt; 4</formula>
    </cfRule>
  </conditionalFormatting>
  <conditionalFormatting sqref="A101:A106">
    <cfRule type="expression" dxfId="977" priority="3">
      <formula>kvartal &lt; 4</formula>
    </cfRule>
  </conditionalFormatting>
  <conditionalFormatting sqref="A50:C52">
    <cfRule type="expression" dxfId="976" priority="7">
      <formula>kvartal &lt; 4</formula>
    </cfRule>
  </conditionalFormatting>
  <conditionalFormatting sqref="A115:C115">
    <cfRule type="expression" dxfId="975" priority="2">
      <formula>kvartal &lt; 4</formula>
    </cfRule>
  </conditionalFormatting>
  <conditionalFormatting sqref="A123:C123">
    <cfRule type="expression" dxfId="974" priority="1">
      <formula>kvartal &lt; 4</formula>
    </cfRule>
  </conditionalFormatting>
  <conditionalFormatting sqref="B69:C69">
    <cfRule type="expression" dxfId="973" priority="57">
      <formula>kvartal &lt; 4</formula>
    </cfRule>
  </conditionalFormatting>
  <conditionalFormatting sqref="B72:C72">
    <cfRule type="expression" dxfId="972" priority="55">
      <formula>kvartal &lt; 4</formula>
    </cfRule>
  </conditionalFormatting>
  <conditionalFormatting sqref="B80:C80">
    <cfRule type="expression" dxfId="971" priority="53">
      <formula>kvartal &lt; 4</formula>
    </cfRule>
  </conditionalFormatting>
  <conditionalFormatting sqref="B83:C83">
    <cfRule type="expression" dxfId="970" priority="51">
      <formula>kvartal &lt; 4</formula>
    </cfRule>
  </conditionalFormatting>
  <conditionalFormatting sqref="B90:C90">
    <cfRule type="expression" dxfId="969" priority="49">
      <formula>kvartal &lt; 4</formula>
    </cfRule>
  </conditionalFormatting>
  <conditionalFormatting sqref="B93:C93">
    <cfRule type="expression" dxfId="968" priority="47">
      <formula>kvartal &lt; 4</formula>
    </cfRule>
  </conditionalFormatting>
  <conditionalFormatting sqref="B101:C101">
    <cfRule type="expression" dxfId="967" priority="45">
      <formula>kvartal &lt; 4</formula>
    </cfRule>
  </conditionalFormatting>
  <conditionalFormatting sqref="B104:C104">
    <cfRule type="expression" dxfId="966" priority="43">
      <formula>kvartal &lt; 4</formula>
    </cfRule>
  </conditionalFormatting>
  <conditionalFormatting sqref="F69:G74">
    <cfRule type="expression" dxfId="965" priority="24">
      <formula>kvartal &lt; 4</formula>
    </cfRule>
  </conditionalFormatting>
  <conditionalFormatting sqref="F80:G85">
    <cfRule type="expression" dxfId="964" priority="22">
      <formula>kvartal &lt; 4</formula>
    </cfRule>
  </conditionalFormatting>
  <conditionalFormatting sqref="F90:G95">
    <cfRule type="expression" dxfId="963" priority="19">
      <formula>kvartal &lt; 4</formula>
    </cfRule>
  </conditionalFormatting>
  <conditionalFormatting sqref="F101:G106">
    <cfRule type="expression" dxfId="962" priority="15">
      <formula>kvartal &lt; 4</formula>
    </cfRule>
  </conditionalFormatting>
  <conditionalFormatting sqref="F115:G115">
    <cfRule type="expression" dxfId="961" priority="27">
      <formula>kvartal &lt; 4</formula>
    </cfRule>
  </conditionalFormatting>
  <conditionalFormatting sqref="F123:G123">
    <cfRule type="expression" dxfId="960" priority="26">
      <formula>kvartal &lt; 4</formula>
    </cfRule>
  </conditionalFormatting>
  <conditionalFormatting sqref="J69:K74">
    <cfRule type="expression" dxfId="959" priority="13">
      <formula>kvartal &lt; 4</formula>
    </cfRule>
  </conditionalFormatting>
  <conditionalFormatting sqref="J80:K85">
    <cfRule type="expression" dxfId="958" priority="12">
      <formula>kvartal &lt; 4</formula>
    </cfRule>
  </conditionalFormatting>
  <conditionalFormatting sqref="J90:K95">
    <cfRule type="expression" dxfId="957" priority="11">
      <formula>kvartal &lt; 4</formula>
    </cfRule>
  </conditionalFormatting>
  <conditionalFormatting sqref="J101:K106">
    <cfRule type="expression" dxfId="956" priority="10">
      <formula>kvartal &lt; 4</formula>
    </cfRule>
  </conditionalFormatting>
  <conditionalFormatting sqref="J115:K115">
    <cfRule type="expression" dxfId="955" priority="9">
      <formula>kvartal &lt; 4</formula>
    </cfRule>
  </conditionalFormatting>
  <conditionalFormatting sqref="J123:K123">
    <cfRule type="expression" dxfId="954" priority="8">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485</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542587.72718017898</v>
      </c>
      <c r="C7" s="243">
        <v>562613.34382557904</v>
      </c>
      <c r="D7" s="278">
        <f>IF(B7=0, "    ---- ", IF(ABS(ROUND(100/B7*C7-100,1))&lt;999,ROUND(100/B7*C7-100,1),IF(ROUND(100/B7*C7-100,1)&gt;999,999,-999)))</f>
        <v>3.7</v>
      </c>
      <c r="E7" s="8">
        <f>IFERROR(100/'Skjema total MA'!C7*C7,0)</f>
        <v>10.184893406528765</v>
      </c>
      <c r="F7" s="242">
        <v>8451925.6438800003</v>
      </c>
      <c r="G7" s="243">
        <v>11473707.11569</v>
      </c>
      <c r="H7" s="278">
        <f>IF(F7=0, "    ---- ", IF(ABS(ROUND(100/F7*G7-100,1))&lt;999,ROUND(100/F7*G7-100,1),IF(ROUND(100/F7*G7-100,1)&gt;999,999,-999)))</f>
        <v>35.799999999999997</v>
      </c>
      <c r="I7" s="118">
        <f>IFERROR(100/'Skjema total MA'!F7*G7,0)</f>
        <v>80.724790411660464</v>
      </c>
      <c r="J7" s="244">
        <f t="shared" ref="J7:K12" si="0">SUM(B7,F7)</f>
        <v>8994513.3710601795</v>
      </c>
      <c r="K7" s="245">
        <f t="shared" si="0"/>
        <v>12036320.459515579</v>
      </c>
      <c r="L7" s="338">
        <f>IF(J7=0, "    ---- ", IF(ABS(ROUND(100/J7*K7-100,1))&lt;999,ROUND(100/J7*K7-100,1),IF(ROUND(100/J7*K7-100,1)&gt;999,999,-999)))</f>
        <v>33.799999999999997</v>
      </c>
      <c r="M7" s="8">
        <f>IFERROR(100/'Skjema total MA'!I7*K7,0)</f>
        <v>60.982420749706257</v>
      </c>
    </row>
    <row r="8" spans="1:14" ht="15.75" x14ac:dyDescent="0.2">
      <c r="A8" s="18" t="s">
        <v>25</v>
      </c>
      <c r="B8" s="219">
        <v>470479.03580866999</v>
      </c>
      <c r="C8" s="220">
        <v>492805.73881018802</v>
      </c>
      <c r="D8" s="121">
        <f t="shared" ref="D8:D10" si="1">IF(B8=0, "    ---- ", IF(ABS(ROUND(100/B8*C8-100,1))&lt;999,ROUND(100/B8*C8-100,1),IF(ROUND(100/B8*C8-100,1)&gt;999,999,-999)))</f>
        <v>4.7</v>
      </c>
      <c r="E8" s="23">
        <f>IFERROR(100/'Skjema total MA'!C8*C8,0)</f>
        <v>13.435303789849023</v>
      </c>
      <c r="F8" s="223"/>
      <c r="G8" s="224"/>
      <c r="H8" s="121"/>
      <c r="I8" s="129"/>
      <c r="J8" s="178">
        <f t="shared" si="0"/>
        <v>470479.03580866999</v>
      </c>
      <c r="K8" s="225">
        <f t="shared" si="0"/>
        <v>492805.73881018802</v>
      </c>
      <c r="L8" s="121">
        <f t="shared" ref="L8:L9" si="2">IF(J8=0, "    ---- ", IF(ABS(ROUND(100/J8*K8-100,1))&lt;999,ROUND(100/J8*K8-100,1),IF(ROUND(100/J8*K8-100,1)&gt;999,999,-999)))</f>
        <v>4.7</v>
      </c>
      <c r="M8" s="23">
        <f>IFERROR(100/'Skjema total MA'!I8*K8,0)</f>
        <v>13.435303789849023</v>
      </c>
    </row>
    <row r="9" spans="1:14" ht="15.75" x14ac:dyDescent="0.2">
      <c r="A9" s="18" t="s">
        <v>24</v>
      </c>
      <c r="B9" s="219">
        <v>66736.401507835195</v>
      </c>
      <c r="C9" s="220">
        <v>64785.383859631198</v>
      </c>
      <c r="D9" s="121">
        <f t="shared" si="1"/>
        <v>-2.9</v>
      </c>
      <c r="E9" s="23">
        <f>IFERROR(100/'Skjema total MA'!C9*C9,0)</f>
        <v>5.9408448411908035</v>
      </c>
      <c r="F9" s="223"/>
      <c r="G9" s="224"/>
      <c r="H9" s="121"/>
      <c r="I9" s="129"/>
      <c r="J9" s="178">
        <f t="shared" si="0"/>
        <v>66736.401507835195</v>
      </c>
      <c r="K9" s="225">
        <f t="shared" si="0"/>
        <v>64785.383859631198</v>
      </c>
      <c r="L9" s="121">
        <f t="shared" si="2"/>
        <v>-2.9</v>
      </c>
      <c r="M9" s="23">
        <f>IFERROR(100/'Skjema total MA'!I9*K9,0)</f>
        <v>5.9408448411908035</v>
      </c>
    </row>
    <row r="10" spans="1:14" ht="15.75" x14ac:dyDescent="0.2">
      <c r="A10" s="10" t="s">
        <v>386</v>
      </c>
      <c r="B10" s="246">
        <v>569572.18209004903</v>
      </c>
      <c r="C10" s="247">
        <v>569525.62451697397</v>
      </c>
      <c r="D10" s="125">
        <f t="shared" si="1"/>
        <v>0</v>
      </c>
      <c r="E10" s="8">
        <f>IFERROR(100/'Skjema total MA'!C10*C10,0)</f>
        <v>3.7228413602706807</v>
      </c>
      <c r="F10" s="246">
        <v>52442475.104105003</v>
      </c>
      <c r="G10" s="247">
        <v>66715794.531769998</v>
      </c>
      <c r="H10" s="125">
        <f t="shared" ref="H10:H12" si="3">IF(F10=0, "    ---- ", IF(ABS(ROUND(100/F10*G10-100,1))&lt;999,ROUND(100/F10*G10-100,1),IF(ROUND(100/F10*G10-100,1)&gt;999,999,-999)))</f>
        <v>27.2</v>
      </c>
      <c r="I10" s="118">
        <f>IFERROR(100/'Skjema total MA'!F10*G10,0)</f>
        <v>65.565376938802459</v>
      </c>
      <c r="J10" s="244">
        <f t="shared" si="0"/>
        <v>53012047.286195055</v>
      </c>
      <c r="K10" s="245">
        <f t="shared" si="0"/>
        <v>67285320.15628697</v>
      </c>
      <c r="L10" s="339">
        <f t="shared" ref="L10:L12" si="4">IF(J10=0, "    ---- ", IF(ABS(ROUND(100/J10*K10-100,1))&lt;999,ROUND(100/J10*K10-100,1),IF(ROUND(100/J10*K10-100,1)&gt;999,999,-999)))</f>
        <v>26.9</v>
      </c>
      <c r="M10" s="8">
        <f>IFERROR(100/'Skjema total MA'!I10*K10,0)</f>
        <v>57.48290164707155</v>
      </c>
    </row>
    <row r="11" spans="1:14" s="35" customFormat="1" ht="15.75" x14ac:dyDescent="0.2">
      <c r="A11" s="10" t="s">
        <v>387</v>
      </c>
      <c r="B11" s="246"/>
      <c r="C11" s="247"/>
      <c r="D11" s="125"/>
      <c r="E11" s="8"/>
      <c r="F11" s="246">
        <v>86023.286479999995</v>
      </c>
      <c r="G11" s="247">
        <v>122041.28401</v>
      </c>
      <c r="H11" s="125">
        <f t="shared" si="3"/>
        <v>41.9</v>
      </c>
      <c r="I11" s="118">
        <f>IFERROR(100/'Skjema total MA'!F11*G11,0)</f>
        <v>30.828677867061252</v>
      </c>
      <c r="J11" s="244">
        <f t="shared" si="0"/>
        <v>86023.286479999995</v>
      </c>
      <c r="K11" s="245">
        <f t="shared" si="0"/>
        <v>122041.28401</v>
      </c>
      <c r="L11" s="339">
        <f t="shared" si="4"/>
        <v>41.9</v>
      </c>
      <c r="M11" s="8">
        <f>IFERROR(100/'Skjema total MA'!I11*K11,0)</f>
        <v>30.710991123805343</v>
      </c>
      <c r="N11" s="107"/>
    </row>
    <row r="12" spans="1:14" s="35" customFormat="1" ht="15.75" x14ac:dyDescent="0.2">
      <c r="A12" s="33" t="s">
        <v>388</v>
      </c>
      <c r="B12" s="248"/>
      <c r="C12" s="249"/>
      <c r="D12" s="123"/>
      <c r="E12" s="30"/>
      <c r="F12" s="248">
        <v>79919.305770000006</v>
      </c>
      <c r="G12" s="249">
        <v>88930.62444</v>
      </c>
      <c r="H12" s="123">
        <f t="shared" si="3"/>
        <v>11.3</v>
      </c>
      <c r="I12" s="123">
        <f>IFERROR(100/'Skjema total MA'!F12*G12,0)</f>
        <v>22.792631477449127</v>
      </c>
      <c r="J12" s="250">
        <f t="shared" si="0"/>
        <v>79919.305770000006</v>
      </c>
      <c r="K12" s="251">
        <f t="shared" si="0"/>
        <v>88930.62444</v>
      </c>
      <c r="L12" s="340">
        <f t="shared" si="4"/>
        <v>11.3</v>
      </c>
      <c r="M12" s="30">
        <f>IFERROR(100/'Skjema total MA'!I12*K12,0)</f>
        <v>22.70076317008709</v>
      </c>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222647.77828063301</v>
      </c>
      <c r="C22" s="246">
        <v>246502.124024716</v>
      </c>
      <c r="D22" s="278">
        <f t="shared" ref="D22:D34" si="5">IF(B22=0, "    ---- ", IF(ABS(ROUND(100/B22*C22-100,1))&lt;999,ROUND(100/B22*C22-100,1),IF(ROUND(100/B22*C22-100,1)&gt;999,999,-999)))</f>
        <v>10.7</v>
      </c>
      <c r="E22" s="8">
        <f>IFERROR(100/'Skjema total MA'!C22*C22,0)</f>
        <v>10.121689034765241</v>
      </c>
      <c r="F22" s="254">
        <v>241070.06727999999</v>
      </c>
      <c r="G22" s="254">
        <v>261737.20783999999</v>
      </c>
      <c r="H22" s="278">
        <f t="shared" ref="H22:H35" si="6">IF(F22=0, "    ---- ", IF(ABS(ROUND(100/F22*G22-100,1))&lt;999,ROUND(100/F22*G22-100,1),IF(ROUND(100/F22*G22-100,1)&gt;999,999,-999)))</f>
        <v>8.6</v>
      </c>
      <c r="I22" s="8">
        <f>IFERROR(100/'Skjema total MA'!F22*G22,0)</f>
        <v>25.656918039319777</v>
      </c>
      <c r="J22" s="252">
        <f t="shared" ref="J22:K35" si="7">SUM(B22,F22)</f>
        <v>463717.845560633</v>
      </c>
      <c r="K22" s="252">
        <f t="shared" si="7"/>
        <v>508239.33186471602</v>
      </c>
      <c r="L22" s="338">
        <f t="shared" ref="L22:L35" si="8">IF(J22=0, "    ---- ", IF(ABS(ROUND(100/J22*K22-100,1))&lt;999,ROUND(100/J22*K22-100,1),IF(ROUND(100/J22*K22-100,1)&gt;999,999,-999)))</f>
        <v>9.6</v>
      </c>
      <c r="M22" s="21">
        <f>IFERROR(100/'Skjema total MA'!I22*K22,0)</f>
        <v>14.708007516684399</v>
      </c>
    </row>
    <row r="23" spans="1:13" ht="15.75" x14ac:dyDescent="0.2">
      <c r="A23" s="379" t="s">
        <v>389</v>
      </c>
      <c r="B23" s="219">
        <v>222449.20128063299</v>
      </c>
      <c r="C23" s="219">
        <v>246343.85702471601</v>
      </c>
      <c r="D23" s="121">
        <f t="shared" si="5"/>
        <v>10.7</v>
      </c>
      <c r="E23" s="8">
        <f>IFERROR(100/'Skjema total MA'!C23*C23,0)</f>
        <v>17.029712267927763</v>
      </c>
      <c r="F23" s="228">
        <v>2250.3919999999998</v>
      </c>
      <c r="G23" s="228">
        <v>1879.8749399999999</v>
      </c>
      <c r="H23" s="121">
        <f t="shared" si="6"/>
        <v>-16.5</v>
      </c>
      <c r="I23" s="331">
        <f>IFERROR(100/'Skjema total MA'!F23*G23,0)</f>
        <v>3.9349132368574025</v>
      </c>
      <c r="J23" s="228">
        <f t="shared" ref="J23:J26" si="9">SUM(B23,F23)</f>
        <v>224699.59328063298</v>
      </c>
      <c r="K23" s="228">
        <f t="shared" ref="K23:K26" si="10">SUM(C23,G23)</f>
        <v>248223.73196471602</v>
      </c>
      <c r="L23" s="121">
        <f t="shared" si="8"/>
        <v>10.5</v>
      </c>
      <c r="M23" s="20">
        <f>IFERROR(100/'Skjema total MA'!I23*K23,0)</f>
        <v>16.611066362683303</v>
      </c>
    </row>
    <row r="24" spans="1:13" ht="15.75" x14ac:dyDescent="0.2">
      <c r="A24" s="379" t="s">
        <v>390</v>
      </c>
      <c r="B24" s="219">
        <v>198.577</v>
      </c>
      <c r="C24" s="219">
        <v>158.267</v>
      </c>
      <c r="D24" s="121">
        <f t="shared" si="5"/>
        <v>-20.3</v>
      </c>
      <c r="E24" s="8">
        <f>IFERROR(100/'Skjema total MA'!C24*C24,0)</f>
        <v>1.3286363879209284</v>
      </c>
      <c r="F24" s="228"/>
      <c r="G24" s="228"/>
      <c r="H24" s="121"/>
      <c r="I24" s="331"/>
      <c r="J24" s="228">
        <f t="shared" si="9"/>
        <v>198.577</v>
      </c>
      <c r="K24" s="228">
        <f t="shared" si="10"/>
        <v>158.267</v>
      </c>
      <c r="L24" s="121">
        <f t="shared" si="8"/>
        <v>-20.3</v>
      </c>
      <c r="M24" s="20">
        <f>IFERROR(100/'Skjema total MA'!I24*K24,0)</f>
        <v>1.2250508904395121</v>
      </c>
    </row>
    <row r="25" spans="1:13" ht="15.75" x14ac:dyDescent="0.2">
      <c r="A25" s="379" t="s">
        <v>391</v>
      </c>
      <c r="B25" s="219"/>
      <c r="C25" s="219"/>
      <c r="D25" s="121"/>
      <c r="E25" s="8"/>
      <c r="F25" s="228">
        <v>903.495</v>
      </c>
      <c r="G25" s="228">
        <v>785.71500000000003</v>
      </c>
      <c r="H25" s="121">
        <f t="shared" si="6"/>
        <v>-13</v>
      </c>
      <c r="I25" s="331">
        <f>IFERROR(100/'Skjema total MA'!F25*G25,0)</f>
        <v>5.2434807900736971</v>
      </c>
      <c r="J25" s="228">
        <f t="shared" si="9"/>
        <v>903.495</v>
      </c>
      <c r="K25" s="228">
        <f t="shared" si="10"/>
        <v>785.71500000000003</v>
      </c>
      <c r="L25" s="121">
        <f t="shared" si="8"/>
        <v>-13</v>
      </c>
      <c r="M25" s="20">
        <f>IFERROR(100/'Skjema total MA'!I25*K25,0)</f>
        <v>2.1985048147035795</v>
      </c>
    </row>
    <row r="26" spans="1:13" ht="15.75" x14ac:dyDescent="0.2">
      <c r="A26" s="379" t="s">
        <v>392</v>
      </c>
      <c r="B26" s="219"/>
      <c r="C26" s="219"/>
      <c r="D26" s="121"/>
      <c r="E26" s="8"/>
      <c r="F26" s="228">
        <v>237916.18028</v>
      </c>
      <c r="G26" s="228">
        <v>259071.61790000001</v>
      </c>
      <c r="H26" s="121">
        <f t="shared" si="6"/>
        <v>8.9</v>
      </c>
      <c r="I26" s="331">
        <f>IFERROR(100/'Skjema total MA'!F26*G26,0)</f>
        <v>27.088866365508803</v>
      </c>
      <c r="J26" s="228">
        <f t="shared" si="9"/>
        <v>237916.18028</v>
      </c>
      <c r="K26" s="228">
        <f t="shared" si="10"/>
        <v>259071.61790000001</v>
      </c>
      <c r="L26" s="121">
        <f t="shared" si="8"/>
        <v>8.9</v>
      </c>
      <c r="M26" s="20">
        <f>IFERROR(100/'Skjema total MA'!I26*K26,0)</f>
        <v>27.088866365508803</v>
      </c>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230504.33563208001</v>
      </c>
      <c r="C28" s="225">
        <v>255267.208642502</v>
      </c>
      <c r="D28" s="121">
        <f t="shared" si="5"/>
        <v>10.7</v>
      </c>
      <c r="E28" s="8">
        <f>IFERROR(100/'Skjema total MA'!C28*C28,0)</f>
        <v>8.9313919127253296</v>
      </c>
      <c r="F28" s="178"/>
      <c r="G28" s="225"/>
      <c r="H28" s="121"/>
      <c r="I28" s="23"/>
      <c r="J28" s="36">
        <f t="shared" si="7"/>
        <v>230504.33563208001</v>
      </c>
      <c r="K28" s="36">
        <f t="shared" si="7"/>
        <v>255267.208642502</v>
      </c>
      <c r="L28" s="198">
        <f t="shared" si="8"/>
        <v>10.7</v>
      </c>
      <c r="M28" s="20">
        <f>IFERROR(100/'Skjema total MA'!I28*K28,0)</f>
        <v>8.9313919127253296</v>
      </c>
    </row>
    <row r="29" spans="1:13" ht="15.75" x14ac:dyDescent="0.2">
      <c r="A29" s="10" t="s">
        <v>386</v>
      </c>
      <c r="B29" s="180">
        <v>3973274.1310044099</v>
      </c>
      <c r="C29" s="180">
        <v>4074426.3478846201</v>
      </c>
      <c r="D29" s="125">
        <f t="shared" si="5"/>
        <v>2.5</v>
      </c>
      <c r="E29" s="8">
        <f>IFERROR(100/'Skjema total MA'!C29*C29,0)</f>
        <v>9.3576628296012974</v>
      </c>
      <c r="F29" s="244">
        <v>5946876.6500000004</v>
      </c>
      <c r="G29" s="244">
        <v>7001668.0599999996</v>
      </c>
      <c r="H29" s="125">
        <f t="shared" si="6"/>
        <v>17.7</v>
      </c>
      <c r="I29" s="8">
        <f>IFERROR(100/'Skjema total MA'!F29*G29,0)</f>
        <v>23.583645881576626</v>
      </c>
      <c r="J29" s="180">
        <f t="shared" si="7"/>
        <v>9920150.7810044102</v>
      </c>
      <c r="K29" s="180">
        <f t="shared" si="7"/>
        <v>11076094.40788462</v>
      </c>
      <c r="L29" s="339">
        <f t="shared" si="8"/>
        <v>11.7</v>
      </c>
      <c r="M29" s="21">
        <f>IFERROR(100/'Skjema total MA'!I29*K29,0)</f>
        <v>15.12513419826724</v>
      </c>
    </row>
    <row r="30" spans="1:13" ht="15.75" x14ac:dyDescent="0.2">
      <c r="A30" s="379" t="s">
        <v>389</v>
      </c>
      <c r="B30" s="219">
        <v>482956.55381861603</v>
      </c>
      <c r="C30" s="219">
        <v>440654.20196842198</v>
      </c>
      <c r="D30" s="121">
        <f t="shared" si="5"/>
        <v>-8.8000000000000007</v>
      </c>
      <c r="E30" s="8">
        <f>IFERROR(100/'Skjema total MA'!C30*C30,0)</f>
        <v>2.4546107556428702</v>
      </c>
      <c r="F30" s="228">
        <v>373107.43108531</v>
      </c>
      <c r="G30" s="228">
        <v>385446.01113067201</v>
      </c>
      <c r="H30" s="121">
        <f t="shared" si="6"/>
        <v>3.3</v>
      </c>
      <c r="I30" s="331">
        <f>IFERROR(100/'Skjema total MA'!F30*G30,0)</f>
        <v>10.193715285787844</v>
      </c>
      <c r="J30" s="228">
        <f t="shared" ref="J30:J33" si="11">SUM(B30,F30)</f>
        <v>856063.98490392603</v>
      </c>
      <c r="K30" s="228">
        <f t="shared" ref="K30:K33" si="12">SUM(C30,G30)</f>
        <v>826100.21309909399</v>
      </c>
      <c r="L30" s="121">
        <f t="shared" si="8"/>
        <v>-3.5</v>
      </c>
      <c r="M30" s="20">
        <f>IFERROR(100/'Skjema total MA'!I30*K30,0)</f>
        <v>3.8010781129192672</v>
      </c>
    </row>
    <row r="31" spans="1:13" ht="15.75" x14ac:dyDescent="0.2">
      <c r="A31" s="379" t="s">
        <v>390</v>
      </c>
      <c r="B31" s="219">
        <v>2672969.97877745</v>
      </c>
      <c r="C31" s="219">
        <v>2686045.2317179199</v>
      </c>
      <c r="D31" s="121">
        <f t="shared" si="5"/>
        <v>0.5</v>
      </c>
      <c r="E31" s="8">
        <f>IFERROR(100/'Skjema total MA'!C31*C31,0)</f>
        <v>11.613205038587523</v>
      </c>
      <c r="F31" s="228">
        <v>668314.98753327504</v>
      </c>
      <c r="G31" s="228">
        <v>676003.30259985896</v>
      </c>
      <c r="H31" s="121">
        <f t="shared" si="6"/>
        <v>1.2</v>
      </c>
      <c r="I31" s="331">
        <f>IFERROR(100/'Skjema total MA'!F31*G31,0)</f>
        <v>8.8865611988573558</v>
      </c>
      <c r="J31" s="228">
        <f t="shared" si="11"/>
        <v>3341284.9663107251</v>
      </c>
      <c r="K31" s="228">
        <f t="shared" si="12"/>
        <v>3362048.5343177789</v>
      </c>
      <c r="L31" s="121">
        <f t="shared" si="8"/>
        <v>0.6</v>
      </c>
      <c r="M31" s="20">
        <f>IFERROR(100/'Skjema total MA'!I31*K31,0)</f>
        <v>10.938378046651145</v>
      </c>
    </row>
    <row r="32" spans="1:13" ht="15.75" x14ac:dyDescent="0.2">
      <c r="A32" s="379" t="s">
        <v>391</v>
      </c>
      <c r="B32" s="219">
        <v>817347.59840834502</v>
      </c>
      <c r="C32" s="219">
        <v>947726.91419827798</v>
      </c>
      <c r="D32" s="121">
        <f t="shared" si="5"/>
        <v>16</v>
      </c>
      <c r="E32" s="8">
        <f>IFERROR(100/'Skjema total MA'!C32*C32,0)</f>
        <v>40.905737268271224</v>
      </c>
      <c r="F32" s="228">
        <v>2466549.8198286602</v>
      </c>
      <c r="G32" s="228">
        <v>2799374.7994632702</v>
      </c>
      <c r="H32" s="121">
        <f t="shared" si="6"/>
        <v>13.5</v>
      </c>
      <c r="I32" s="331">
        <f>IFERROR(100/'Skjema total MA'!F32*G32,0)</f>
        <v>40.732008942003354</v>
      </c>
      <c r="J32" s="228">
        <f t="shared" si="11"/>
        <v>3283897.4182370054</v>
      </c>
      <c r="K32" s="228">
        <f t="shared" si="12"/>
        <v>3747101.7136615482</v>
      </c>
      <c r="L32" s="121">
        <f t="shared" si="8"/>
        <v>14.1</v>
      </c>
      <c r="M32" s="20">
        <f>IFERROR(100/'Skjema total MA'!I32*K32,0)</f>
        <v>40.77580920635458</v>
      </c>
    </row>
    <row r="33" spans="1:13" ht="15.75" x14ac:dyDescent="0.2">
      <c r="A33" s="379" t="s">
        <v>392</v>
      </c>
      <c r="B33" s="219"/>
      <c r="C33" s="219"/>
      <c r="D33" s="121"/>
      <c r="E33" s="8"/>
      <c r="F33" s="228">
        <v>2438904.4115527598</v>
      </c>
      <c r="G33" s="228">
        <v>3140843.9468061998</v>
      </c>
      <c r="H33" s="121">
        <f t="shared" si="6"/>
        <v>28.8</v>
      </c>
      <c r="I33" s="331">
        <f>IFERROR(100/'Skjema total MA'!F33*G33,0)</f>
        <v>27.484356888550771</v>
      </c>
      <c r="J33" s="228">
        <f t="shared" si="11"/>
        <v>2438904.4115527598</v>
      </c>
      <c r="K33" s="228">
        <f t="shared" si="12"/>
        <v>3140843.9468061998</v>
      </c>
      <c r="L33" s="121">
        <f t="shared" si="8"/>
        <v>28.8</v>
      </c>
      <c r="M33" s="20">
        <f>IFERROR(100/'Skjema total MA'!I33*K33,0)</f>
        <v>27.484356888550771</v>
      </c>
    </row>
    <row r="34" spans="1:13" ht="15.75" x14ac:dyDescent="0.2">
      <c r="A34" s="10" t="s">
        <v>387</v>
      </c>
      <c r="B34" s="180">
        <v>753.56042000000002</v>
      </c>
      <c r="C34" s="245">
        <v>33238.263740000002</v>
      </c>
      <c r="D34" s="125">
        <f t="shared" si="5"/>
        <v>999</v>
      </c>
      <c r="E34" s="8">
        <f>IFERROR(100/'Skjema total MA'!C34*C34,0)</f>
        <v>68.75591143744073</v>
      </c>
      <c r="F34" s="244">
        <v>29922.399799999999</v>
      </c>
      <c r="G34" s="245">
        <v>54751.551339999998</v>
      </c>
      <c r="H34" s="125">
        <f t="shared" si="6"/>
        <v>83</v>
      </c>
      <c r="I34" s="8">
        <f>IFERROR(100/'Skjema total MA'!F34*G34,0)</f>
        <v>-12.847971242342171</v>
      </c>
      <c r="J34" s="180">
        <f t="shared" si="7"/>
        <v>30675.960220000001</v>
      </c>
      <c r="K34" s="180">
        <f t="shared" si="7"/>
        <v>87989.81508</v>
      </c>
      <c r="L34" s="339">
        <f t="shared" si="8"/>
        <v>186.8</v>
      </c>
      <c r="M34" s="21">
        <f>IFERROR(100/'Skjema total MA'!I34*K34,0)</f>
        <v>-23.289621147050681</v>
      </c>
    </row>
    <row r="35" spans="1:13" ht="15.75" x14ac:dyDescent="0.2">
      <c r="A35" s="10" t="s">
        <v>388</v>
      </c>
      <c r="B35" s="180"/>
      <c r="C35" s="245"/>
      <c r="D35" s="125"/>
      <c r="E35" s="8"/>
      <c r="F35" s="244">
        <v>33663.479700000004</v>
      </c>
      <c r="G35" s="245">
        <v>52959.443270000003</v>
      </c>
      <c r="H35" s="125">
        <f t="shared" si="6"/>
        <v>57.3</v>
      </c>
      <c r="I35" s="8">
        <f>IFERROR(100/'Skjema total MA'!F35*G35,0)</f>
        <v>24.328201423254747</v>
      </c>
      <c r="J35" s="180">
        <f t="shared" si="7"/>
        <v>33663.479700000004</v>
      </c>
      <c r="K35" s="180">
        <f t="shared" si="7"/>
        <v>52959.443270000003</v>
      </c>
      <c r="L35" s="339">
        <f t="shared" si="8"/>
        <v>57.3</v>
      </c>
      <c r="M35" s="21">
        <f>IFERROR(100/'Skjema total MA'!I35*K35,0)</f>
        <v>-13.820273380557035</v>
      </c>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c r="C47" s="247"/>
      <c r="D47" s="338"/>
      <c r="E47" s="8"/>
      <c r="F47" s="109"/>
      <c r="G47" s="27"/>
      <c r="H47" s="117"/>
      <c r="I47" s="117"/>
      <c r="J47" s="31"/>
      <c r="K47" s="31"/>
      <c r="L47" s="117"/>
      <c r="M47" s="117"/>
    </row>
    <row r="48" spans="1:13" ht="15.75" x14ac:dyDescent="0.2">
      <c r="A48" s="18" t="s">
        <v>397</v>
      </c>
      <c r="B48" s="219"/>
      <c r="C48" s="220"/>
      <c r="D48" s="198"/>
      <c r="E48" s="23"/>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v>1011014</v>
      </c>
      <c r="C66" s="281">
        <v>990522</v>
      </c>
      <c r="D66" s="278">
        <f t="shared" ref="D66:D109" si="13">IF(B66=0, "    ---- ", IF(ABS(ROUND(100/B66*C66-100,1))&lt;999,ROUND(100/B66*C66-100,1),IF(ROUND(100/B66*C66-100,1)&gt;999,999,-999)))</f>
        <v>-2</v>
      </c>
      <c r="E66" s="8">
        <f>IFERROR(100/'Skjema total MA'!C66*C66,0)</f>
        <v>11.233873316192719</v>
      </c>
      <c r="F66" s="280">
        <v>8121993.8776958771</v>
      </c>
      <c r="G66" s="280">
        <v>8688430.5370000005</v>
      </c>
      <c r="H66" s="278">
        <f t="shared" ref="H66:H111" si="14">IF(F66=0, "    ---- ", IF(ABS(ROUND(100/F66*G66-100,1))&lt;999,ROUND(100/F66*G66-100,1),IF(ROUND(100/F66*G66-100,1)&gt;999,999,-999)))</f>
        <v>7</v>
      </c>
      <c r="I66" s="8">
        <f>IFERROR(100/'Skjema total MA'!F66*G66,0)</f>
        <v>15.877953680206387</v>
      </c>
      <c r="J66" s="245">
        <f t="shared" ref="J66:K86" si="15">SUM(B66,F66)</f>
        <v>9133007.8776958771</v>
      </c>
      <c r="K66" s="252">
        <f t="shared" si="15"/>
        <v>9678952.5370000005</v>
      </c>
      <c r="L66" s="339">
        <f t="shared" ref="L66:L111" si="16">IF(J66=0, "    ---- ", IF(ABS(ROUND(100/J66*K66-100,1))&lt;999,ROUND(100/J66*K66-100,1),IF(ROUND(100/J66*K66-100,1)&gt;999,999,-999)))</f>
        <v>6</v>
      </c>
      <c r="M66" s="8">
        <f>IFERROR(100/'Skjema total MA'!I66*K66,0)</f>
        <v>15.233480126747722</v>
      </c>
    </row>
    <row r="67" spans="1:13" x14ac:dyDescent="0.2">
      <c r="A67" s="39" t="s">
        <v>9</v>
      </c>
      <c r="B67" s="36">
        <v>585552.02480456</v>
      </c>
      <c r="C67" s="109">
        <v>501506.25526459003</v>
      </c>
      <c r="D67" s="121">
        <f t="shared" si="13"/>
        <v>-14.4</v>
      </c>
      <c r="E67" s="23">
        <f>IFERROR(100/'Skjema total MA'!C67*C67,0)</f>
        <v>10.564846925597303</v>
      </c>
      <c r="F67" s="178"/>
      <c r="G67" s="109"/>
      <c r="H67" s="121"/>
      <c r="I67" s="23"/>
      <c r="J67" s="225">
        <f t="shared" si="15"/>
        <v>585552.02480456</v>
      </c>
      <c r="K67" s="36">
        <f t="shared" si="15"/>
        <v>501506.25526459003</v>
      </c>
      <c r="L67" s="198">
        <f t="shared" si="16"/>
        <v>-14.4</v>
      </c>
      <c r="M67" s="23">
        <f>IFERROR(100/'Skjema total MA'!I67*K67,0)</f>
        <v>10.564846925597303</v>
      </c>
    </row>
    <row r="68" spans="1:13" x14ac:dyDescent="0.2">
      <c r="A68" s="18" t="s">
        <v>10</v>
      </c>
      <c r="B68" s="230">
        <v>1287</v>
      </c>
      <c r="C68" s="231">
        <v>651</v>
      </c>
      <c r="D68" s="121">
        <f t="shared" si="13"/>
        <v>-49.4</v>
      </c>
      <c r="E68" s="23">
        <f>IFERROR(100/'Skjema total MA'!C68*C68,0)</f>
        <v>2.1835566126855626</v>
      </c>
      <c r="F68" s="230">
        <v>8121993.8776958771</v>
      </c>
      <c r="G68" s="231">
        <v>8688430.5370000005</v>
      </c>
      <c r="H68" s="121">
        <f t="shared" si="14"/>
        <v>7</v>
      </c>
      <c r="I68" s="23">
        <f>IFERROR(100/'Skjema total MA'!F68*G68,0)</f>
        <v>16.51327997054225</v>
      </c>
      <c r="J68" s="225">
        <f t="shared" si="15"/>
        <v>8123280.8776958771</v>
      </c>
      <c r="K68" s="36">
        <f t="shared" si="15"/>
        <v>8689081.5370000005</v>
      </c>
      <c r="L68" s="198">
        <f t="shared" si="16"/>
        <v>7</v>
      </c>
      <c r="M68" s="23">
        <f>IFERROR(100/'Skjema total MA'!I68*K68,0)</f>
        <v>16.505164749948914</v>
      </c>
    </row>
    <row r="69" spans="1:13" ht="15.75" x14ac:dyDescent="0.2">
      <c r="A69" s="234" t="s">
        <v>401</v>
      </c>
      <c r="B69" s="219">
        <v>653</v>
      </c>
      <c r="C69" s="219">
        <v>318</v>
      </c>
      <c r="D69" s="121">
        <f t="shared" ref="D69" si="17">IF(B69=0, "    ---- ", IF(ABS(ROUND(100/B69*C69-100,1))&lt;999,ROUND(100/B69*C69-100,1),IF(ROUND(100/B69*C69-100,1)&gt;999,999,-999)))</f>
        <v>-51.3</v>
      </c>
      <c r="E69" s="23">
        <f>IFERROR(100/'Skjema total MA'!C69*C69,0)</f>
        <v>100</v>
      </c>
      <c r="F69" s="219">
        <v>2593.43569588024</v>
      </c>
      <c r="G69" s="219">
        <v>2524.7269999999999</v>
      </c>
      <c r="H69" s="121">
        <f t="shared" si="14"/>
        <v>-2.6</v>
      </c>
      <c r="I69" s="331">
        <f>IFERROR(100/'Skjema total MA'!F69*G69,0)</f>
        <v>100</v>
      </c>
      <c r="J69" s="225">
        <f t="shared" si="15"/>
        <v>3246.43569588024</v>
      </c>
      <c r="K69" s="36">
        <f t="shared" si="15"/>
        <v>2842.7269999999999</v>
      </c>
      <c r="L69" s="198">
        <f t="shared" ref="L69" si="18">IF(J69=0, "    ---- ", IF(ABS(ROUND(100/J69*K69-100,1))&lt;999,ROUND(100/J69*K69-100,1),IF(ROUND(100/J69*K69-100,1)&gt;999,999,-999)))</f>
        <v>-12.4</v>
      </c>
      <c r="M69" s="20">
        <f>IFERROR(100/'Skjema total MA'!I69*K69,0)</f>
        <v>99.999999999999986</v>
      </c>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v>2593.43569588024</v>
      </c>
      <c r="G71" s="219">
        <v>2524.7269999999999</v>
      </c>
      <c r="H71" s="121">
        <f t="shared" si="14"/>
        <v>-2.6</v>
      </c>
      <c r="I71" s="331">
        <f>IFERROR(100/'Skjema total MA'!F71*G71,0)</f>
        <v>100</v>
      </c>
      <c r="J71" s="225">
        <f t="shared" ref="J71:J74" si="19">SUM(B71,F71)</f>
        <v>2593.43569588024</v>
      </c>
      <c r="K71" s="36">
        <f t="shared" ref="K71:K74" si="20">SUM(C71,G71)</f>
        <v>2524.7269999999999</v>
      </c>
      <c r="L71" s="198">
        <f t="shared" ref="L71:L74" si="21">IF(J71=0, "    ---- ", IF(ABS(ROUND(100/J71*K71-100,1))&lt;999,ROUND(100/J71*K71-100,1),IF(ROUND(100/J71*K71-100,1)&gt;999,999,-999)))</f>
        <v>-2.6</v>
      </c>
      <c r="M71" s="20">
        <f>IFERROR(100/'Skjema total MA'!I71*K71,0)</f>
        <v>100</v>
      </c>
    </row>
    <row r="72" spans="1:13" ht="15.75" x14ac:dyDescent="0.2">
      <c r="A72" s="234" t="s">
        <v>402</v>
      </c>
      <c r="B72" s="219">
        <v>634</v>
      </c>
      <c r="C72" s="219">
        <v>333</v>
      </c>
      <c r="D72" s="121">
        <f t="shared" ref="D72" si="22">IF(B72=0, "    ---- ", IF(ABS(ROUND(100/B72*C72-100,1))&lt;999,ROUND(100/B72*C72-100,1),IF(ROUND(100/B72*C72-100,1)&gt;999,999,-999)))</f>
        <v>-47.5</v>
      </c>
      <c r="E72" s="23">
        <f>IFERROR(100/'Skjema total MA'!C72*C72,0)</f>
        <v>1.1289764005818306</v>
      </c>
      <c r="F72" s="219">
        <v>8119400.441999997</v>
      </c>
      <c r="G72" s="219">
        <v>8685905.8100000005</v>
      </c>
      <c r="H72" s="121">
        <f t="shared" si="14"/>
        <v>7</v>
      </c>
      <c r="I72" s="331">
        <f>IFERROR(100/'Skjema total MA'!F72*G72,0)</f>
        <v>16.509273659402968</v>
      </c>
      <c r="J72" s="225">
        <f t="shared" si="19"/>
        <v>8120034.441999997</v>
      </c>
      <c r="K72" s="36">
        <f t="shared" si="20"/>
        <v>8686238.8100000005</v>
      </c>
      <c r="L72" s="198">
        <f t="shared" si="21"/>
        <v>7</v>
      </c>
      <c r="M72" s="20">
        <f>IFERROR(100/'Skjema total MA'!I72*K72,0)</f>
        <v>16.50065591633166</v>
      </c>
    </row>
    <row r="73" spans="1:13" x14ac:dyDescent="0.2">
      <c r="A73" s="234" t="s">
        <v>12</v>
      </c>
      <c r="B73" s="179"/>
      <c r="C73" s="227"/>
      <c r="D73" s="121"/>
      <c r="E73" s="331"/>
      <c r="F73" s="219">
        <v>13.475103297704001</v>
      </c>
      <c r="G73" s="219">
        <v>0</v>
      </c>
      <c r="H73" s="121">
        <f t="shared" si="14"/>
        <v>-100</v>
      </c>
      <c r="I73" s="331">
        <f>IFERROR(100/'Skjema total MA'!F73*G73,0)</f>
        <v>0</v>
      </c>
      <c r="J73" s="225">
        <f t="shared" si="19"/>
        <v>13.475103297704001</v>
      </c>
      <c r="K73" s="36">
        <f t="shared" si="20"/>
        <v>0</v>
      </c>
      <c r="L73" s="198">
        <f t="shared" si="21"/>
        <v>-100</v>
      </c>
      <c r="M73" s="20">
        <f>IFERROR(100/'Skjema total MA'!I73*K73,0)</f>
        <v>0</v>
      </c>
    </row>
    <row r="74" spans="1:13" x14ac:dyDescent="0.2">
      <c r="A74" s="234" t="s">
        <v>13</v>
      </c>
      <c r="B74" s="179"/>
      <c r="C74" s="227"/>
      <c r="D74" s="121"/>
      <c r="E74" s="331"/>
      <c r="F74" s="219">
        <v>8119386.9668966997</v>
      </c>
      <c r="G74" s="219">
        <v>8685905.8100000005</v>
      </c>
      <c r="H74" s="121">
        <f t="shared" si="14"/>
        <v>7</v>
      </c>
      <c r="I74" s="331">
        <f>IFERROR(100/'Skjema total MA'!F74*G74,0)</f>
        <v>16.509273659402968</v>
      </c>
      <c r="J74" s="225">
        <f t="shared" si="19"/>
        <v>8119386.9668966997</v>
      </c>
      <c r="K74" s="36">
        <f t="shared" si="20"/>
        <v>8685905.8100000005</v>
      </c>
      <c r="L74" s="198">
        <f t="shared" si="21"/>
        <v>7</v>
      </c>
      <c r="M74" s="20">
        <f>IFERROR(100/'Skjema total MA'!I74*K74,0)</f>
        <v>16.509273659402968</v>
      </c>
    </row>
    <row r="75" spans="1:13" x14ac:dyDescent="0.2">
      <c r="A75" s="18" t="s">
        <v>308</v>
      </c>
      <c r="B75" s="178"/>
      <c r="C75" s="109"/>
      <c r="D75" s="121"/>
      <c r="E75" s="23"/>
      <c r="F75" s="178"/>
      <c r="G75" s="109"/>
      <c r="H75" s="121"/>
      <c r="I75" s="23"/>
      <c r="J75" s="225"/>
      <c r="K75" s="36"/>
      <c r="L75" s="198"/>
      <c r="M75" s="23"/>
    </row>
    <row r="76" spans="1:13" x14ac:dyDescent="0.2">
      <c r="A76" s="18" t="s">
        <v>307</v>
      </c>
      <c r="B76" s="178">
        <v>424174.97519544</v>
      </c>
      <c r="C76" s="109">
        <v>488364.74473540997</v>
      </c>
      <c r="D76" s="121">
        <f t="shared" ref="D76" si="23">IF(B76=0, "    ---- ", IF(ABS(ROUND(100/B76*C76-100,1))&lt;999,ROUND(100/B76*C76-100,1),IF(ROUND(100/B76*C76-100,1)&gt;999,999,-999)))</f>
        <v>15.1</v>
      </c>
      <c r="E76" s="23">
        <f>IFERROR(100/'Skjema total MA'!C77*C76,0)</f>
        <v>10.431084871174258</v>
      </c>
      <c r="F76" s="178"/>
      <c r="G76" s="109"/>
      <c r="H76" s="121"/>
      <c r="I76" s="23"/>
      <c r="J76" s="225">
        <f t="shared" ref="J76" si="24">SUM(B76,F76)</f>
        <v>424174.97519544</v>
      </c>
      <c r="K76" s="36">
        <f t="shared" ref="K76" si="25">SUM(C76,G76)</f>
        <v>488364.74473540997</v>
      </c>
      <c r="L76" s="198">
        <f t="shared" ref="L76" si="26">IF(J76=0, "    ---- ", IF(ABS(ROUND(100/J76*K76-100,1))&lt;999,ROUND(100/J76*K76-100,1),IF(ROUND(100/J76*K76-100,1)&gt;999,999,-999)))</f>
        <v>15.1</v>
      </c>
      <c r="M76" s="23">
        <f>IFERROR(100/'Skjema total MA'!I77*K76,0)</f>
        <v>0.85253800512653122</v>
      </c>
    </row>
    <row r="77" spans="1:13" ht="15.75" x14ac:dyDescent="0.2">
      <c r="A77" s="18" t="s">
        <v>403</v>
      </c>
      <c r="B77" s="178">
        <v>580300.39680455998</v>
      </c>
      <c r="C77" s="178">
        <v>495380.69026459003</v>
      </c>
      <c r="D77" s="121">
        <f t="shared" si="13"/>
        <v>-14.6</v>
      </c>
      <c r="E77" s="23">
        <f>IFERROR(100/'Skjema total MA'!C77*C77,0)</f>
        <v>10.580939921227191</v>
      </c>
      <c r="F77" s="178">
        <v>8119400.441999997</v>
      </c>
      <c r="G77" s="109">
        <v>8685905.8100000005</v>
      </c>
      <c r="H77" s="121">
        <f t="shared" si="14"/>
        <v>7</v>
      </c>
      <c r="I77" s="23">
        <f>IFERROR(100/'Skjema total MA'!F77*G77,0)</f>
        <v>16.512560049803351</v>
      </c>
      <c r="J77" s="225">
        <f t="shared" si="15"/>
        <v>8699700.8388045579</v>
      </c>
      <c r="K77" s="36">
        <f t="shared" si="15"/>
        <v>9181286.5002645906</v>
      </c>
      <c r="L77" s="198">
        <f t="shared" si="16"/>
        <v>5.5</v>
      </c>
      <c r="M77" s="23">
        <f>IFERROR(100/'Skjema total MA'!I77*K77,0)</f>
        <v>16.027765644040322</v>
      </c>
    </row>
    <row r="78" spans="1:13" x14ac:dyDescent="0.2">
      <c r="A78" s="18" t="s">
        <v>9</v>
      </c>
      <c r="B78" s="178">
        <v>579020.39680455998</v>
      </c>
      <c r="C78" s="109">
        <v>494729.69026459003</v>
      </c>
      <c r="D78" s="121">
        <f t="shared" si="13"/>
        <v>-14.6</v>
      </c>
      <c r="E78" s="23">
        <f>IFERROR(100/'Skjema total MA'!C78*C78,0)</f>
        <v>10.634756998247823</v>
      </c>
      <c r="F78" s="178"/>
      <c r="G78" s="109"/>
      <c r="H78" s="121"/>
      <c r="I78" s="23"/>
      <c r="J78" s="225">
        <f t="shared" si="15"/>
        <v>579020.39680455998</v>
      </c>
      <c r="K78" s="36">
        <f t="shared" si="15"/>
        <v>494729.69026459003</v>
      </c>
      <c r="L78" s="198">
        <f t="shared" si="16"/>
        <v>-14.6</v>
      </c>
      <c r="M78" s="23">
        <f>IFERROR(100/'Skjema total MA'!I78*K78,0)</f>
        <v>10.634756998247823</v>
      </c>
    </row>
    <row r="79" spans="1:13" x14ac:dyDescent="0.2">
      <c r="A79" s="18" t="s">
        <v>429</v>
      </c>
      <c r="B79" s="230">
        <v>1280</v>
      </c>
      <c r="C79" s="231">
        <v>651</v>
      </c>
      <c r="D79" s="121">
        <f t="shared" si="13"/>
        <v>-49.1</v>
      </c>
      <c r="E79" s="23">
        <f>IFERROR(100/'Skjema total MA'!C79*C79,0)</f>
        <v>2.1835566126855626</v>
      </c>
      <c r="F79" s="230">
        <v>8119400.441999997</v>
      </c>
      <c r="G79" s="231">
        <v>8685905.8100000005</v>
      </c>
      <c r="H79" s="121">
        <f t="shared" si="14"/>
        <v>7</v>
      </c>
      <c r="I79" s="23">
        <f>IFERROR(100/'Skjema total MA'!F79*G79,0)</f>
        <v>16.512560049803351</v>
      </c>
      <c r="J79" s="225">
        <f t="shared" si="15"/>
        <v>8120680.441999997</v>
      </c>
      <c r="K79" s="36">
        <f t="shared" si="15"/>
        <v>8686556.8100000005</v>
      </c>
      <c r="L79" s="198">
        <f t="shared" si="16"/>
        <v>7</v>
      </c>
      <c r="M79" s="23">
        <f>IFERROR(100/'Skjema total MA'!I79*K79,0)</f>
        <v>16.504443233204061</v>
      </c>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v>1280</v>
      </c>
      <c r="C83" s="219">
        <v>651</v>
      </c>
      <c r="D83" s="121">
        <f t="shared" ref="D83" si="27">IF(B83=0, "    ---- ", IF(ABS(ROUND(100/B83*C83-100,1))&lt;999,ROUND(100/B83*C83-100,1),IF(ROUND(100/B83*C83-100,1)&gt;999,999,-999)))</f>
        <v>-49.1</v>
      </c>
      <c r="E83" s="23">
        <f>IFERROR(100/'Skjema total MA'!C83*C83,0)</f>
        <v>2.1835566126855626</v>
      </c>
      <c r="F83" s="219">
        <v>8119400.441999997</v>
      </c>
      <c r="G83" s="219">
        <v>8685905.8100000005</v>
      </c>
      <c r="H83" s="121">
        <f t="shared" si="14"/>
        <v>7</v>
      </c>
      <c r="I83" s="331">
        <f>IFERROR(100/'Skjema total MA'!F83*G83,0)</f>
        <v>16.512560049803351</v>
      </c>
      <c r="J83" s="225">
        <f t="shared" ref="J83:J85" si="28">SUM(B83,F83)</f>
        <v>8120680.441999997</v>
      </c>
      <c r="K83" s="36">
        <f t="shared" ref="K83:K85" si="29">SUM(C83,G83)</f>
        <v>8686556.8100000005</v>
      </c>
      <c r="L83" s="198">
        <f t="shared" ref="L83:L85" si="30">IF(J83=0, "    ---- ", IF(ABS(ROUND(100/J83*K83-100,1))&lt;999,ROUND(100/J83*K83-100,1),IF(ROUND(100/J83*K83-100,1)&gt;999,999,-999)))</f>
        <v>7</v>
      </c>
      <c r="M83" s="20">
        <f>IFERROR(100/'Skjema total MA'!I83*K83,0)</f>
        <v>16.504443233204061</v>
      </c>
    </row>
    <row r="84" spans="1:13" x14ac:dyDescent="0.2">
      <c r="A84" s="234" t="s">
        <v>12</v>
      </c>
      <c r="B84" s="179"/>
      <c r="C84" s="227"/>
      <c r="D84" s="121"/>
      <c r="E84" s="331"/>
      <c r="F84" s="219">
        <v>13.475103297704001</v>
      </c>
      <c r="G84" s="219">
        <v>0</v>
      </c>
      <c r="H84" s="121">
        <f t="shared" si="14"/>
        <v>-100</v>
      </c>
      <c r="I84" s="331">
        <f>IFERROR(100/'Skjema total MA'!F84*G84,0)</f>
        <v>0</v>
      </c>
      <c r="J84" s="225">
        <f t="shared" si="28"/>
        <v>13.475103297704001</v>
      </c>
      <c r="K84" s="36">
        <f t="shared" si="29"/>
        <v>0</v>
      </c>
      <c r="L84" s="198">
        <f t="shared" si="30"/>
        <v>-100</v>
      </c>
      <c r="M84" s="20">
        <f>IFERROR(100/'Skjema total MA'!I84*K84,0)</f>
        <v>0</v>
      </c>
    </row>
    <row r="85" spans="1:13" x14ac:dyDescent="0.2">
      <c r="A85" s="234" t="s">
        <v>13</v>
      </c>
      <c r="B85" s="179"/>
      <c r="C85" s="227"/>
      <c r="D85" s="121"/>
      <c r="E85" s="331"/>
      <c r="F85" s="219">
        <v>8119386.9668966997</v>
      </c>
      <c r="G85" s="219">
        <v>8685905.8100000005</v>
      </c>
      <c r="H85" s="121">
        <f t="shared" si="14"/>
        <v>7</v>
      </c>
      <c r="I85" s="331">
        <f>IFERROR(100/'Skjema total MA'!F85*G85,0)</f>
        <v>16.512560049803351</v>
      </c>
      <c r="J85" s="225">
        <f t="shared" si="28"/>
        <v>8119386.9668966997</v>
      </c>
      <c r="K85" s="36">
        <f t="shared" si="29"/>
        <v>8685905.8100000005</v>
      </c>
      <c r="L85" s="198">
        <f t="shared" si="30"/>
        <v>7</v>
      </c>
      <c r="M85" s="20">
        <f>IFERROR(100/'Skjema total MA'!I85*K85,0)</f>
        <v>16.512560049803351</v>
      </c>
    </row>
    <row r="86" spans="1:13" ht="15.75" x14ac:dyDescent="0.2">
      <c r="A86" s="18" t="s">
        <v>404</v>
      </c>
      <c r="B86" s="178">
        <v>6538.1450000000004</v>
      </c>
      <c r="C86" s="109">
        <v>6776.6689999999999</v>
      </c>
      <c r="D86" s="121">
        <f t="shared" si="13"/>
        <v>3.6</v>
      </c>
      <c r="E86" s="23">
        <f>IFERROR(100/'Skjema total MA'!C86*C86,0)</f>
        <v>7.1388713454609691</v>
      </c>
      <c r="F86" s="178">
        <v>2593.44</v>
      </c>
      <c r="G86" s="109">
        <v>2524.7269999999999</v>
      </c>
      <c r="H86" s="121">
        <f t="shared" si="14"/>
        <v>-2.6</v>
      </c>
      <c r="I86" s="23">
        <f>IFERROR(100/'Skjema total MA'!F86*G86,0)</f>
        <v>19.427228007288807</v>
      </c>
      <c r="J86" s="225">
        <f t="shared" si="15"/>
        <v>9131.5850000000009</v>
      </c>
      <c r="K86" s="36">
        <f t="shared" si="15"/>
        <v>9301.3960000000006</v>
      </c>
      <c r="L86" s="198">
        <f t="shared" si="16"/>
        <v>1.9</v>
      </c>
      <c r="M86" s="23">
        <f>IFERROR(100/'Skjema total MA'!I86*K86,0)</f>
        <v>8.6186160500337703</v>
      </c>
    </row>
    <row r="87" spans="1:13" ht="15.75" x14ac:dyDescent="0.2">
      <c r="A87" s="10" t="s">
        <v>386</v>
      </c>
      <c r="B87" s="281">
        <v>49522783.6869037</v>
      </c>
      <c r="C87" s="281">
        <v>50104398.027597606</v>
      </c>
      <c r="D87" s="125">
        <f t="shared" si="13"/>
        <v>1.2</v>
      </c>
      <c r="E87" s="8">
        <f>IFERROR(100/'Skjema total MA'!C87*C87,0)</f>
        <v>12.34266906895455</v>
      </c>
      <c r="F87" s="280">
        <v>88613078.245895028</v>
      </c>
      <c r="G87" s="280">
        <v>110326577.40823001</v>
      </c>
      <c r="H87" s="125">
        <f t="shared" si="14"/>
        <v>24.5</v>
      </c>
      <c r="I87" s="8">
        <f>IFERROR(100/'Skjema total MA'!F87*G87,0)</f>
        <v>16.582357836786596</v>
      </c>
      <c r="J87" s="245">
        <f t="shared" ref="J87:K111" si="31">SUM(B87,F87)</f>
        <v>138135861.93279874</v>
      </c>
      <c r="K87" s="180">
        <f t="shared" si="31"/>
        <v>160430975.43582761</v>
      </c>
      <c r="L87" s="339">
        <f t="shared" si="16"/>
        <v>16.100000000000001</v>
      </c>
      <c r="M87" s="8">
        <f>IFERROR(100/'Skjema total MA'!I87*K87,0)</f>
        <v>14.975779343882564</v>
      </c>
    </row>
    <row r="88" spans="1:13" x14ac:dyDescent="0.2">
      <c r="A88" s="18" t="s">
        <v>9</v>
      </c>
      <c r="B88" s="178">
        <v>47766953.495903701</v>
      </c>
      <c r="C88" s="109">
        <v>48098565.558597602</v>
      </c>
      <c r="D88" s="121">
        <f t="shared" si="13"/>
        <v>0.7</v>
      </c>
      <c r="E88" s="23">
        <f>IFERROR(100/'Skjema total MA'!C88*C88,0)</f>
        <v>12.517373150566197</v>
      </c>
      <c r="F88" s="178"/>
      <c r="G88" s="109"/>
      <c r="H88" s="121"/>
      <c r="I88" s="23"/>
      <c r="J88" s="225">
        <f t="shared" si="31"/>
        <v>47766953.495903701</v>
      </c>
      <c r="K88" s="36">
        <f t="shared" si="31"/>
        <v>48098565.558597602</v>
      </c>
      <c r="L88" s="198">
        <f t="shared" si="16"/>
        <v>0.7</v>
      </c>
      <c r="M88" s="23">
        <f>IFERROR(100/'Skjema total MA'!I88*K88,0)</f>
        <v>12.517373150566197</v>
      </c>
    </row>
    <row r="89" spans="1:13" x14ac:dyDescent="0.2">
      <c r="A89" s="18" t="s">
        <v>10</v>
      </c>
      <c r="B89" s="178">
        <v>1418368.182</v>
      </c>
      <c r="C89" s="109">
        <v>1649067.35</v>
      </c>
      <c r="D89" s="121">
        <f t="shared" si="13"/>
        <v>16.3</v>
      </c>
      <c r="E89" s="23">
        <f>IFERROR(100/'Skjema total MA'!C89*C89,0)</f>
        <v>68.030928819513562</v>
      </c>
      <c r="F89" s="178">
        <v>88613078.245895028</v>
      </c>
      <c r="G89" s="109">
        <v>110326577.40823001</v>
      </c>
      <c r="H89" s="121">
        <f t="shared" si="14"/>
        <v>24.5</v>
      </c>
      <c r="I89" s="23">
        <f>IFERROR(100/'Skjema total MA'!F89*G89,0)</f>
        <v>16.84323338794167</v>
      </c>
      <c r="J89" s="225">
        <f t="shared" si="31"/>
        <v>90031446.427895024</v>
      </c>
      <c r="K89" s="36">
        <f t="shared" si="31"/>
        <v>111975644.75823</v>
      </c>
      <c r="L89" s="198">
        <f t="shared" si="16"/>
        <v>24.4</v>
      </c>
      <c r="M89" s="23">
        <f>IFERROR(100/'Skjema total MA'!I89*K89,0)</f>
        <v>17.031962409382785</v>
      </c>
    </row>
    <row r="90" spans="1:13" ht="15.75" x14ac:dyDescent="0.2">
      <c r="A90" s="234" t="s">
        <v>401</v>
      </c>
      <c r="B90" s="219"/>
      <c r="C90" s="219"/>
      <c r="D90" s="121"/>
      <c r="E90" s="331"/>
      <c r="F90" s="219">
        <v>14362.928</v>
      </c>
      <c r="G90" s="219">
        <v>17190.906999999999</v>
      </c>
      <c r="H90" s="121">
        <f t="shared" si="14"/>
        <v>19.7</v>
      </c>
      <c r="I90" s="331">
        <f>IFERROR(100/'Skjema total MA'!F90*G90,0)</f>
        <v>5.2773179559585488</v>
      </c>
      <c r="J90" s="225">
        <f t="shared" ref="J90" si="32">SUM(B90,F90)</f>
        <v>14362.928</v>
      </c>
      <c r="K90" s="36">
        <f t="shared" ref="K90" si="33">SUM(C90,G90)</f>
        <v>17190.906999999999</v>
      </c>
      <c r="L90" s="198">
        <f t="shared" ref="L90" si="34">IF(J90=0, "    ---- ", IF(ABS(ROUND(100/J90*K90-100,1))&lt;999,ROUND(100/J90*K90-100,1),IF(ROUND(100/J90*K90-100,1)&gt;999,999,-999)))</f>
        <v>19.7</v>
      </c>
      <c r="M90" s="20">
        <f>IFERROR(100/'Skjema total MA'!I90*K90,0)</f>
        <v>5.2773179559585488</v>
      </c>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v>14362.928</v>
      </c>
      <c r="G92" s="219">
        <v>17190.906999999999</v>
      </c>
      <c r="H92" s="121">
        <f t="shared" si="14"/>
        <v>19.7</v>
      </c>
      <c r="I92" s="331">
        <f>IFERROR(100/'Skjema total MA'!F92*G92,0)</f>
        <v>100</v>
      </c>
      <c r="J92" s="225">
        <f t="shared" ref="J92:J95" si="35">SUM(B92,F92)</f>
        <v>14362.928</v>
      </c>
      <c r="K92" s="36">
        <f t="shared" ref="K92:K95" si="36">SUM(C92,G92)</f>
        <v>17190.906999999999</v>
      </c>
      <c r="L92" s="198">
        <f t="shared" ref="L92:L95" si="37">IF(J92=0, "    ---- ", IF(ABS(ROUND(100/J92*K92-100,1))&lt;999,ROUND(100/J92*K92-100,1),IF(ROUND(100/J92*K92-100,1)&gt;999,999,-999)))</f>
        <v>19.7</v>
      </c>
      <c r="M92" s="20">
        <f>IFERROR(100/'Skjema total MA'!I92*K92,0)</f>
        <v>100</v>
      </c>
    </row>
    <row r="93" spans="1:13" ht="15.75" x14ac:dyDescent="0.2">
      <c r="A93" s="234" t="s">
        <v>402</v>
      </c>
      <c r="B93" s="219">
        <v>1418368.182</v>
      </c>
      <c r="C93" s="219">
        <v>1649067.35</v>
      </c>
      <c r="D93" s="121">
        <f t="shared" ref="D93" si="38">IF(B93=0, "    ---- ", IF(ABS(ROUND(100/B93*C93-100,1))&lt;999,ROUND(100/B93*C93-100,1),IF(ROUND(100/B93*C93-100,1)&gt;999,999,-999)))</f>
        <v>16.3</v>
      </c>
      <c r="E93" s="23">
        <f>IFERROR(100/'Skjema total MA'!C93*C93,0)</f>
        <v>68.030928819513562</v>
      </c>
      <c r="F93" s="219">
        <v>88598715.317895025</v>
      </c>
      <c r="G93" s="219">
        <v>110309386.50123</v>
      </c>
      <c r="H93" s="121">
        <f t="shared" si="14"/>
        <v>24.5</v>
      </c>
      <c r="I93" s="331">
        <f>IFERROR(100/'Skjema total MA'!F93*G93,0)</f>
        <v>16.848988143722035</v>
      </c>
      <c r="J93" s="225">
        <f t="shared" si="35"/>
        <v>90017083.499895021</v>
      </c>
      <c r="K93" s="36">
        <f t="shared" si="36"/>
        <v>111958453.85123</v>
      </c>
      <c r="L93" s="198">
        <f t="shared" si="37"/>
        <v>24.4</v>
      </c>
      <c r="M93" s="20">
        <f>IFERROR(100/'Skjema total MA'!I93*K93,0)</f>
        <v>17.037789494785123</v>
      </c>
    </row>
    <row r="94" spans="1:13" x14ac:dyDescent="0.2">
      <c r="A94" s="234" t="s">
        <v>12</v>
      </c>
      <c r="B94" s="179"/>
      <c r="C94" s="227"/>
      <c r="D94" s="121"/>
      <c r="E94" s="331"/>
      <c r="F94" s="219">
        <v>147.04002462753499</v>
      </c>
      <c r="G94" s="219">
        <v>0</v>
      </c>
      <c r="H94" s="121">
        <f t="shared" si="14"/>
        <v>-100</v>
      </c>
      <c r="I94" s="331">
        <f>IFERROR(100/'Skjema total MA'!F94*G94,0)</f>
        <v>0</v>
      </c>
      <c r="J94" s="225">
        <f t="shared" si="35"/>
        <v>147.04002462753499</v>
      </c>
      <c r="K94" s="36">
        <f t="shared" si="36"/>
        <v>0</v>
      </c>
      <c r="L94" s="198">
        <f t="shared" si="37"/>
        <v>-100</v>
      </c>
      <c r="M94" s="20">
        <f>IFERROR(100/'Skjema total MA'!I94*K94,0)</f>
        <v>0</v>
      </c>
    </row>
    <row r="95" spans="1:13" x14ac:dyDescent="0.2">
      <c r="A95" s="234" t="s">
        <v>13</v>
      </c>
      <c r="B95" s="179"/>
      <c r="C95" s="227"/>
      <c r="D95" s="121"/>
      <c r="E95" s="331"/>
      <c r="F95" s="219">
        <v>88598568.277870402</v>
      </c>
      <c r="G95" s="219">
        <v>110309386.50123</v>
      </c>
      <c r="H95" s="121">
        <f t="shared" si="14"/>
        <v>24.5</v>
      </c>
      <c r="I95" s="331">
        <f>IFERROR(100/'Skjema total MA'!F95*G95,0)</f>
        <v>16.848988143722035</v>
      </c>
      <c r="J95" s="225">
        <f t="shared" si="35"/>
        <v>88598568.277870402</v>
      </c>
      <c r="K95" s="36">
        <f t="shared" si="36"/>
        <v>110309386.50123</v>
      </c>
      <c r="L95" s="198">
        <f t="shared" si="37"/>
        <v>24.5</v>
      </c>
      <c r="M95" s="20">
        <f>IFERROR(100/'Skjema total MA'!I95*K95,0)</f>
        <v>16.848988143722035</v>
      </c>
    </row>
    <row r="96" spans="1:13" x14ac:dyDescent="0.2">
      <c r="A96" s="18" t="s">
        <v>306</v>
      </c>
      <c r="B96" s="178"/>
      <c r="C96" s="109"/>
      <c r="D96" s="121"/>
      <c r="E96" s="23"/>
      <c r="F96" s="178"/>
      <c r="G96" s="109"/>
      <c r="H96" s="121"/>
      <c r="I96" s="23"/>
      <c r="J96" s="225"/>
      <c r="K96" s="36"/>
      <c r="L96" s="198"/>
      <c r="M96" s="23"/>
    </row>
    <row r="97" spans="1:13" x14ac:dyDescent="0.2">
      <c r="A97" s="18" t="s">
        <v>305</v>
      </c>
      <c r="B97" s="178">
        <v>337462.00900000002</v>
      </c>
      <c r="C97" s="109">
        <v>356765.11900000001</v>
      </c>
      <c r="D97" s="121">
        <f t="shared" ref="D97" si="39">IF(B97=0, "    ---- ", IF(ABS(ROUND(100/B97*C97-100,1))&lt;999,ROUND(100/B97*C97-100,1),IF(ROUND(100/B97*C97-100,1)&gt;999,999,-999)))</f>
        <v>5.7</v>
      </c>
      <c r="E97" s="23">
        <f>IFERROR(100/'Skjema total MA'!C98*C97,0)</f>
        <v>9.3289138239258856E-2</v>
      </c>
      <c r="F97" s="178"/>
      <c r="G97" s="109"/>
      <c r="H97" s="121"/>
      <c r="I97" s="23"/>
      <c r="J97" s="225">
        <f t="shared" ref="J97" si="40">SUM(B97,F97)</f>
        <v>337462.00900000002</v>
      </c>
      <c r="K97" s="36">
        <f t="shared" ref="K97" si="41">SUM(C97,G97)</f>
        <v>356765.11900000001</v>
      </c>
      <c r="L97" s="198">
        <f t="shared" ref="L97" si="42">IF(J97=0, "    ---- ", IF(ABS(ROUND(100/J97*K97-100,1))&lt;999,ROUND(100/J97*K97-100,1),IF(ROUND(100/J97*K97-100,1)&gt;999,999,-999)))</f>
        <v>5.7</v>
      </c>
      <c r="M97" s="23">
        <f>IFERROR(100/'Skjema total MA'!I98*K97,0)</f>
        <v>3.4402755807473193E-2</v>
      </c>
    </row>
    <row r="98" spans="1:13" ht="15.75" x14ac:dyDescent="0.2">
      <c r="A98" s="18" t="s">
        <v>403</v>
      </c>
      <c r="B98" s="178">
        <v>49155260.687903702</v>
      </c>
      <c r="C98" s="178">
        <v>49716191.894597605</v>
      </c>
      <c r="D98" s="121">
        <f t="shared" si="13"/>
        <v>1.1000000000000001</v>
      </c>
      <c r="E98" s="23">
        <f>IFERROR(100/'Skjema total MA'!C98*C98,0)</f>
        <v>13.000095725122266</v>
      </c>
      <c r="F98" s="230">
        <v>88598715.317895025</v>
      </c>
      <c r="G98" s="230">
        <v>110309386.50123</v>
      </c>
      <c r="H98" s="121">
        <f t="shared" si="14"/>
        <v>24.5</v>
      </c>
      <c r="I98" s="23">
        <f>IFERROR(100/'Skjema total MA'!F98*G98,0)</f>
        <v>16.851537124096239</v>
      </c>
      <c r="J98" s="225">
        <f t="shared" si="31"/>
        <v>137753976.00579873</v>
      </c>
      <c r="K98" s="36">
        <f t="shared" si="31"/>
        <v>160025578.39582759</v>
      </c>
      <c r="L98" s="198">
        <f t="shared" si="16"/>
        <v>16.2</v>
      </c>
      <c r="M98" s="23">
        <f>IFERROR(100/'Skjema total MA'!I98*K98,0)</f>
        <v>15.431219598856901</v>
      </c>
    </row>
    <row r="99" spans="1:13" x14ac:dyDescent="0.2">
      <c r="A99" s="18" t="s">
        <v>9</v>
      </c>
      <c r="B99" s="230">
        <v>47736892.505903699</v>
      </c>
      <c r="C99" s="231">
        <v>48067124.544597603</v>
      </c>
      <c r="D99" s="121">
        <f t="shared" si="13"/>
        <v>0.7</v>
      </c>
      <c r="E99" s="23">
        <f>IFERROR(100/'Skjema total MA'!C99*C99,0)</f>
        <v>12.649062459201051</v>
      </c>
      <c r="F99" s="178"/>
      <c r="G99" s="109"/>
      <c r="H99" s="121"/>
      <c r="I99" s="23"/>
      <c r="J99" s="225">
        <f t="shared" si="31"/>
        <v>47736892.505903699</v>
      </c>
      <c r="K99" s="36">
        <f t="shared" si="31"/>
        <v>48067124.544597603</v>
      </c>
      <c r="L99" s="198">
        <f t="shared" si="16"/>
        <v>0.7</v>
      </c>
      <c r="M99" s="23">
        <f>IFERROR(100/'Skjema total MA'!I99*K99,0)</f>
        <v>12.649062459201051</v>
      </c>
    </row>
    <row r="100" spans="1:13" x14ac:dyDescent="0.2">
      <c r="A100" s="18" t="s">
        <v>429</v>
      </c>
      <c r="B100" s="230">
        <v>1418368.182</v>
      </c>
      <c r="C100" s="231">
        <v>1649067.35</v>
      </c>
      <c r="D100" s="121">
        <f t="shared" si="13"/>
        <v>16.3</v>
      </c>
      <c r="E100" s="23">
        <f>IFERROR(100/'Skjema total MA'!C100*C100,0)</f>
        <v>68.030928819513562</v>
      </c>
      <c r="F100" s="178">
        <v>88598715.317895025</v>
      </c>
      <c r="G100" s="178">
        <v>110309386.50123</v>
      </c>
      <c r="H100" s="121">
        <f t="shared" si="14"/>
        <v>24.5</v>
      </c>
      <c r="I100" s="23">
        <f>IFERROR(100/'Skjema total MA'!F100*G100,0)</f>
        <v>16.851537124096239</v>
      </c>
      <c r="J100" s="225">
        <f t="shared" si="31"/>
        <v>90017083.499895021</v>
      </c>
      <c r="K100" s="36">
        <f t="shared" si="31"/>
        <v>111958453.85123</v>
      </c>
      <c r="L100" s="198">
        <f t="shared" si="16"/>
        <v>24.4</v>
      </c>
      <c r="M100" s="23">
        <f>IFERROR(100/'Skjema total MA'!I100*K100,0)</f>
        <v>17.040357528216518</v>
      </c>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v>1418368.182</v>
      </c>
      <c r="C104" s="219">
        <v>1649067.35</v>
      </c>
      <c r="D104" s="121">
        <f t="shared" ref="D104" si="43">IF(B104=0, "    ---- ", IF(ABS(ROUND(100/B104*C104-100,1))&lt;999,ROUND(100/B104*C104-100,1),IF(ROUND(100/B104*C104-100,1)&gt;999,999,-999)))</f>
        <v>16.3</v>
      </c>
      <c r="E104" s="23">
        <f>IFERROR(100/'Skjema total MA'!C104*C104,0)</f>
        <v>68.030928819513562</v>
      </c>
      <c r="F104" s="219">
        <v>88598715.317895025</v>
      </c>
      <c r="G104" s="219">
        <v>110309386.50123</v>
      </c>
      <c r="H104" s="121">
        <f t="shared" si="14"/>
        <v>24.5</v>
      </c>
      <c r="I104" s="331">
        <f>IFERROR(100/'Skjema total MA'!F104*G104,0)</f>
        <v>16.851537124096239</v>
      </c>
      <c r="J104" s="225">
        <f t="shared" ref="J104:J106" si="44">SUM(B104,F104)</f>
        <v>90017083.499895021</v>
      </c>
      <c r="K104" s="36">
        <f t="shared" ref="K104:K106" si="45">SUM(C104,G104)</f>
        <v>111958453.85123</v>
      </c>
      <c r="L104" s="198">
        <f t="shared" ref="L104:L106" si="46">IF(J104=0, "    ---- ", IF(ABS(ROUND(100/J104*K104-100,1))&lt;999,ROUND(100/J104*K104-100,1),IF(ROUND(100/J104*K104-100,1)&gt;999,999,-999)))</f>
        <v>24.4</v>
      </c>
      <c r="M104" s="20">
        <f>IFERROR(100/'Skjema total MA'!I104*K104,0)</f>
        <v>17.040357528216518</v>
      </c>
    </row>
    <row r="105" spans="1:13" x14ac:dyDescent="0.2">
      <c r="A105" s="234" t="s">
        <v>12</v>
      </c>
      <c r="B105" s="179"/>
      <c r="C105" s="227"/>
      <c r="D105" s="121"/>
      <c r="E105" s="331"/>
      <c r="F105" s="219">
        <v>147.04002462753499</v>
      </c>
      <c r="G105" s="219">
        <v>0</v>
      </c>
      <c r="H105" s="121">
        <f t="shared" si="14"/>
        <v>-100</v>
      </c>
      <c r="I105" s="331">
        <f>IFERROR(100/'Skjema total MA'!F105*G105,0)</f>
        <v>0</v>
      </c>
      <c r="J105" s="225">
        <f t="shared" si="44"/>
        <v>147.04002462753499</v>
      </c>
      <c r="K105" s="36">
        <f t="shared" si="45"/>
        <v>0</v>
      </c>
      <c r="L105" s="198">
        <f t="shared" si="46"/>
        <v>-100</v>
      </c>
      <c r="M105" s="20">
        <f>IFERROR(100/'Skjema total MA'!I105*K105,0)</f>
        <v>0</v>
      </c>
    </row>
    <row r="106" spans="1:13" x14ac:dyDescent="0.2">
      <c r="A106" s="234" t="s">
        <v>13</v>
      </c>
      <c r="B106" s="179"/>
      <c r="C106" s="227"/>
      <c r="D106" s="121"/>
      <c r="E106" s="331"/>
      <c r="F106" s="219">
        <v>88598568.277870402</v>
      </c>
      <c r="G106" s="219">
        <v>110309386.50123</v>
      </c>
      <c r="H106" s="121">
        <f t="shared" si="14"/>
        <v>24.5</v>
      </c>
      <c r="I106" s="331">
        <f>IFERROR(100/'Skjema total MA'!F106*G106,0)</f>
        <v>16.851537124096239</v>
      </c>
      <c r="J106" s="225">
        <f t="shared" si="44"/>
        <v>88598568.277870402</v>
      </c>
      <c r="K106" s="36">
        <f t="shared" si="45"/>
        <v>110309386.50123</v>
      </c>
      <c r="L106" s="198">
        <f t="shared" si="46"/>
        <v>24.5</v>
      </c>
      <c r="M106" s="20">
        <f>IFERROR(100/'Skjema total MA'!I106*K106,0)</f>
        <v>16.851537124096239</v>
      </c>
    </row>
    <row r="107" spans="1:13" ht="15.75" x14ac:dyDescent="0.2">
      <c r="A107" s="18" t="s">
        <v>404</v>
      </c>
      <c r="B107" s="178">
        <v>30060.99</v>
      </c>
      <c r="C107" s="109">
        <v>31441.013999999999</v>
      </c>
      <c r="D107" s="121">
        <f t="shared" si="13"/>
        <v>4.5999999999999996</v>
      </c>
      <c r="E107" s="23">
        <f>IFERROR(100/'Skjema total MA'!C107*C107,0)</f>
        <v>0.73995661320542727</v>
      </c>
      <c r="F107" s="178">
        <v>14362.928</v>
      </c>
      <c r="G107" s="109">
        <v>17190.906999999999</v>
      </c>
      <c r="H107" s="121">
        <f t="shared" si="14"/>
        <v>19.7</v>
      </c>
      <c r="I107" s="23">
        <f>IFERROR(100/'Skjema total MA'!F107*G107,0)</f>
        <v>4.047008848773606</v>
      </c>
      <c r="J107" s="225">
        <f t="shared" si="31"/>
        <v>44423.918000000005</v>
      </c>
      <c r="K107" s="36">
        <f t="shared" si="31"/>
        <v>48631.921000000002</v>
      </c>
      <c r="L107" s="198">
        <f t="shared" si="16"/>
        <v>9.5</v>
      </c>
      <c r="M107" s="23">
        <f>IFERROR(100/'Skjema total MA'!I107*K107,0)</f>
        <v>1.0405186601489735</v>
      </c>
    </row>
    <row r="108" spans="1:13" ht="15.75" x14ac:dyDescent="0.2">
      <c r="A108" s="18" t="s">
        <v>405</v>
      </c>
      <c r="B108" s="178">
        <v>38253317.717297196</v>
      </c>
      <c r="C108" s="178">
        <v>40392253.437575601</v>
      </c>
      <c r="D108" s="121">
        <f t="shared" si="13"/>
        <v>5.6</v>
      </c>
      <c r="E108" s="23">
        <f>IFERROR(100/'Skjema total MA'!C108*C108,0)</f>
        <v>12.180920183270839</v>
      </c>
      <c r="F108" s="178"/>
      <c r="G108" s="178"/>
      <c r="H108" s="121"/>
      <c r="I108" s="23"/>
      <c r="J108" s="225">
        <f t="shared" si="31"/>
        <v>38253317.717297196</v>
      </c>
      <c r="K108" s="36">
        <f t="shared" si="31"/>
        <v>40392253.437575601</v>
      </c>
      <c r="L108" s="198">
        <f t="shared" si="16"/>
        <v>5.6</v>
      </c>
      <c r="M108" s="23">
        <f>IFERROR(100/'Skjema total MA'!I108*K108,0)</f>
        <v>11.365543474741109</v>
      </c>
    </row>
    <row r="109" spans="1:13" ht="15.75" x14ac:dyDescent="0.2">
      <c r="A109" s="18" t="s">
        <v>437</v>
      </c>
      <c r="B109" s="178">
        <v>980319.77964848303</v>
      </c>
      <c r="C109" s="178">
        <v>1001168.11384817</v>
      </c>
      <c r="D109" s="121">
        <f t="shared" si="13"/>
        <v>2.1</v>
      </c>
      <c r="E109" s="23">
        <f>IFERROR(100/'Skjema total MA'!C109*C109,0)</f>
        <v>44.693186744231873</v>
      </c>
      <c r="F109" s="178">
        <v>36691302.109739996</v>
      </c>
      <c r="G109" s="178">
        <v>47619747.299010001</v>
      </c>
      <c r="H109" s="121">
        <f t="shared" si="14"/>
        <v>29.8</v>
      </c>
      <c r="I109" s="23">
        <f>IFERROR(100/'Skjema total MA'!F109*G109,0)</f>
        <v>19.05633519240811</v>
      </c>
      <c r="J109" s="225">
        <f t="shared" si="31"/>
        <v>37671621.889388479</v>
      </c>
      <c r="K109" s="36">
        <f t="shared" si="31"/>
        <v>48620915.412858173</v>
      </c>
      <c r="L109" s="198">
        <f t="shared" si="16"/>
        <v>29.1</v>
      </c>
      <c r="M109" s="23">
        <f>IFERROR(100/'Skjema total MA'!I109*K109,0)</f>
        <v>19.28411061365717</v>
      </c>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v>11744935.322000001</v>
      </c>
      <c r="G111" s="117">
        <v>12052738.021</v>
      </c>
      <c r="H111" s="125">
        <f t="shared" si="14"/>
        <v>2.6</v>
      </c>
      <c r="I111" s="8">
        <f>IFERROR(100/'Skjema total MA'!F111*G111,0)</f>
        <v>23.724218458773858</v>
      </c>
      <c r="J111" s="245">
        <f t="shared" si="31"/>
        <v>11744935.322000001</v>
      </c>
      <c r="K111" s="180">
        <f t="shared" si="31"/>
        <v>12052738.021</v>
      </c>
      <c r="L111" s="339">
        <f t="shared" si="16"/>
        <v>2.6</v>
      </c>
      <c r="M111" s="8">
        <f>IFERROR(100/'Skjema total MA'!I111*K111,0)</f>
        <v>23.463636832979695</v>
      </c>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v>11744935.322000001</v>
      </c>
      <c r="G113" s="109">
        <v>12052738.021</v>
      </c>
      <c r="H113" s="121">
        <f t="shared" ref="H113:H125" si="47">IF(F113=0, "    ---- ", IF(ABS(ROUND(100/F113*G113-100,1))&lt;999,ROUND(100/F113*G113-100,1),IF(ROUND(100/F113*G113-100,1)&gt;999,999,-999)))</f>
        <v>2.6</v>
      </c>
      <c r="I113" s="23">
        <f>IFERROR(100/'Skjema total MA'!F113*G113,0)</f>
        <v>23.727814245356541</v>
      </c>
      <c r="J113" s="225">
        <f t="shared" ref="J113:K125" si="48">SUM(B113,F113)</f>
        <v>11744935.322000001</v>
      </c>
      <c r="K113" s="36">
        <f t="shared" si="48"/>
        <v>12052738.021</v>
      </c>
      <c r="L113" s="198">
        <f t="shared" ref="L113:L125" si="49">IF(J113=0, "    ---- ", IF(ABS(ROUND(100/J113*K113-100,1))&lt;999,ROUND(100/J113*K113-100,1),IF(ROUND(100/J113*K113-100,1)&gt;999,999,-999)))</f>
        <v>2.6</v>
      </c>
      <c r="M113" s="23">
        <f>IFERROR(100/'Skjema total MA'!I113*K113,0)</f>
        <v>23.727814245356541</v>
      </c>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v>6943481.1299999999</v>
      </c>
      <c r="G117" s="178">
        <v>7202635.517</v>
      </c>
      <c r="H117" s="121">
        <f t="shared" si="47"/>
        <v>3.7</v>
      </c>
      <c r="I117" s="23">
        <f>IFERROR(100/'Skjema total MA'!F117*G117,0)</f>
        <v>20.939450252893323</v>
      </c>
      <c r="J117" s="225">
        <f t="shared" si="48"/>
        <v>6943481.1299999999</v>
      </c>
      <c r="K117" s="36">
        <f t="shared" si="48"/>
        <v>7202635.517</v>
      </c>
      <c r="L117" s="198">
        <f t="shared" si="49"/>
        <v>3.7</v>
      </c>
      <c r="M117" s="23">
        <f>IFERROR(100/'Skjema total MA'!I117*K117,0)</f>
        <v>20.939450252893323</v>
      </c>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v>77749.316530000404</v>
      </c>
      <c r="C119" s="117">
        <v>15216.7122900002</v>
      </c>
      <c r="D119" s="125">
        <f t="shared" ref="D119:D120" si="50">IF(B119=0, "    ---- ", IF(ABS(ROUND(100/B119*C119-100,1))&lt;999,ROUND(100/B119*C119-100,1),IF(ROUND(100/B119*C119-100,1)&gt;999,999,-999)))</f>
        <v>-80.400000000000006</v>
      </c>
      <c r="E119" s="8">
        <f>IFERROR(100/'Skjema total MA'!C119*C119,0)</f>
        <v>4.9072695224397496</v>
      </c>
      <c r="F119" s="244">
        <v>9376667.898</v>
      </c>
      <c r="G119" s="117">
        <v>10851893.220000001</v>
      </c>
      <c r="H119" s="125">
        <f t="shared" si="47"/>
        <v>15.7</v>
      </c>
      <c r="I119" s="8">
        <f>IFERROR(100/'Skjema total MA'!F119*G119,0)</f>
        <v>19.392769319505469</v>
      </c>
      <c r="J119" s="245">
        <f t="shared" si="48"/>
        <v>9454417.2145300005</v>
      </c>
      <c r="K119" s="180">
        <f t="shared" si="48"/>
        <v>10867109.932290001</v>
      </c>
      <c r="L119" s="339">
        <f t="shared" si="49"/>
        <v>14.9</v>
      </c>
      <c r="M119" s="8">
        <f>IFERROR(100/'Skjema total MA'!I119*K119,0)</f>
        <v>19.312942506773652</v>
      </c>
    </row>
    <row r="120" spans="1:13" x14ac:dyDescent="0.2">
      <c r="A120" s="18" t="s">
        <v>9</v>
      </c>
      <c r="B120" s="178">
        <v>77749.316530000404</v>
      </c>
      <c r="C120" s="109">
        <v>15216.7122900002</v>
      </c>
      <c r="D120" s="121">
        <f t="shared" si="50"/>
        <v>-80.400000000000006</v>
      </c>
      <c r="E120" s="23">
        <f>IFERROR(100/'Skjema total MA'!C120*C120,0)</f>
        <v>9.4372322710674883</v>
      </c>
      <c r="F120" s="178"/>
      <c r="G120" s="109"/>
      <c r="H120" s="121"/>
      <c r="I120" s="23"/>
      <c r="J120" s="225">
        <f t="shared" si="48"/>
        <v>77749.316530000404</v>
      </c>
      <c r="K120" s="36">
        <f t="shared" si="48"/>
        <v>15216.7122900002</v>
      </c>
      <c r="L120" s="198">
        <f t="shared" si="49"/>
        <v>-80.400000000000006</v>
      </c>
      <c r="M120" s="23">
        <f>IFERROR(100/'Skjema total MA'!I120*K120,0)</f>
        <v>9.4372322710674883</v>
      </c>
    </row>
    <row r="121" spans="1:13" x14ac:dyDescent="0.2">
      <c r="A121" s="18" t="s">
        <v>10</v>
      </c>
      <c r="B121" s="178"/>
      <c r="C121" s="109"/>
      <c r="D121" s="121"/>
      <c r="E121" s="23"/>
      <c r="F121" s="178">
        <v>9376667.898</v>
      </c>
      <c r="G121" s="109">
        <v>10851893.220000001</v>
      </c>
      <c r="H121" s="121">
        <f t="shared" si="47"/>
        <v>15.7</v>
      </c>
      <c r="I121" s="23">
        <f>IFERROR(100/'Skjema total MA'!F121*G121,0)</f>
        <v>19.392769319505469</v>
      </c>
      <c r="J121" s="225">
        <f t="shared" si="48"/>
        <v>9376667.898</v>
      </c>
      <c r="K121" s="36">
        <f t="shared" si="48"/>
        <v>10851893.220000001</v>
      </c>
      <c r="L121" s="198">
        <f t="shared" si="49"/>
        <v>15.7</v>
      </c>
      <c r="M121" s="23">
        <f>IFERROR(100/'Skjema total MA'!I121*K121,0)</f>
        <v>19.386509974266076</v>
      </c>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v>5374585.6540000001</v>
      </c>
      <c r="G125" s="178">
        <v>6456027.3420000002</v>
      </c>
      <c r="H125" s="121">
        <f t="shared" si="47"/>
        <v>20.100000000000001</v>
      </c>
      <c r="I125" s="23">
        <f>IFERROR(100/'Skjema total MA'!F125*G125,0)</f>
        <v>18.890897363994505</v>
      </c>
      <c r="J125" s="225">
        <f t="shared" si="48"/>
        <v>5374585.6540000001</v>
      </c>
      <c r="K125" s="36">
        <f t="shared" si="48"/>
        <v>6456027.3420000002</v>
      </c>
      <c r="L125" s="198">
        <f t="shared" si="49"/>
        <v>20.100000000000001</v>
      </c>
      <c r="M125" s="23">
        <f>IFERROR(100/'Skjema total MA'!I125*K125,0)</f>
        <v>18.889048061741093</v>
      </c>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953" priority="10">
      <formula>kvartal &lt; 4</formula>
    </cfRule>
  </conditionalFormatting>
  <conditionalFormatting sqref="A80:A85">
    <cfRule type="expression" dxfId="952" priority="9">
      <formula>kvartal &lt; 4</formula>
    </cfRule>
  </conditionalFormatting>
  <conditionalFormatting sqref="A90:A95">
    <cfRule type="expression" dxfId="951" priority="6">
      <formula>kvartal &lt; 4</formula>
    </cfRule>
  </conditionalFormatting>
  <conditionalFormatting sqref="A101:A106">
    <cfRule type="expression" dxfId="950" priority="5">
      <formula>kvartal &lt; 4</formula>
    </cfRule>
  </conditionalFormatting>
  <conditionalFormatting sqref="A50:C52">
    <cfRule type="expression" dxfId="949" priority="12">
      <formula>kvartal &lt; 4</formula>
    </cfRule>
  </conditionalFormatting>
  <conditionalFormatting sqref="A115:C115">
    <cfRule type="expression" dxfId="948" priority="4">
      <formula>kvartal &lt; 4</formula>
    </cfRule>
  </conditionalFormatting>
  <conditionalFormatting sqref="A123:C123">
    <cfRule type="expression" dxfId="947" priority="3">
      <formula>kvartal &lt; 4</formula>
    </cfRule>
  </conditionalFormatting>
  <conditionalFormatting sqref="B69:C69">
    <cfRule type="expression" dxfId="946" priority="99">
      <formula>kvartal &lt; 4</formula>
    </cfRule>
  </conditionalFormatting>
  <conditionalFormatting sqref="B72:C72">
    <cfRule type="expression" dxfId="945" priority="97">
      <formula>kvartal &lt; 4</formula>
    </cfRule>
  </conditionalFormatting>
  <conditionalFormatting sqref="B80:C80">
    <cfRule type="expression" dxfId="944" priority="95">
      <formula>kvartal &lt; 4</formula>
    </cfRule>
  </conditionalFormatting>
  <conditionalFormatting sqref="B83:C83">
    <cfRule type="expression" dxfId="943" priority="93">
      <formula>kvartal &lt; 4</formula>
    </cfRule>
  </conditionalFormatting>
  <conditionalFormatting sqref="B90:C90">
    <cfRule type="expression" dxfId="942" priority="83">
      <formula>kvartal &lt; 4</formula>
    </cfRule>
  </conditionalFormatting>
  <conditionalFormatting sqref="B93:C93">
    <cfRule type="expression" dxfId="941" priority="81">
      <formula>kvartal &lt; 4</formula>
    </cfRule>
  </conditionalFormatting>
  <conditionalFormatting sqref="B101:C101">
    <cfRule type="expression" dxfId="940" priority="79">
      <formula>kvartal &lt; 4</formula>
    </cfRule>
  </conditionalFormatting>
  <conditionalFormatting sqref="B104:C104">
    <cfRule type="expression" dxfId="939" priority="77">
      <formula>kvartal &lt; 4</formula>
    </cfRule>
  </conditionalFormatting>
  <conditionalFormatting sqref="F69:G74">
    <cfRule type="expression" dxfId="938" priority="54">
      <formula>kvartal &lt; 4</formula>
    </cfRule>
  </conditionalFormatting>
  <conditionalFormatting sqref="F80:G85">
    <cfRule type="expression" dxfId="937" priority="52">
      <formula>kvartal &lt; 4</formula>
    </cfRule>
  </conditionalFormatting>
  <conditionalFormatting sqref="F90:G95">
    <cfRule type="expression" dxfId="936" priority="44">
      <formula>kvartal &lt; 4</formula>
    </cfRule>
  </conditionalFormatting>
  <conditionalFormatting sqref="F101:G106">
    <cfRule type="expression" dxfId="935" priority="40">
      <formula>kvartal &lt; 4</formula>
    </cfRule>
  </conditionalFormatting>
  <conditionalFormatting sqref="F115:G115">
    <cfRule type="expression" dxfId="934" priority="57">
      <formula>kvartal &lt; 4</formula>
    </cfRule>
  </conditionalFormatting>
  <conditionalFormatting sqref="F123:G123">
    <cfRule type="expression" dxfId="933" priority="56">
      <formula>kvartal &lt; 4</formula>
    </cfRule>
  </conditionalFormatting>
  <conditionalFormatting sqref="J70:K70">
    <cfRule type="expression" dxfId="932" priority="39">
      <formula>kvartal &lt; 4</formula>
    </cfRule>
  </conditionalFormatting>
  <conditionalFormatting sqref="J80:K82">
    <cfRule type="expression" dxfId="931" priority="37">
      <formula>kvartal &lt; 4</formula>
    </cfRule>
  </conditionalFormatting>
  <conditionalFormatting sqref="J91:K91">
    <cfRule type="expression" dxfId="930" priority="34">
      <formula>kvartal &lt; 4</formula>
    </cfRule>
  </conditionalFormatting>
  <conditionalFormatting sqref="J101:K103">
    <cfRule type="expression" dxfId="929" priority="33">
      <formula>kvartal &lt; 4</formula>
    </cfRule>
  </conditionalFormatting>
  <conditionalFormatting sqref="J115:K115">
    <cfRule type="expression" dxfId="928" priority="32">
      <formula>kvartal &lt; 4</formula>
    </cfRule>
  </conditionalFormatting>
  <conditionalFormatting sqref="J123:K123">
    <cfRule type="expression" dxfId="927" priority="31">
      <formula>kvartal &lt; 4</formula>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CAE9-D5F2-4A61-80DB-C3B7691ABF8D}">
  <sheetPr codeName="Ark24"/>
  <dimension ref="A1:N144"/>
  <sheetViews>
    <sheetView showGridLines="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468</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c r="C47" s="247">
        <v>33970</v>
      </c>
      <c r="D47" s="338" t="str">
        <f t="shared" ref="D47:D48" si="0">IF(B47=0, "    ---- ", IF(ABS(ROUND(100/B47*C47-100,1))&lt;999,ROUND(100/B47*C47-100,1),IF(ROUND(100/B47*C47-100,1)&gt;999,999,-999)))</f>
        <v xml:space="preserve">    ---- </v>
      </c>
      <c r="E47" s="8">
        <f>IFERROR(100/'Skjema total MA'!C47*C47,0)</f>
        <v>0.51627110461522174</v>
      </c>
      <c r="F47" s="109"/>
      <c r="G47" s="27"/>
      <c r="H47" s="117"/>
      <c r="I47" s="117"/>
      <c r="J47" s="31"/>
      <c r="K47" s="31"/>
      <c r="L47" s="117"/>
      <c r="M47" s="117"/>
    </row>
    <row r="48" spans="1:13" ht="15.75" x14ac:dyDescent="0.2">
      <c r="A48" s="18" t="s">
        <v>397</v>
      </c>
      <c r="B48" s="219"/>
      <c r="C48" s="220">
        <v>33970</v>
      </c>
      <c r="D48" s="198" t="str">
        <f t="shared" si="0"/>
        <v xml:space="preserve">    ---- </v>
      </c>
      <c r="E48" s="23">
        <f>IFERROR(100/'Skjema total MA'!C48*C48,0)</f>
        <v>0.91604967640540347</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69:A74">
    <cfRule type="expression" dxfId="926" priority="6">
      <formula>kvartal &lt; 4</formula>
    </cfRule>
  </conditionalFormatting>
  <conditionalFormatting sqref="A80:A85">
    <cfRule type="expression" dxfId="925" priority="5">
      <formula>kvartal &lt; 4</formula>
    </cfRule>
  </conditionalFormatting>
  <conditionalFormatting sqref="A90:A95">
    <cfRule type="expression" dxfId="924" priority="4">
      <formula>kvartal &lt; 4</formula>
    </cfRule>
  </conditionalFormatting>
  <conditionalFormatting sqref="A101:A106">
    <cfRule type="expression" dxfId="923" priority="3">
      <formula>kvartal &lt; 4</formula>
    </cfRule>
  </conditionalFormatting>
  <conditionalFormatting sqref="A50:C52">
    <cfRule type="expression" dxfId="922" priority="7">
      <formula>kvartal &lt; 4</formula>
    </cfRule>
  </conditionalFormatting>
  <conditionalFormatting sqref="A115:C115">
    <cfRule type="expression" dxfId="921" priority="2">
      <formula>kvartal &lt; 4</formula>
    </cfRule>
  </conditionalFormatting>
  <conditionalFormatting sqref="A123:C123">
    <cfRule type="expression" dxfId="920" priority="1">
      <formula>kvartal &lt; 4</formula>
    </cfRule>
  </conditionalFormatting>
  <conditionalFormatting sqref="B69:C69">
    <cfRule type="expression" dxfId="919" priority="57">
      <formula>kvartal &lt; 4</formula>
    </cfRule>
  </conditionalFormatting>
  <conditionalFormatting sqref="B72:C72">
    <cfRule type="expression" dxfId="918" priority="55">
      <formula>kvartal &lt; 4</formula>
    </cfRule>
  </conditionalFormatting>
  <conditionalFormatting sqref="B80:C80">
    <cfRule type="expression" dxfId="917" priority="53">
      <formula>kvartal &lt; 4</formula>
    </cfRule>
  </conditionalFormatting>
  <conditionalFormatting sqref="B83:C83">
    <cfRule type="expression" dxfId="916" priority="51">
      <formula>kvartal &lt; 4</formula>
    </cfRule>
  </conditionalFormatting>
  <conditionalFormatting sqref="B90:C90">
    <cfRule type="expression" dxfId="915" priority="49">
      <formula>kvartal &lt; 4</formula>
    </cfRule>
  </conditionalFormatting>
  <conditionalFormatting sqref="B93:C93">
    <cfRule type="expression" dxfId="914" priority="47">
      <formula>kvartal &lt; 4</formula>
    </cfRule>
  </conditionalFormatting>
  <conditionalFormatting sqref="B101:C101">
    <cfRule type="expression" dxfId="913" priority="45">
      <formula>kvartal &lt; 4</formula>
    </cfRule>
  </conditionalFormatting>
  <conditionalFormatting sqref="B104:C104">
    <cfRule type="expression" dxfId="912" priority="43">
      <formula>kvartal &lt; 4</formula>
    </cfRule>
  </conditionalFormatting>
  <conditionalFormatting sqref="F69:G74">
    <cfRule type="expression" dxfId="911" priority="24">
      <formula>kvartal &lt; 4</formula>
    </cfRule>
  </conditionalFormatting>
  <conditionalFormatting sqref="F80:G85">
    <cfRule type="expression" dxfId="910" priority="22">
      <formula>kvartal &lt; 4</formula>
    </cfRule>
  </conditionalFormatting>
  <conditionalFormatting sqref="F90:G95">
    <cfRule type="expression" dxfId="909" priority="19">
      <formula>kvartal &lt; 4</formula>
    </cfRule>
  </conditionalFormatting>
  <conditionalFormatting sqref="F101:G106">
    <cfRule type="expression" dxfId="908" priority="15">
      <formula>kvartal &lt; 4</formula>
    </cfRule>
  </conditionalFormatting>
  <conditionalFormatting sqref="F115:G115">
    <cfRule type="expression" dxfId="907" priority="27">
      <formula>kvartal &lt; 4</formula>
    </cfRule>
  </conditionalFormatting>
  <conditionalFormatting sqref="F123:G123">
    <cfRule type="expression" dxfId="906" priority="26">
      <formula>kvartal &lt; 4</formula>
    </cfRule>
  </conditionalFormatting>
  <conditionalFormatting sqref="J69:K74">
    <cfRule type="expression" dxfId="905" priority="13">
      <formula>kvartal &lt; 4</formula>
    </cfRule>
  </conditionalFormatting>
  <conditionalFormatting sqref="J80:K85">
    <cfRule type="expression" dxfId="904" priority="12">
      <formula>kvartal &lt; 4</formula>
    </cfRule>
  </conditionalFormatting>
  <conditionalFormatting sqref="J90:K95">
    <cfRule type="expression" dxfId="903" priority="11">
      <formula>kvartal &lt; 4</formula>
    </cfRule>
  </conditionalFormatting>
  <conditionalFormatting sqref="J101:K106">
    <cfRule type="expression" dxfId="902" priority="10">
      <formula>kvartal &lt; 4</formula>
    </cfRule>
  </conditionalFormatting>
  <conditionalFormatting sqref="J115:K115">
    <cfRule type="expression" dxfId="901" priority="9">
      <formula>kvartal &lt; 4</formula>
    </cfRule>
  </conditionalFormatting>
  <conditionalFormatting sqref="J123:K123">
    <cfRule type="expression" dxfId="900" priority="8">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88</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21"/>
      <c r="M8" s="23"/>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33686</v>
      </c>
      <c r="C47" s="247"/>
      <c r="D47" s="338">
        <f t="shared" ref="D47:D48" si="0">IF(B47=0, "    ---- ", IF(ABS(ROUND(100/B47*C47-100,1))&lt;999,ROUND(100/B47*C47-100,1),IF(ROUND(100/B47*C47-100,1)&gt;999,999,-999)))</f>
        <v>-100</v>
      </c>
      <c r="E47" s="8">
        <f>IFERROR(100/'Skjema total MA'!C47*C47,0)</f>
        <v>0</v>
      </c>
      <c r="F47" s="109"/>
      <c r="G47" s="27"/>
      <c r="H47" s="117"/>
      <c r="I47" s="117"/>
      <c r="J47" s="31"/>
      <c r="K47" s="31"/>
      <c r="L47" s="117"/>
      <c r="M47" s="117"/>
    </row>
    <row r="48" spans="1:13" ht="15.75" x14ac:dyDescent="0.2">
      <c r="A48" s="18" t="s">
        <v>397</v>
      </c>
      <c r="B48" s="219">
        <v>33686</v>
      </c>
      <c r="C48" s="220"/>
      <c r="D48" s="198">
        <f t="shared" si="0"/>
        <v>-100</v>
      </c>
      <c r="E48" s="23">
        <f>IFERROR(100/'Skjema total MA'!C48*C48,0)</f>
        <v>0</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v>10417295</v>
      </c>
      <c r="C134" s="245">
        <v>8288469.449</v>
      </c>
      <c r="D134" s="278">
        <f t="shared" ref="D134:D135" si="1">IF(B134=0, "    ---- ", IF(ABS(ROUND(100/B134*C134-100,1))&lt;999,ROUND(100/B134*C134-100,1),IF(ROUND(100/B134*C134-100,1)&gt;999,999,-999)))</f>
        <v>-20.399999999999999</v>
      </c>
      <c r="E134" s="8">
        <f>IFERROR(100/'Skjema total MA'!C134*C134,0)</f>
        <v>11.709814263134779</v>
      </c>
      <c r="F134" s="252"/>
      <c r="G134" s="253"/>
      <c r="H134" s="342"/>
      <c r="I134" s="21"/>
      <c r="J134" s="254">
        <f t="shared" ref="J134:K135" si="2">SUM(B134,F134)</f>
        <v>10417295</v>
      </c>
      <c r="K134" s="254">
        <f t="shared" si="2"/>
        <v>8288469.449</v>
      </c>
      <c r="L134" s="338">
        <f t="shared" ref="L134:L135" si="3">IF(J134=0, "    ---- ", IF(ABS(ROUND(100/J134*K134-100,1))&lt;999,ROUND(100/J134*K134-100,1),IF(ROUND(100/J134*K134-100,1)&gt;999,999,-999)))</f>
        <v>-20.399999999999999</v>
      </c>
      <c r="M134" s="8">
        <f>IFERROR(100/'Skjema total MA'!I134*K134,0)</f>
        <v>11.67480586785331</v>
      </c>
    </row>
    <row r="135" spans="1:14" ht="15.75" x14ac:dyDescent="0.2">
      <c r="A135" s="10" t="s">
        <v>413</v>
      </c>
      <c r="B135" s="180">
        <v>121634234</v>
      </c>
      <c r="C135" s="245">
        <v>130120437</v>
      </c>
      <c r="D135" s="125">
        <f t="shared" si="1"/>
        <v>7</v>
      </c>
      <c r="E135" s="8">
        <f>IFERROR(100/'Skjema total MA'!C135*C135,0)</f>
        <v>13.644875140386299</v>
      </c>
      <c r="F135" s="180"/>
      <c r="G135" s="245"/>
      <c r="H135" s="343"/>
      <c r="I135" s="21"/>
      <c r="J135" s="244">
        <f t="shared" si="2"/>
        <v>121634234</v>
      </c>
      <c r="K135" s="244">
        <f t="shared" si="2"/>
        <v>130120437</v>
      </c>
      <c r="L135" s="339">
        <f t="shared" si="3"/>
        <v>7</v>
      </c>
      <c r="M135" s="8">
        <f>IFERROR(100/'Skjema total MA'!I135*K135,0)</f>
        <v>13.603694539690714</v>
      </c>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899" priority="10">
      <formula>kvartal &lt; 4</formula>
    </cfRule>
  </conditionalFormatting>
  <conditionalFormatting sqref="A80:A85">
    <cfRule type="expression" dxfId="898" priority="9">
      <formula>kvartal &lt; 4</formula>
    </cfRule>
  </conditionalFormatting>
  <conditionalFormatting sqref="A90:A95">
    <cfRule type="expression" dxfId="897" priority="6">
      <formula>kvartal &lt; 4</formula>
    </cfRule>
  </conditionalFormatting>
  <conditionalFormatting sqref="A101:A106">
    <cfRule type="expression" dxfId="896" priority="5">
      <formula>kvartal &lt; 4</formula>
    </cfRule>
  </conditionalFormatting>
  <conditionalFormatting sqref="A50:C52">
    <cfRule type="expression" dxfId="895" priority="12">
      <formula>kvartal &lt; 4</formula>
    </cfRule>
  </conditionalFormatting>
  <conditionalFormatting sqref="A115:C115">
    <cfRule type="expression" dxfId="894" priority="4">
      <formula>kvartal &lt; 4</formula>
    </cfRule>
  </conditionalFormatting>
  <conditionalFormatting sqref="A123:C123">
    <cfRule type="expression" dxfId="893" priority="3">
      <formula>kvartal &lt; 4</formula>
    </cfRule>
  </conditionalFormatting>
  <conditionalFormatting sqref="B69:C69">
    <cfRule type="expression" dxfId="892" priority="99">
      <formula>kvartal &lt; 4</formula>
    </cfRule>
  </conditionalFormatting>
  <conditionalFormatting sqref="B72:C72">
    <cfRule type="expression" dxfId="891" priority="97">
      <formula>kvartal &lt; 4</formula>
    </cfRule>
  </conditionalFormatting>
  <conditionalFormatting sqref="B80:C80">
    <cfRule type="expression" dxfId="890" priority="95">
      <formula>kvartal &lt; 4</formula>
    </cfRule>
  </conditionalFormatting>
  <conditionalFormatting sqref="B83:C83">
    <cfRule type="expression" dxfId="889" priority="93">
      <formula>kvartal &lt; 4</formula>
    </cfRule>
  </conditionalFormatting>
  <conditionalFormatting sqref="B90:C90">
    <cfRule type="expression" dxfId="888" priority="83">
      <formula>kvartal &lt; 4</formula>
    </cfRule>
  </conditionalFormatting>
  <conditionalFormatting sqref="B93:C93">
    <cfRule type="expression" dxfId="887" priority="81">
      <formula>kvartal &lt; 4</formula>
    </cfRule>
  </conditionalFormatting>
  <conditionalFormatting sqref="B101:C101">
    <cfRule type="expression" dxfId="886" priority="79">
      <formula>kvartal &lt; 4</formula>
    </cfRule>
  </conditionalFormatting>
  <conditionalFormatting sqref="B104:C104">
    <cfRule type="expression" dxfId="885" priority="77">
      <formula>kvartal &lt; 4</formula>
    </cfRule>
  </conditionalFormatting>
  <conditionalFormatting sqref="F69:G74">
    <cfRule type="expression" dxfId="884" priority="54">
      <formula>kvartal &lt; 4</formula>
    </cfRule>
  </conditionalFormatting>
  <conditionalFormatting sqref="F80:G85">
    <cfRule type="expression" dxfId="883" priority="52">
      <formula>kvartal &lt; 4</formula>
    </cfRule>
  </conditionalFormatting>
  <conditionalFormatting sqref="F90:G95">
    <cfRule type="expression" dxfId="882" priority="44">
      <formula>kvartal &lt; 4</formula>
    </cfRule>
  </conditionalFormatting>
  <conditionalFormatting sqref="F101:G106">
    <cfRule type="expression" dxfId="881" priority="40">
      <formula>kvartal &lt; 4</formula>
    </cfRule>
  </conditionalFormatting>
  <conditionalFormatting sqref="F115:G115">
    <cfRule type="expression" dxfId="880" priority="57">
      <formula>kvartal &lt; 4</formula>
    </cfRule>
  </conditionalFormatting>
  <conditionalFormatting sqref="F123:G123">
    <cfRule type="expression" dxfId="879" priority="56">
      <formula>kvartal &lt; 4</formula>
    </cfRule>
  </conditionalFormatting>
  <conditionalFormatting sqref="J69:K74">
    <cfRule type="expression" dxfId="878" priority="38">
      <formula>kvartal &lt; 4</formula>
    </cfRule>
  </conditionalFormatting>
  <conditionalFormatting sqref="J80:K85">
    <cfRule type="expression" dxfId="877" priority="37">
      <formula>kvartal &lt; 4</formula>
    </cfRule>
  </conditionalFormatting>
  <conditionalFormatting sqref="J90:K95">
    <cfRule type="expression" dxfId="876" priority="34">
      <formula>kvartal &lt; 4</formula>
    </cfRule>
  </conditionalFormatting>
  <conditionalFormatting sqref="J101:K106">
    <cfRule type="expression" dxfId="875" priority="33">
      <formula>kvartal &lt; 4</formula>
    </cfRule>
  </conditionalFormatting>
  <conditionalFormatting sqref="J115:K115">
    <cfRule type="expression" dxfId="874" priority="32">
      <formula>kvartal &lt; 4</formula>
    </cfRule>
  </conditionalFormatting>
  <conditionalFormatting sqref="J123:K123">
    <cfRule type="expression" dxfId="873" priority="31">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7"/>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385</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4943</v>
      </c>
      <c r="C7" s="243">
        <v>5042</v>
      </c>
      <c r="D7" s="278">
        <f>IF(B7=0, "    ---- ", IF(ABS(ROUND(100/B7*C7-100,1))&lt;999,ROUND(100/B7*C7-100,1),IF(ROUND(100/B7*C7-100,1)&gt;999,999,-999)))</f>
        <v>2</v>
      </c>
      <c r="E7" s="8">
        <f>IFERROR(100/'Skjema total MA'!C7*C7,0)</f>
        <v>9.1274466059657153E-2</v>
      </c>
      <c r="F7" s="242"/>
      <c r="G7" s="243"/>
      <c r="H7" s="278"/>
      <c r="I7" s="118"/>
      <c r="J7" s="244">
        <f t="shared" ref="J7:K9" si="0">SUM(B7,F7)</f>
        <v>4943</v>
      </c>
      <c r="K7" s="245">
        <f t="shared" si="0"/>
        <v>5042</v>
      </c>
      <c r="L7" s="338">
        <f>IF(J7=0, "    ---- ", IF(ABS(ROUND(100/J7*K7-100,1))&lt;999,ROUND(100/J7*K7-100,1),IF(ROUND(100/J7*K7-100,1)&gt;999,999,-999)))</f>
        <v>2</v>
      </c>
      <c r="M7" s="8">
        <f>IFERROR(100/'Skjema total MA'!I7*K7,0)</f>
        <v>2.5545461875513549E-2</v>
      </c>
    </row>
    <row r="8" spans="1:14" ht="15.75" x14ac:dyDescent="0.2">
      <c r="A8" s="18" t="s">
        <v>25</v>
      </c>
      <c r="B8" s="219">
        <v>4891</v>
      </c>
      <c r="C8" s="220">
        <v>4990</v>
      </c>
      <c r="D8" s="121">
        <f t="shared" ref="D8:D9" si="1">IF(B8=0, "    ---- ", IF(ABS(ROUND(100/B8*C8-100,1))&lt;999,ROUND(100/B8*C8-100,1),IF(ROUND(100/B8*C8-100,1)&gt;999,999,-999)))</f>
        <v>2</v>
      </c>
      <c r="E8" s="23">
        <f>IFERROR(100/'Skjema total MA'!C8*C8,0)</f>
        <v>0.13604177190227282</v>
      </c>
      <c r="F8" s="223"/>
      <c r="G8" s="224"/>
      <c r="H8" s="121"/>
      <c r="I8" s="129"/>
      <c r="J8" s="178">
        <f t="shared" si="0"/>
        <v>4891</v>
      </c>
      <c r="K8" s="225">
        <f t="shared" si="0"/>
        <v>4990</v>
      </c>
      <c r="L8" s="121">
        <f t="shared" ref="L8:L9" si="2">IF(J8=0, "    ---- ", IF(ABS(ROUND(100/J8*K8-100,1))&lt;999,ROUND(100/J8*K8-100,1),IF(ROUND(100/J8*K8-100,1)&gt;999,999,-999)))</f>
        <v>2</v>
      </c>
      <c r="M8" s="23">
        <f>IFERROR(100/'Skjema total MA'!I8*K8,0)</f>
        <v>0.13604177190227282</v>
      </c>
    </row>
    <row r="9" spans="1:14" ht="15.75" x14ac:dyDescent="0.2">
      <c r="A9" s="18" t="s">
        <v>24</v>
      </c>
      <c r="B9" s="219">
        <v>52</v>
      </c>
      <c r="C9" s="220">
        <v>52</v>
      </c>
      <c r="D9" s="121">
        <f t="shared" si="1"/>
        <v>0</v>
      </c>
      <c r="E9" s="23">
        <f>IFERROR(100/'Skjema total MA'!C9*C9,0)</f>
        <v>4.7684201796389632E-3</v>
      </c>
      <c r="F9" s="223"/>
      <c r="G9" s="224"/>
      <c r="H9" s="121"/>
      <c r="I9" s="129"/>
      <c r="J9" s="178">
        <f t="shared" si="0"/>
        <v>52</v>
      </c>
      <c r="K9" s="225">
        <f t="shared" si="0"/>
        <v>52</v>
      </c>
      <c r="L9" s="121">
        <f t="shared" si="2"/>
        <v>0</v>
      </c>
      <c r="M9" s="23">
        <f>IFERROR(100/'Skjema total MA'!I9*K9,0)</f>
        <v>4.7684201796389632E-3</v>
      </c>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374801</v>
      </c>
      <c r="C47" s="247">
        <v>393036</v>
      </c>
      <c r="D47" s="338">
        <f t="shared" ref="D47:D48" si="3">IF(B47=0, "    ---- ", IF(ABS(ROUND(100/B47*C47-100,1))&lt;999,ROUND(100/B47*C47-100,1),IF(ROUND(100/B47*C47-100,1)&gt;999,999,-999)))</f>
        <v>4.9000000000000004</v>
      </c>
      <c r="E47" s="8">
        <f>IFERROR(100/'Skjema total MA'!C47*C47,0)</f>
        <v>5.9733037937459024</v>
      </c>
      <c r="F47" s="109"/>
      <c r="G47" s="27"/>
      <c r="H47" s="117"/>
      <c r="I47" s="117"/>
      <c r="J47" s="31"/>
      <c r="K47" s="31"/>
      <c r="L47" s="117"/>
      <c r="M47" s="117"/>
    </row>
    <row r="48" spans="1:13" ht="15.75" x14ac:dyDescent="0.2">
      <c r="A48" s="18" t="s">
        <v>397</v>
      </c>
      <c r="B48" s="219">
        <v>374801</v>
      </c>
      <c r="C48" s="220">
        <v>393036</v>
      </c>
      <c r="D48" s="198">
        <f t="shared" si="3"/>
        <v>4.9000000000000004</v>
      </c>
      <c r="E48" s="23">
        <f>IFERROR(100/'Skjema total MA'!C48*C48,0)</f>
        <v>10.598778351948017</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69:A74">
    <cfRule type="expression" dxfId="872" priority="7">
      <formula>kvartal &lt; 4</formula>
    </cfRule>
  </conditionalFormatting>
  <conditionalFormatting sqref="A80:A85">
    <cfRule type="expression" dxfId="871" priority="6">
      <formula>kvartal &lt; 4</formula>
    </cfRule>
  </conditionalFormatting>
  <conditionalFormatting sqref="A90:A95">
    <cfRule type="expression" dxfId="870" priority="5">
      <formula>kvartal &lt; 4</formula>
    </cfRule>
  </conditionalFormatting>
  <conditionalFormatting sqref="A101:A106">
    <cfRule type="expression" dxfId="869" priority="4">
      <formula>kvartal &lt; 4</formula>
    </cfRule>
  </conditionalFormatting>
  <conditionalFormatting sqref="A50:C52">
    <cfRule type="expression" dxfId="868" priority="8">
      <formula>kvartal &lt; 4</formula>
    </cfRule>
  </conditionalFormatting>
  <conditionalFormatting sqref="A115:C115">
    <cfRule type="expression" dxfId="867" priority="3">
      <formula>kvartal &lt; 4</formula>
    </cfRule>
  </conditionalFormatting>
  <conditionalFormatting sqref="A123:C123">
    <cfRule type="expression" dxfId="866" priority="2">
      <formula>kvartal &lt; 4</formula>
    </cfRule>
  </conditionalFormatting>
  <conditionalFormatting sqref="B69:C69">
    <cfRule type="expression" dxfId="865" priority="60">
      <formula>kvartal &lt; 4</formula>
    </cfRule>
  </conditionalFormatting>
  <conditionalFormatting sqref="B72:C72">
    <cfRule type="expression" dxfId="864" priority="58">
      <formula>kvartal &lt; 4</formula>
    </cfRule>
  </conditionalFormatting>
  <conditionalFormatting sqref="B80:C80">
    <cfRule type="expression" dxfId="863" priority="56">
      <formula>kvartal &lt; 4</formula>
    </cfRule>
  </conditionalFormatting>
  <conditionalFormatting sqref="B83:C83">
    <cfRule type="expression" dxfId="862" priority="54">
      <formula>kvartal &lt; 4</formula>
    </cfRule>
  </conditionalFormatting>
  <conditionalFormatting sqref="B90:C90">
    <cfRule type="expression" dxfId="861" priority="52">
      <formula>kvartal &lt; 4</formula>
    </cfRule>
  </conditionalFormatting>
  <conditionalFormatting sqref="B93:C93">
    <cfRule type="expression" dxfId="860" priority="50">
      <formula>kvartal &lt; 4</formula>
    </cfRule>
  </conditionalFormatting>
  <conditionalFormatting sqref="B101:C101">
    <cfRule type="expression" dxfId="859" priority="48">
      <formula>kvartal &lt; 4</formula>
    </cfRule>
  </conditionalFormatting>
  <conditionalFormatting sqref="B104:C104">
    <cfRule type="expression" dxfId="858" priority="46">
      <formula>kvartal &lt; 4</formula>
    </cfRule>
  </conditionalFormatting>
  <conditionalFormatting sqref="F69:G74">
    <cfRule type="expression" dxfId="857" priority="27">
      <formula>kvartal &lt; 4</formula>
    </cfRule>
  </conditionalFormatting>
  <conditionalFormatting sqref="F80:G85">
    <cfRule type="expression" dxfId="856" priority="25">
      <formula>kvartal &lt; 4</formula>
    </cfRule>
  </conditionalFormatting>
  <conditionalFormatting sqref="F90:G95">
    <cfRule type="expression" dxfId="855" priority="22">
      <formula>kvartal &lt; 4</formula>
    </cfRule>
  </conditionalFormatting>
  <conditionalFormatting sqref="F101:G106">
    <cfRule type="expression" dxfId="854" priority="18">
      <formula>kvartal &lt; 4</formula>
    </cfRule>
  </conditionalFormatting>
  <conditionalFormatting sqref="F115:G115">
    <cfRule type="expression" dxfId="853" priority="30">
      <formula>kvartal &lt; 4</formula>
    </cfRule>
  </conditionalFormatting>
  <conditionalFormatting sqref="F123:G123">
    <cfRule type="expression" dxfId="852" priority="29">
      <formula>kvartal &lt; 4</formula>
    </cfRule>
  </conditionalFormatting>
  <conditionalFormatting sqref="J69:K74">
    <cfRule type="expression" dxfId="851" priority="16">
      <formula>kvartal &lt; 4</formula>
    </cfRule>
  </conditionalFormatting>
  <conditionalFormatting sqref="J80:K85">
    <cfRule type="expression" dxfId="850" priority="15">
      <formula>kvartal &lt; 4</formula>
    </cfRule>
  </conditionalFormatting>
  <conditionalFormatting sqref="J90:K95">
    <cfRule type="expression" dxfId="849" priority="14">
      <formula>kvartal &lt; 4</formula>
    </cfRule>
  </conditionalFormatting>
  <conditionalFormatting sqref="J101:K106">
    <cfRule type="expression" dxfId="848" priority="13">
      <formula>kvartal &lt; 4</formula>
    </cfRule>
  </conditionalFormatting>
  <conditionalFormatting sqref="J115:K115">
    <cfRule type="expression" dxfId="847" priority="12">
      <formula>kvartal &lt; 4</formula>
    </cfRule>
  </conditionalFormatting>
  <conditionalFormatting sqref="J123:K123">
    <cfRule type="expression" dxfId="846" priority="11">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122</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3983.8116599999998</v>
      </c>
      <c r="C7" s="243">
        <v>3387.2297100000001</v>
      </c>
      <c r="D7" s="278">
        <f>IF(B7=0, "    ---- ", IF(ABS(ROUND(100/B7*C7-100,1))&lt;999,ROUND(100/B7*C7-100,1),IF(ROUND(100/B7*C7-100,1)&gt;999,999,-999)))</f>
        <v>-15</v>
      </c>
      <c r="E7" s="8">
        <f>IFERROR(100/'Skjema total MA'!C7*C7,0)</f>
        <v>6.1318441729801144E-2</v>
      </c>
      <c r="F7" s="242">
        <v>685387.24349999998</v>
      </c>
      <c r="G7" s="243">
        <v>769316.88699999999</v>
      </c>
      <c r="H7" s="278">
        <f>IF(F7=0, "    ---- ", IF(ABS(ROUND(100/F7*G7-100,1))&lt;999,ROUND(100/F7*G7-100,1),IF(ROUND(100/F7*G7-100,1)&gt;999,999,-999)))</f>
        <v>12.2</v>
      </c>
      <c r="I7" s="118">
        <f>IFERROR(100/'Skjema total MA'!F7*G7,0)</f>
        <v>5.4126311432773013</v>
      </c>
      <c r="J7" s="244">
        <f t="shared" ref="J7:K12" si="0">SUM(B7,F7)</f>
        <v>689371.05515999999</v>
      </c>
      <c r="K7" s="245">
        <f t="shared" si="0"/>
        <v>772704.11670999997</v>
      </c>
      <c r="L7" s="338">
        <f>IF(J7=0, "    ---- ", IF(ABS(ROUND(100/J7*K7-100,1))&lt;999,ROUND(100/J7*K7-100,1),IF(ROUND(100/J7*K7-100,1)&gt;999,999,-999)))</f>
        <v>12.1</v>
      </c>
      <c r="M7" s="8">
        <f>IFERROR(100/'Skjema total MA'!I7*K7,0)</f>
        <v>3.9149312880737157</v>
      </c>
    </row>
    <row r="8" spans="1:14" ht="15.75" x14ac:dyDescent="0.2">
      <c r="A8" s="18" t="s">
        <v>25</v>
      </c>
      <c r="B8" s="219">
        <v>4565.3472499999998</v>
      </c>
      <c r="C8" s="220">
        <v>4144.5963899999997</v>
      </c>
      <c r="D8" s="121">
        <f t="shared" ref="D8:D10" si="1">IF(B8=0, "    ---- ", IF(ABS(ROUND(100/B8*C8-100,1))&lt;999,ROUND(100/B8*C8-100,1),IF(ROUND(100/B8*C8-100,1)&gt;999,999,-999)))</f>
        <v>-9.1999999999999993</v>
      </c>
      <c r="E8" s="23">
        <f>IFERROR(100/'Skjema total MA'!C8*C8,0)</f>
        <v>0.11299363461229725</v>
      </c>
      <c r="F8" s="223"/>
      <c r="G8" s="224"/>
      <c r="H8" s="121"/>
      <c r="I8" s="129"/>
      <c r="J8" s="178">
        <f t="shared" si="0"/>
        <v>4565.3472499999998</v>
      </c>
      <c r="K8" s="225">
        <f t="shared" si="0"/>
        <v>4144.5963899999997</v>
      </c>
      <c r="L8" s="121">
        <f t="shared" ref="L8:L9" si="2">IF(J8=0, "    ---- ", IF(ABS(ROUND(100/J8*K8-100,1))&lt;999,ROUND(100/J8*K8-100,1),IF(ROUND(100/J8*K8-100,1)&gt;999,999,-999)))</f>
        <v>-9.1999999999999993</v>
      </c>
      <c r="M8" s="23">
        <f>IFERROR(100/'Skjema total MA'!I8*K8,0)</f>
        <v>0.11299363461229725</v>
      </c>
    </row>
    <row r="9" spans="1:14" ht="15.75" x14ac:dyDescent="0.2">
      <c r="A9" s="18" t="s">
        <v>24</v>
      </c>
      <c r="B9" s="219">
        <v>1759.19877</v>
      </c>
      <c r="C9" s="220">
        <v>1506.33502</v>
      </c>
      <c r="D9" s="121">
        <f t="shared" si="1"/>
        <v>-14.4</v>
      </c>
      <c r="E9" s="23">
        <f>IFERROR(100/'Skjema total MA'!C9*C9,0)</f>
        <v>0.13813150589740117</v>
      </c>
      <c r="F9" s="223"/>
      <c r="G9" s="224"/>
      <c r="H9" s="121"/>
      <c r="I9" s="129"/>
      <c r="J9" s="178">
        <f t="shared" si="0"/>
        <v>1759.19877</v>
      </c>
      <c r="K9" s="225">
        <f t="shared" si="0"/>
        <v>1506.33502</v>
      </c>
      <c r="L9" s="121">
        <f t="shared" si="2"/>
        <v>-14.4</v>
      </c>
      <c r="M9" s="23">
        <f>IFERROR(100/'Skjema total MA'!I9*K9,0)</f>
        <v>0.13813150589740117</v>
      </c>
    </row>
    <row r="10" spans="1:14" ht="15.75" x14ac:dyDescent="0.2">
      <c r="A10" s="10" t="s">
        <v>386</v>
      </c>
      <c r="B10" s="246">
        <v>302502.95275</v>
      </c>
      <c r="C10" s="247">
        <v>285915.10265999998</v>
      </c>
      <c r="D10" s="125">
        <f t="shared" si="1"/>
        <v>-5.5</v>
      </c>
      <c r="E10" s="8">
        <f>IFERROR(100/'Skjema total MA'!C10*C10,0)</f>
        <v>1.8689529037634407</v>
      </c>
      <c r="F10" s="246">
        <v>5282392.2207800001</v>
      </c>
      <c r="G10" s="247">
        <v>6482486.9316400001</v>
      </c>
      <c r="H10" s="125">
        <f t="shared" ref="H10:H12" si="3">IF(F10=0, "    ---- ", IF(ABS(ROUND(100/F10*G10-100,1))&lt;999,ROUND(100/F10*G10-100,1),IF(ROUND(100/F10*G10-100,1)&gt;999,999,-999)))</f>
        <v>22.7</v>
      </c>
      <c r="I10" s="118">
        <f>IFERROR(100/'Skjema total MA'!F10*G10,0)</f>
        <v>6.3707057999802474</v>
      </c>
      <c r="J10" s="244">
        <f t="shared" si="0"/>
        <v>5584895.1735300003</v>
      </c>
      <c r="K10" s="245">
        <f t="shared" si="0"/>
        <v>6768402.0343000004</v>
      </c>
      <c r="L10" s="339">
        <f t="shared" ref="L10:L12" si="4">IF(J10=0, "    ---- ", IF(ABS(ROUND(100/J10*K10-100,1))&lt;999,ROUND(100/J10*K10-100,1),IF(ROUND(100/J10*K10-100,1)&gt;999,999,-999)))</f>
        <v>21.2</v>
      </c>
      <c r="M10" s="8">
        <f>IFERROR(100/'Skjema total MA'!I10*K10,0)</f>
        <v>5.7823517454000317</v>
      </c>
    </row>
    <row r="11" spans="1:14" s="35" customFormat="1" ht="15.75" x14ac:dyDescent="0.2">
      <c r="A11" s="10" t="s">
        <v>387</v>
      </c>
      <c r="B11" s="246"/>
      <c r="C11" s="247"/>
      <c r="D11" s="125"/>
      <c r="E11" s="8"/>
      <c r="F11" s="246">
        <v>66728.932260000001</v>
      </c>
      <c r="G11" s="247">
        <v>72904.992549999995</v>
      </c>
      <c r="H11" s="125">
        <f t="shared" si="3"/>
        <v>9.3000000000000007</v>
      </c>
      <c r="I11" s="118">
        <f>IFERROR(100/'Skjema total MA'!F11*G11,0)</f>
        <v>18.416428083797332</v>
      </c>
      <c r="J11" s="244">
        <f t="shared" si="0"/>
        <v>66728.932260000001</v>
      </c>
      <c r="K11" s="245">
        <f t="shared" si="0"/>
        <v>72904.992549999995</v>
      </c>
      <c r="L11" s="339">
        <f t="shared" si="4"/>
        <v>9.3000000000000007</v>
      </c>
      <c r="M11" s="8">
        <f>IFERROR(100/'Skjema total MA'!I11*K11,0)</f>
        <v>18.346124405743577</v>
      </c>
      <c r="N11" s="107"/>
    </row>
    <row r="12" spans="1:14" s="35" customFormat="1" ht="15.75" x14ac:dyDescent="0.2">
      <c r="A12" s="33" t="s">
        <v>388</v>
      </c>
      <c r="B12" s="248"/>
      <c r="C12" s="249"/>
      <c r="D12" s="123"/>
      <c r="E12" s="30"/>
      <c r="F12" s="248">
        <v>11428.66346</v>
      </c>
      <c r="G12" s="249">
        <v>24058.167389999999</v>
      </c>
      <c r="H12" s="123">
        <f t="shared" si="3"/>
        <v>110.5</v>
      </c>
      <c r="I12" s="123">
        <f>IFERROR(100/'Skjema total MA'!F12*G12,0)</f>
        <v>6.1660305074436534</v>
      </c>
      <c r="J12" s="250">
        <f t="shared" si="0"/>
        <v>11428.66346</v>
      </c>
      <c r="K12" s="251">
        <f t="shared" si="0"/>
        <v>24058.167389999999</v>
      </c>
      <c r="L12" s="340">
        <f t="shared" si="4"/>
        <v>110.5</v>
      </c>
      <c r="M12" s="30">
        <f>IFERROR(100/'Skjema total MA'!I12*K12,0)</f>
        <v>6.1411776164371012</v>
      </c>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4765.2852700000003</v>
      </c>
      <c r="C22" s="246">
        <v>8278.51469</v>
      </c>
      <c r="D22" s="278">
        <f t="shared" ref="D22:D35" si="5">IF(B22=0, "    ---- ", IF(ABS(ROUND(100/B22*C22-100,1))&lt;999,ROUND(100/B22*C22-100,1),IF(ROUND(100/B22*C22-100,1)&gt;999,999,-999)))</f>
        <v>73.7</v>
      </c>
      <c r="E22" s="8">
        <f>IFERROR(100/'Skjema total MA'!C22*C22,0)</f>
        <v>0.33992628539587899</v>
      </c>
      <c r="F22" s="254">
        <v>334397.05109000002</v>
      </c>
      <c r="G22" s="254">
        <v>392332.26006</v>
      </c>
      <c r="H22" s="278">
        <f t="shared" ref="H22:H35" si="6">IF(F22=0, "    ---- ", IF(ABS(ROUND(100/F22*G22-100,1))&lt;999,ROUND(100/F22*G22-100,1),IF(ROUND(100/F22*G22-100,1)&gt;999,999,-999)))</f>
        <v>17.3</v>
      </c>
      <c r="I22" s="8">
        <f>IFERROR(100/'Skjema total MA'!F22*G22,0)</f>
        <v>38.458562019557732</v>
      </c>
      <c r="J22" s="252">
        <f t="shared" ref="J22:K35" si="7">SUM(B22,F22)</f>
        <v>339162.33636000002</v>
      </c>
      <c r="K22" s="252">
        <f t="shared" si="7"/>
        <v>400610.77474999998</v>
      </c>
      <c r="L22" s="338">
        <f t="shared" ref="L22:L35" si="8">IF(J22=0, "    ---- ", IF(ABS(ROUND(100/J22*K22-100,1))&lt;999,ROUND(100/J22*K22-100,1),IF(ROUND(100/J22*K22-100,1)&gt;999,999,-999)))</f>
        <v>18.100000000000001</v>
      </c>
      <c r="M22" s="21">
        <f>IFERROR(100/'Skjema total MA'!I22*K22,0)</f>
        <v>11.593329986228126</v>
      </c>
    </row>
    <row r="23" spans="1:13" ht="15.75" x14ac:dyDescent="0.2">
      <c r="A23" s="379" t="s">
        <v>389</v>
      </c>
      <c r="B23" s="219">
        <v>4764.3374599999997</v>
      </c>
      <c r="C23" s="219">
        <v>8277.5668800000003</v>
      </c>
      <c r="D23" s="121">
        <f t="shared" si="5"/>
        <v>73.7</v>
      </c>
      <c r="E23" s="8">
        <f>IFERROR(100/'Skjema total MA'!C23*C23,0)</f>
        <v>0.57222690245848251</v>
      </c>
      <c r="F23" s="228">
        <v>6016.3903700000001</v>
      </c>
      <c r="G23" s="228">
        <v>5585.1712500000003</v>
      </c>
      <c r="H23" s="121">
        <f t="shared" si="6"/>
        <v>-7.2</v>
      </c>
      <c r="I23" s="331">
        <f>IFERROR(100/'Skjema total MA'!F23*G23,0)</f>
        <v>11.690758685117855</v>
      </c>
      <c r="J23" s="228">
        <f t="shared" ref="J23:J26" si="9">SUM(B23,F23)</f>
        <v>10780.72783</v>
      </c>
      <c r="K23" s="228">
        <f t="shared" ref="K23:K26" si="10">SUM(C23,G23)</f>
        <v>13862.738130000002</v>
      </c>
      <c r="L23" s="121">
        <f t="shared" si="8"/>
        <v>28.6</v>
      </c>
      <c r="M23" s="20">
        <f>IFERROR(100/'Skjema total MA'!I23*K23,0)</f>
        <v>0.92769076197219891</v>
      </c>
    </row>
    <row r="24" spans="1:13" ht="15.75" x14ac:dyDescent="0.2">
      <c r="A24" s="379" t="s">
        <v>390</v>
      </c>
      <c r="B24" s="219">
        <v>0.94781000000000004</v>
      </c>
      <c r="C24" s="219">
        <v>0.94781000000000004</v>
      </c>
      <c r="D24" s="121">
        <f t="shared" si="5"/>
        <v>0</v>
      </c>
      <c r="E24" s="8">
        <f>IFERROR(100/'Skjema total MA'!C24*C24,0)</f>
        <v>7.9567746582378841E-3</v>
      </c>
      <c r="F24" s="228">
        <v>0</v>
      </c>
      <c r="G24" s="228">
        <v>-8.1549699999999792</v>
      </c>
      <c r="H24" s="121" t="str">
        <f t="shared" si="6"/>
        <v xml:space="preserve">    ---- </v>
      </c>
      <c r="I24" s="331">
        <f>IFERROR(100/'Skjema total MA'!F24*G24,0)</f>
        <v>-0.8096425315294854</v>
      </c>
      <c r="J24" s="228">
        <f t="shared" si="9"/>
        <v>0.94781000000000004</v>
      </c>
      <c r="K24" s="228">
        <f t="shared" si="10"/>
        <v>-7.2071599999999787</v>
      </c>
      <c r="L24" s="121">
        <f t="shared" si="8"/>
        <v>-860.4</v>
      </c>
      <c r="M24" s="20">
        <f>IFERROR(100/'Skjema total MA'!I24*K24,0)</f>
        <v>-5.5786346967719162E-2</v>
      </c>
    </row>
    <row r="25" spans="1:13" ht="15.75" x14ac:dyDescent="0.2">
      <c r="A25" s="379" t="s">
        <v>391</v>
      </c>
      <c r="B25" s="219"/>
      <c r="C25" s="219"/>
      <c r="D25" s="121"/>
      <c r="E25" s="8"/>
      <c r="F25" s="228">
        <v>7486.8752400000003</v>
      </c>
      <c r="G25" s="228">
        <v>6325.83097</v>
      </c>
      <c r="H25" s="121">
        <f t="shared" si="6"/>
        <v>-15.5</v>
      </c>
      <c r="I25" s="331">
        <f>IFERROR(100/'Skjema total MA'!F25*G25,0)</f>
        <v>42.215527478090991</v>
      </c>
      <c r="J25" s="228">
        <f t="shared" si="9"/>
        <v>7486.8752400000003</v>
      </c>
      <c r="K25" s="228">
        <f t="shared" si="10"/>
        <v>6325.83097</v>
      </c>
      <c r="L25" s="121">
        <f t="shared" si="8"/>
        <v>-15.5</v>
      </c>
      <c r="M25" s="20">
        <f>IFERROR(100/'Skjema total MA'!I25*K25,0)</f>
        <v>17.70027280190147</v>
      </c>
    </row>
    <row r="26" spans="1:13" ht="15.75" x14ac:dyDescent="0.2">
      <c r="A26" s="379" t="s">
        <v>392</v>
      </c>
      <c r="B26" s="219"/>
      <c r="C26" s="219"/>
      <c r="D26" s="121"/>
      <c r="E26" s="8"/>
      <c r="F26" s="228">
        <v>320893.78548000002</v>
      </c>
      <c r="G26" s="228">
        <v>380429.41281000001</v>
      </c>
      <c r="H26" s="121">
        <f t="shared" si="6"/>
        <v>18.600000000000001</v>
      </c>
      <c r="I26" s="331">
        <f>IFERROR(100/'Skjema total MA'!F26*G26,0)</f>
        <v>39.778195730791673</v>
      </c>
      <c r="J26" s="228">
        <f t="shared" si="9"/>
        <v>320893.78548000002</v>
      </c>
      <c r="K26" s="228">
        <f t="shared" si="10"/>
        <v>380429.41281000001</v>
      </c>
      <c r="L26" s="121">
        <f t="shared" si="8"/>
        <v>18.600000000000001</v>
      </c>
      <c r="M26" s="20">
        <f>IFERROR(100/'Skjema total MA'!I26*K26,0)</f>
        <v>39.778195730791673</v>
      </c>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v>2246093.2883299999</v>
      </c>
      <c r="C29" s="180">
        <v>2472794.3513500001</v>
      </c>
      <c r="D29" s="125">
        <f t="shared" si="5"/>
        <v>10.1</v>
      </c>
      <c r="E29" s="8">
        <f>IFERROR(100/'Skjema total MA'!C29*C29,0)</f>
        <v>5.6792229902228231</v>
      </c>
      <c r="F29" s="244">
        <v>4434414.7352</v>
      </c>
      <c r="G29" s="244">
        <v>5264030.2826199997</v>
      </c>
      <c r="H29" s="125">
        <f t="shared" si="6"/>
        <v>18.7</v>
      </c>
      <c r="I29" s="8">
        <f>IFERROR(100/'Skjema total MA'!F29*G29,0)</f>
        <v>17.730778584668553</v>
      </c>
      <c r="J29" s="180">
        <f t="shared" si="7"/>
        <v>6680508.0235299999</v>
      </c>
      <c r="K29" s="180">
        <f t="shared" si="7"/>
        <v>7736824.6339699998</v>
      </c>
      <c r="L29" s="339">
        <f t="shared" si="8"/>
        <v>15.8</v>
      </c>
      <c r="M29" s="21">
        <f>IFERROR(100/'Skjema total MA'!I29*K29,0)</f>
        <v>10.565142057109401</v>
      </c>
    </row>
    <row r="30" spans="1:13" ht="15.75" x14ac:dyDescent="0.2">
      <c r="A30" s="379" t="s">
        <v>389</v>
      </c>
      <c r="B30" s="219">
        <v>1288565.81445282</v>
      </c>
      <c r="C30" s="219">
        <v>1418622.4071266199</v>
      </c>
      <c r="D30" s="121">
        <f t="shared" si="5"/>
        <v>10.1</v>
      </c>
      <c r="E30" s="8">
        <f>IFERROR(100/'Skjema total MA'!C30*C30,0)</f>
        <v>7.9022639592995825</v>
      </c>
      <c r="F30" s="228">
        <v>618521.03310999903</v>
      </c>
      <c r="G30" s="228">
        <v>649254.04902999895</v>
      </c>
      <c r="H30" s="121">
        <f t="shared" si="6"/>
        <v>5</v>
      </c>
      <c r="I30" s="331">
        <f>IFERROR(100/'Skjema total MA'!F30*G30,0)</f>
        <v>17.170526436484625</v>
      </c>
      <c r="J30" s="228">
        <f t="shared" ref="J30:J33" si="11">SUM(B30,F30)</f>
        <v>1907086.847562819</v>
      </c>
      <c r="K30" s="228">
        <f t="shared" ref="K30:K33" si="12">SUM(C30,G30)</f>
        <v>2067876.4561566189</v>
      </c>
      <c r="L30" s="121">
        <f t="shared" si="8"/>
        <v>8.4</v>
      </c>
      <c r="M30" s="20">
        <f>IFERROR(100/'Skjema total MA'!I30*K30,0)</f>
        <v>9.5147777631369834</v>
      </c>
    </row>
    <row r="31" spans="1:13" ht="15.75" x14ac:dyDescent="0.2">
      <c r="A31" s="379" t="s">
        <v>390</v>
      </c>
      <c r="B31" s="219">
        <v>957527.47387718095</v>
      </c>
      <c r="C31" s="219">
        <v>1054171.9442233799</v>
      </c>
      <c r="D31" s="121">
        <f t="shared" si="5"/>
        <v>10.1</v>
      </c>
      <c r="E31" s="8">
        <f>IFERROR(100/'Skjema total MA'!C31*C31,0)</f>
        <v>4.5577471256367179</v>
      </c>
      <c r="F31" s="228">
        <v>796707.22364999901</v>
      </c>
      <c r="G31" s="228">
        <v>809185.37264999899</v>
      </c>
      <c r="H31" s="121">
        <f t="shared" si="6"/>
        <v>1.6</v>
      </c>
      <c r="I31" s="331">
        <f>IFERROR(100/'Skjema total MA'!F31*G31,0)</f>
        <v>10.6373375804805</v>
      </c>
      <c r="J31" s="228">
        <f t="shared" si="11"/>
        <v>1754234.69752718</v>
      </c>
      <c r="K31" s="228">
        <f t="shared" si="12"/>
        <v>1863357.3168733791</v>
      </c>
      <c r="L31" s="121">
        <f t="shared" si="8"/>
        <v>6.2</v>
      </c>
      <c r="M31" s="20">
        <f>IFERROR(100/'Skjema total MA'!I31*K31,0)</f>
        <v>6.0624070592396881</v>
      </c>
    </row>
    <row r="32" spans="1:13" ht="15.75" x14ac:dyDescent="0.2">
      <c r="A32" s="379" t="s">
        <v>391</v>
      </c>
      <c r="B32" s="219"/>
      <c r="C32" s="219"/>
      <c r="D32" s="121"/>
      <c r="E32" s="8"/>
      <c r="F32" s="228">
        <v>619467.81414000003</v>
      </c>
      <c r="G32" s="228">
        <v>715320.34276999999</v>
      </c>
      <c r="H32" s="121">
        <f t="shared" si="6"/>
        <v>15.5</v>
      </c>
      <c r="I32" s="331">
        <f>IFERROR(100/'Skjema total MA'!F32*G32,0)</f>
        <v>10.408193502238761</v>
      </c>
      <c r="J32" s="228">
        <f t="shared" si="11"/>
        <v>619467.81414000003</v>
      </c>
      <c r="K32" s="228">
        <f t="shared" si="12"/>
        <v>715320.34276999999</v>
      </c>
      <c r="L32" s="121">
        <f t="shared" si="8"/>
        <v>15.5</v>
      </c>
      <c r="M32" s="20">
        <f>IFERROR(100/'Skjema total MA'!I32*K32,0)</f>
        <v>7.7840870216762461</v>
      </c>
    </row>
    <row r="33" spans="1:13" ht="15.75" x14ac:dyDescent="0.2">
      <c r="A33" s="379" t="s">
        <v>392</v>
      </c>
      <c r="B33" s="219"/>
      <c r="C33" s="219"/>
      <c r="D33" s="121"/>
      <c r="E33" s="8"/>
      <c r="F33" s="228">
        <v>2399718.6642999998</v>
      </c>
      <c r="G33" s="228">
        <v>3090270.5181700001</v>
      </c>
      <c r="H33" s="121">
        <f t="shared" si="6"/>
        <v>28.8</v>
      </c>
      <c r="I33" s="331">
        <f>IFERROR(100/'Skjema total MA'!F33*G33,0)</f>
        <v>27.041807629416649</v>
      </c>
      <c r="J33" s="228">
        <f t="shared" si="11"/>
        <v>2399718.6642999998</v>
      </c>
      <c r="K33" s="228">
        <f t="shared" si="12"/>
        <v>3090270.5181700001</v>
      </c>
      <c r="L33" s="121">
        <f t="shared" si="8"/>
        <v>28.8</v>
      </c>
      <c r="M33" s="20">
        <f>IFERROR(100/'Skjema total MA'!I33*K33,0)</f>
        <v>27.041807629416649</v>
      </c>
    </row>
    <row r="34" spans="1:13" ht="15.75" x14ac:dyDescent="0.2">
      <c r="A34" s="10" t="s">
        <v>387</v>
      </c>
      <c r="B34" s="180"/>
      <c r="C34" s="245"/>
      <c r="D34" s="125"/>
      <c r="E34" s="8"/>
      <c r="F34" s="244">
        <v>46366.585599999999</v>
      </c>
      <c r="G34" s="245">
        <v>63345.972439999998</v>
      </c>
      <c r="H34" s="125">
        <f t="shared" si="6"/>
        <v>36.6</v>
      </c>
      <c r="I34" s="8">
        <f>IFERROR(100/'Skjema total MA'!F34*G34,0)</f>
        <v>-14.864733734635394</v>
      </c>
      <c r="J34" s="180">
        <f t="shared" si="7"/>
        <v>46366.585599999999</v>
      </c>
      <c r="K34" s="180">
        <f t="shared" si="7"/>
        <v>63345.972439999998</v>
      </c>
      <c r="L34" s="339">
        <f t="shared" si="8"/>
        <v>36.6</v>
      </c>
      <c r="M34" s="21">
        <f>IFERROR(100/'Skjema total MA'!I34*K34,0)</f>
        <v>-16.766755311143378</v>
      </c>
    </row>
    <row r="35" spans="1:13" ht="15.75" x14ac:dyDescent="0.2">
      <c r="A35" s="10" t="s">
        <v>388</v>
      </c>
      <c r="B35" s="180">
        <v>0</v>
      </c>
      <c r="C35" s="245">
        <v>907.26959999999997</v>
      </c>
      <c r="D35" s="125" t="str">
        <f t="shared" si="5"/>
        <v xml:space="preserve">    ---- </v>
      </c>
      <c r="E35" s="8">
        <f>IFERROR(100/'Skjema total MA'!C35*C35,0)</f>
        <v>-0.15098799068882937</v>
      </c>
      <c r="F35" s="244">
        <v>21813.20969</v>
      </c>
      <c r="G35" s="245">
        <v>33341.149619999997</v>
      </c>
      <c r="H35" s="125">
        <f t="shared" si="6"/>
        <v>52.8</v>
      </c>
      <c r="I35" s="8">
        <f>IFERROR(100/'Skjema total MA'!F35*G35,0)</f>
        <v>15.316063643322233</v>
      </c>
      <c r="J35" s="180">
        <f t="shared" si="7"/>
        <v>21813.20969</v>
      </c>
      <c r="K35" s="180">
        <f t="shared" si="7"/>
        <v>34248.419219999996</v>
      </c>
      <c r="L35" s="339">
        <f t="shared" si="8"/>
        <v>57</v>
      </c>
      <c r="M35" s="21">
        <f>IFERROR(100/'Skjema total MA'!I35*K35,0)</f>
        <v>-8.9374526476649621</v>
      </c>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c r="C47" s="247"/>
      <c r="D47" s="338"/>
      <c r="E47" s="8"/>
      <c r="F47" s="109"/>
      <c r="G47" s="27"/>
      <c r="H47" s="117"/>
      <c r="I47" s="117"/>
      <c r="J47" s="31"/>
      <c r="K47" s="31"/>
      <c r="L47" s="117"/>
      <c r="M47" s="117"/>
    </row>
    <row r="48" spans="1:13" ht="15.75" x14ac:dyDescent="0.2">
      <c r="A48" s="18" t="s">
        <v>397</v>
      </c>
      <c r="B48" s="219"/>
      <c r="C48" s="220"/>
      <c r="D48" s="198"/>
      <c r="E48" s="23"/>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v>864436.67191000003</v>
      </c>
      <c r="C66" s="281">
        <v>905871.97238000005</v>
      </c>
      <c r="D66" s="278">
        <f t="shared" ref="D66:D111" si="13">IF(B66=0, "    ---- ", IF(ABS(ROUND(100/B66*C66-100,1))&lt;999,ROUND(100/B66*C66-100,1),IF(ROUND(100/B66*C66-100,1)&gt;999,999,-999)))</f>
        <v>4.8</v>
      </c>
      <c r="E66" s="8">
        <f>IFERROR(100/'Skjema total MA'!C66*C66,0)</f>
        <v>10.273826304116971</v>
      </c>
      <c r="F66" s="280">
        <v>5884906.7648900002</v>
      </c>
      <c r="G66" s="280">
        <v>6578582.1806199998</v>
      </c>
      <c r="H66" s="278">
        <f t="shared" ref="H66:H111" si="14">IF(F66=0, "    ---- ", IF(ABS(ROUND(100/F66*G66-100,1))&lt;999,ROUND(100/F66*G66-100,1),IF(ROUND(100/F66*G66-100,1)&gt;999,999,-999)))</f>
        <v>11.8</v>
      </c>
      <c r="I66" s="8">
        <f>IFERROR(100/'Skjema total MA'!F66*G66,0)</f>
        <v>12.022242993195663</v>
      </c>
      <c r="J66" s="245">
        <f t="shared" ref="J66:K86" si="15">SUM(B66,F66)</f>
        <v>6749343.4368000003</v>
      </c>
      <c r="K66" s="252">
        <f t="shared" si="15"/>
        <v>7484454.1529999999</v>
      </c>
      <c r="L66" s="339">
        <f t="shared" ref="L66:L111" si="16">IF(J66=0, "    ---- ", IF(ABS(ROUND(100/J66*K66-100,1))&lt;999,ROUND(100/J66*K66-100,1),IF(ROUND(100/J66*K66-100,1)&gt;999,999,-999)))</f>
        <v>10.9</v>
      </c>
      <c r="M66" s="8">
        <f>IFERROR(100/'Skjema total MA'!I66*K66,0)</f>
        <v>11.779609742214809</v>
      </c>
    </row>
    <row r="67" spans="1:13" x14ac:dyDescent="0.2">
      <c r="A67" s="39" t="s">
        <v>9</v>
      </c>
      <c r="B67" s="36">
        <v>167515.04449</v>
      </c>
      <c r="C67" s="109">
        <v>162206.08194</v>
      </c>
      <c r="D67" s="121">
        <f t="shared" si="13"/>
        <v>-3.2</v>
      </c>
      <c r="E67" s="23">
        <f>IFERROR(100/'Skjema total MA'!C67*C67,0)</f>
        <v>3.4170708901584295</v>
      </c>
      <c r="F67" s="178"/>
      <c r="G67" s="109"/>
      <c r="H67" s="121"/>
      <c r="I67" s="23"/>
      <c r="J67" s="225">
        <f t="shared" si="15"/>
        <v>167515.04449</v>
      </c>
      <c r="K67" s="36">
        <f t="shared" si="15"/>
        <v>162206.08194</v>
      </c>
      <c r="L67" s="198">
        <f t="shared" si="16"/>
        <v>-3.2</v>
      </c>
      <c r="M67" s="23">
        <f>IFERROR(100/'Skjema total MA'!I67*K67,0)</f>
        <v>3.4170708901584295</v>
      </c>
    </row>
    <row r="68" spans="1:13" x14ac:dyDescent="0.2">
      <c r="A68" s="18" t="s">
        <v>10</v>
      </c>
      <c r="B68" s="230">
        <v>37865.623399999997</v>
      </c>
      <c r="C68" s="231">
        <v>29162.744979999999</v>
      </c>
      <c r="D68" s="121">
        <f t="shared" si="13"/>
        <v>-23</v>
      </c>
      <c r="E68" s="23">
        <f>IFERROR(100/'Skjema total MA'!C68*C68,0)</f>
        <v>97.816443387314436</v>
      </c>
      <c r="F68" s="230">
        <v>5505137.4807099998</v>
      </c>
      <c r="G68" s="231">
        <v>6155320.5406999998</v>
      </c>
      <c r="H68" s="121">
        <f t="shared" si="14"/>
        <v>11.8</v>
      </c>
      <c r="I68" s="23">
        <f>IFERROR(100/'Skjema total MA'!F68*G68,0)</f>
        <v>11.69883685714602</v>
      </c>
      <c r="J68" s="225">
        <f t="shared" si="15"/>
        <v>5543003.1041099997</v>
      </c>
      <c r="K68" s="36">
        <f t="shared" si="15"/>
        <v>6184483.2856799997</v>
      </c>
      <c r="L68" s="198">
        <f t="shared" si="16"/>
        <v>11.6</v>
      </c>
      <c r="M68" s="23">
        <f>IFERROR(100/'Skjema total MA'!I68*K68,0)</f>
        <v>11.747607050157407</v>
      </c>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v>37865.623399999997</v>
      </c>
      <c r="C72" s="219">
        <v>29162.744979999999</v>
      </c>
      <c r="D72" s="121">
        <f t="shared" ref="D72" si="17">IF(B72=0, "    ---- ", IF(ABS(ROUND(100/B72*C72-100,1))&lt;999,ROUND(100/B72*C72-100,1),IF(ROUND(100/B72*C72-100,1)&gt;999,999,-999)))</f>
        <v>-23</v>
      </c>
      <c r="E72" s="23">
        <f>IFERROR(100/'Skjema total MA'!C72*C72,0)</f>
        <v>98.871023599418166</v>
      </c>
      <c r="F72" s="219">
        <v>5505137.4807099998</v>
      </c>
      <c r="G72" s="219">
        <v>6155320.5406999998</v>
      </c>
      <c r="H72" s="121">
        <f t="shared" si="14"/>
        <v>11.8</v>
      </c>
      <c r="I72" s="331">
        <f>IFERROR(100/'Skjema total MA'!F72*G72,0)</f>
        <v>11.699398253981359</v>
      </c>
      <c r="J72" s="225">
        <f t="shared" ref="J72" si="18">SUM(B72,F72)</f>
        <v>5543003.1041099997</v>
      </c>
      <c r="K72" s="36">
        <f t="shared" ref="K72" si="19">SUM(C72,G72)</f>
        <v>6184483.2856799997</v>
      </c>
      <c r="L72" s="198">
        <f t="shared" ref="L72" si="20">IF(J72=0, "    ---- ", IF(ABS(ROUND(100/J72*K72-100,1))&lt;999,ROUND(100/J72*K72-100,1),IF(ROUND(100/J72*K72-100,1)&gt;999,999,-999)))</f>
        <v>11.6</v>
      </c>
      <c r="M72" s="20">
        <f>IFERROR(100/'Skjema total MA'!I72*K72,0)</f>
        <v>11.748241436768643</v>
      </c>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v>5505137.4807099998</v>
      </c>
      <c r="G74" s="219">
        <v>6155320.5406999998</v>
      </c>
      <c r="H74" s="121">
        <f t="shared" si="14"/>
        <v>11.8</v>
      </c>
      <c r="I74" s="331">
        <f>IFERROR(100/'Skjema total MA'!F74*G74,0)</f>
        <v>11.699398253981359</v>
      </c>
      <c r="J74" s="225">
        <f t="shared" ref="J74" si="21">SUM(B74,F74)</f>
        <v>5505137.4807099998</v>
      </c>
      <c r="K74" s="36">
        <f t="shared" ref="K74" si="22">SUM(C74,G74)</f>
        <v>6155320.5406999998</v>
      </c>
      <c r="L74" s="198">
        <f t="shared" ref="L74" si="23">IF(J74=0, "    ---- ", IF(ABS(ROUND(100/J74*K74-100,1))&lt;999,ROUND(100/J74*K74-100,1),IF(ROUND(100/J74*K74-100,1)&gt;999,999,-999)))</f>
        <v>11.8</v>
      </c>
      <c r="M74" s="20">
        <f>IFERROR(100/'Skjema total MA'!I74*K74,0)</f>
        <v>11.699398253981359</v>
      </c>
    </row>
    <row r="75" spans="1:13" x14ac:dyDescent="0.2">
      <c r="A75" s="18" t="s">
        <v>308</v>
      </c>
      <c r="B75" s="178">
        <v>379409.18948</v>
      </c>
      <c r="C75" s="109">
        <v>393903.91047</v>
      </c>
      <c r="D75" s="121">
        <f t="shared" si="13"/>
        <v>3.8</v>
      </c>
      <c r="E75" s="23">
        <f>IFERROR(100/'Skjema total MA'!C75*C75,0)</f>
        <v>48.929056223527652</v>
      </c>
      <c r="F75" s="178">
        <v>379769.28418000002</v>
      </c>
      <c r="G75" s="109">
        <v>423261.63991999999</v>
      </c>
      <c r="H75" s="121">
        <f t="shared" si="14"/>
        <v>11.5</v>
      </c>
      <c r="I75" s="23">
        <f>IFERROR(100/'Skjema total MA'!F75*G75,0)</f>
        <v>20.104747567933288</v>
      </c>
      <c r="J75" s="225">
        <f t="shared" si="15"/>
        <v>759178.47366000002</v>
      </c>
      <c r="K75" s="36">
        <f t="shared" si="15"/>
        <v>817165.55038999999</v>
      </c>
      <c r="L75" s="198">
        <f t="shared" si="16"/>
        <v>7.6</v>
      </c>
      <c r="M75" s="23">
        <f>IFERROR(100/'Skjema total MA'!I75*K75,0)</f>
        <v>28.078075872506716</v>
      </c>
    </row>
    <row r="76" spans="1:13" x14ac:dyDescent="0.2">
      <c r="A76" s="18" t="s">
        <v>307</v>
      </c>
      <c r="B76" s="178">
        <v>279646.81453999999</v>
      </c>
      <c r="C76" s="109">
        <v>320599.23499000003</v>
      </c>
      <c r="D76" s="121">
        <f t="shared" ref="D76" si="24">IF(B76=0, "    ---- ", IF(ABS(ROUND(100/B76*C76-100,1))&lt;999,ROUND(100/B76*C76-100,1),IF(ROUND(100/B76*C76-100,1)&gt;999,999,-999)))</f>
        <v>14.6</v>
      </c>
      <c r="E76" s="23">
        <f>IFERROR(100/'Skjema total MA'!C77*C76,0)</f>
        <v>6.8477462099072604</v>
      </c>
      <c r="F76" s="178"/>
      <c r="G76" s="109"/>
      <c r="H76" s="121"/>
      <c r="I76" s="23"/>
      <c r="J76" s="225">
        <f t="shared" ref="J76" si="25">SUM(B76,F76)</f>
        <v>279646.81453999999</v>
      </c>
      <c r="K76" s="36">
        <f t="shared" ref="K76" si="26">SUM(C76,G76)</f>
        <v>320599.23499000003</v>
      </c>
      <c r="L76" s="198">
        <f t="shared" ref="L76" si="27">IF(J76=0, "    ---- ", IF(ABS(ROUND(100/J76*K76-100,1))&lt;999,ROUND(100/J76*K76-100,1),IF(ROUND(100/J76*K76-100,1)&gt;999,999,-999)))</f>
        <v>14.6</v>
      </c>
      <c r="M76" s="23">
        <f>IFERROR(100/'Skjema total MA'!I77*K76,0)</f>
        <v>0.55966986804411878</v>
      </c>
    </row>
    <row r="77" spans="1:13" ht="15.75" x14ac:dyDescent="0.2">
      <c r="A77" s="18" t="s">
        <v>403</v>
      </c>
      <c r="B77" s="178">
        <v>205380.66788999998</v>
      </c>
      <c r="C77" s="178">
        <v>191368.82691999999</v>
      </c>
      <c r="D77" s="121">
        <f t="shared" si="13"/>
        <v>-6.8</v>
      </c>
      <c r="E77" s="23">
        <f>IFERROR(100/'Skjema total MA'!C77*C77,0)</f>
        <v>4.0874868565319664</v>
      </c>
      <c r="F77" s="178">
        <v>5494960.9115000004</v>
      </c>
      <c r="G77" s="109">
        <v>6144865.4506999999</v>
      </c>
      <c r="H77" s="121">
        <f t="shared" si="14"/>
        <v>11.8</v>
      </c>
      <c r="I77" s="23">
        <f>IFERROR(100/'Skjema total MA'!F77*G77,0)</f>
        <v>11.681851262516245</v>
      </c>
      <c r="J77" s="225">
        <f t="shared" si="15"/>
        <v>5700341.5793900006</v>
      </c>
      <c r="K77" s="36">
        <f t="shared" si="15"/>
        <v>6336234.2776199998</v>
      </c>
      <c r="L77" s="198">
        <f t="shared" si="16"/>
        <v>11.2</v>
      </c>
      <c r="M77" s="23">
        <f>IFERROR(100/'Skjema total MA'!I77*K77,0)</f>
        <v>11.061159900031635</v>
      </c>
    </row>
    <row r="78" spans="1:13" x14ac:dyDescent="0.2">
      <c r="A78" s="18" t="s">
        <v>9</v>
      </c>
      <c r="B78" s="178">
        <v>167515.04449</v>
      </c>
      <c r="C78" s="109">
        <v>162206.08194</v>
      </c>
      <c r="D78" s="121">
        <f t="shared" si="13"/>
        <v>-3.2</v>
      </c>
      <c r="E78" s="23">
        <f>IFERROR(100/'Skjema total MA'!C78*C78,0)</f>
        <v>3.4867975361397918</v>
      </c>
      <c r="F78" s="178"/>
      <c r="G78" s="109"/>
      <c r="H78" s="121"/>
      <c r="I78" s="23"/>
      <c r="J78" s="225">
        <f t="shared" si="15"/>
        <v>167515.04449</v>
      </c>
      <c r="K78" s="36">
        <f t="shared" si="15"/>
        <v>162206.08194</v>
      </c>
      <c r="L78" s="198">
        <f t="shared" si="16"/>
        <v>-3.2</v>
      </c>
      <c r="M78" s="23">
        <f>IFERROR(100/'Skjema total MA'!I78*K78,0)</f>
        <v>3.4867975361397918</v>
      </c>
    </row>
    <row r="79" spans="1:13" x14ac:dyDescent="0.2">
      <c r="A79" s="18" t="s">
        <v>429</v>
      </c>
      <c r="B79" s="230">
        <v>37865.623399999997</v>
      </c>
      <c r="C79" s="231">
        <v>29162.744979999999</v>
      </c>
      <c r="D79" s="121">
        <f t="shared" si="13"/>
        <v>-23</v>
      </c>
      <c r="E79" s="23">
        <f>IFERROR(100/'Skjema total MA'!C79*C79,0)</f>
        <v>97.816443387314436</v>
      </c>
      <c r="F79" s="230">
        <v>5494960.9115000004</v>
      </c>
      <c r="G79" s="231">
        <v>6144865.4506999999</v>
      </c>
      <c r="H79" s="121">
        <f t="shared" si="14"/>
        <v>11.8</v>
      </c>
      <c r="I79" s="23">
        <f>IFERROR(100/'Skjema total MA'!F79*G79,0)</f>
        <v>11.681851262516245</v>
      </c>
      <c r="J79" s="225">
        <f t="shared" si="15"/>
        <v>5532826.5349000003</v>
      </c>
      <c r="K79" s="36">
        <f t="shared" si="15"/>
        <v>6174028.1956799999</v>
      </c>
      <c r="L79" s="198">
        <f t="shared" si="16"/>
        <v>11.6</v>
      </c>
      <c r="M79" s="23">
        <f>IFERROR(100/'Skjema total MA'!I79*K79,0)</f>
        <v>11.730643119549441</v>
      </c>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v>37865.623399999997</v>
      </c>
      <c r="C83" s="219">
        <v>29162.744979999999</v>
      </c>
      <c r="D83" s="121">
        <f t="shared" ref="D83" si="28">IF(B83=0, "    ---- ", IF(ABS(ROUND(100/B83*C83-100,1))&lt;999,ROUND(100/B83*C83-100,1),IF(ROUND(100/B83*C83-100,1)&gt;999,999,-999)))</f>
        <v>-23</v>
      </c>
      <c r="E83" s="23">
        <f>IFERROR(100/'Skjema total MA'!C83*C83,0)</f>
        <v>97.816443387314436</v>
      </c>
      <c r="F83" s="219">
        <v>5494960.9115000004</v>
      </c>
      <c r="G83" s="219">
        <v>6144865.4506999999</v>
      </c>
      <c r="H83" s="121">
        <f t="shared" si="14"/>
        <v>11.8</v>
      </c>
      <c r="I83" s="331">
        <f>IFERROR(100/'Skjema total MA'!F83*G83,0)</f>
        <v>11.681851262516245</v>
      </c>
      <c r="J83" s="225">
        <f t="shared" ref="J83" si="29">SUM(B83,F83)</f>
        <v>5532826.5349000003</v>
      </c>
      <c r="K83" s="36">
        <f t="shared" ref="K83" si="30">SUM(C83,G83)</f>
        <v>6174028.1956799999</v>
      </c>
      <c r="L83" s="198">
        <f t="shared" ref="L83" si="31">IF(J83=0, "    ---- ", IF(ABS(ROUND(100/J83*K83-100,1))&lt;999,ROUND(100/J83*K83-100,1),IF(ROUND(100/J83*K83-100,1)&gt;999,999,-999)))</f>
        <v>11.6</v>
      </c>
      <c r="M83" s="20">
        <f>IFERROR(100/'Skjema total MA'!I83*K83,0)</f>
        <v>11.730643119549441</v>
      </c>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v>5494960.9115000004</v>
      </c>
      <c r="G85" s="219">
        <v>6144865.4506999999</v>
      </c>
      <c r="H85" s="121">
        <f t="shared" si="14"/>
        <v>11.8</v>
      </c>
      <c r="I85" s="331">
        <f>IFERROR(100/'Skjema total MA'!F85*G85,0)</f>
        <v>11.681851262516245</v>
      </c>
      <c r="J85" s="225">
        <f t="shared" ref="J85" si="32">SUM(B85,F85)</f>
        <v>5494960.9115000004</v>
      </c>
      <c r="K85" s="36">
        <f t="shared" ref="K85" si="33">SUM(C85,G85)</f>
        <v>6144865.4506999999</v>
      </c>
      <c r="L85" s="198">
        <f t="shared" ref="L85" si="34">IF(J85=0, "    ---- ", IF(ABS(ROUND(100/J85*K85-100,1))&lt;999,ROUND(100/J85*K85-100,1),IF(ROUND(100/J85*K85-100,1)&gt;999,999,-999)))</f>
        <v>11.8</v>
      </c>
      <c r="M85" s="20">
        <f>IFERROR(100/'Skjema total MA'!I85*K85,0)</f>
        <v>11.681851262516245</v>
      </c>
    </row>
    <row r="86" spans="1:13" ht="15.75" x14ac:dyDescent="0.2">
      <c r="A86" s="18" t="s">
        <v>404</v>
      </c>
      <c r="B86" s="178"/>
      <c r="C86" s="109"/>
      <c r="D86" s="121"/>
      <c r="E86" s="23"/>
      <c r="F86" s="178">
        <v>10176.56921</v>
      </c>
      <c r="G86" s="109">
        <v>10455.09</v>
      </c>
      <c r="H86" s="121">
        <f t="shared" si="14"/>
        <v>2.7</v>
      </c>
      <c r="I86" s="23">
        <f>IFERROR(100/'Skjema total MA'!F86*G86,0)</f>
        <v>80.449655454520482</v>
      </c>
      <c r="J86" s="225">
        <f t="shared" si="15"/>
        <v>10176.56921</v>
      </c>
      <c r="K86" s="36">
        <f t="shared" si="15"/>
        <v>10455.09</v>
      </c>
      <c r="L86" s="198">
        <f t="shared" si="16"/>
        <v>2.7</v>
      </c>
      <c r="M86" s="23">
        <f>IFERROR(100/'Skjema total MA'!I86*K86,0)</f>
        <v>9.6876217804883868</v>
      </c>
    </row>
    <row r="87" spans="1:13" ht="15.75" x14ac:dyDescent="0.2">
      <c r="A87" s="10" t="s">
        <v>386</v>
      </c>
      <c r="B87" s="281">
        <v>16657084.403029999</v>
      </c>
      <c r="C87" s="281">
        <v>19839376.084489997</v>
      </c>
      <c r="D87" s="125">
        <f t="shared" si="13"/>
        <v>19.100000000000001</v>
      </c>
      <c r="E87" s="8">
        <f>IFERROR(100/'Skjema total MA'!C87*C87,0)</f>
        <v>4.8872127634487477</v>
      </c>
      <c r="F87" s="280">
        <v>59902699.790829904</v>
      </c>
      <c r="G87" s="280">
        <v>73614881.427379891</v>
      </c>
      <c r="H87" s="125">
        <f t="shared" si="14"/>
        <v>22.9</v>
      </c>
      <c r="I87" s="8">
        <f>IFERROR(100/'Skjema total MA'!F87*G87,0)</f>
        <v>11.064499004846025</v>
      </c>
      <c r="J87" s="245">
        <f t="shared" ref="J87:K111" si="35">SUM(B87,F87)</f>
        <v>76559784.193859905</v>
      </c>
      <c r="K87" s="180">
        <f t="shared" si="35"/>
        <v>93454257.511869892</v>
      </c>
      <c r="L87" s="339">
        <f t="shared" si="16"/>
        <v>22.1</v>
      </c>
      <c r="M87" s="8">
        <f>IFERROR(100/'Skjema total MA'!I87*K87,0)</f>
        <v>8.7236915155699677</v>
      </c>
    </row>
    <row r="88" spans="1:13" x14ac:dyDescent="0.2">
      <c r="A88" s="18" t="s">
        <v>9</v>
      </c>
      <c r="B88" s="178">
        <v>11767263.8234</v>
      </c>
      <c r="C88" s="109">
        <v>13720700.9274</v>
      </c>
      <c r="D88" s="121">
        <f t="shared" si="13"/>
        <v>16.600000000000001</v>
      </c>
      <c r="E88" s="23">
        <f>IFERROR(100/'Skjema total MA'!C88*C88,0)</f>
        <v>3.5707329605567777</v>
      </c>
      <c r="F88" s="178"/>
      <c r="G88" s="109"/>
      <c r="H88" s="121"/>
      <c r="I88" s="23"/>
      <c r="J88" s="225">
        <f t="shared" si="35"/>
        <v>11767263.8234</v>
      </c>
      <c r="K88" s="36">
        <f t="shared" si="35"/>
        <v>13720700.9274</v>
      </c>
      <c r="L88" s="198">
        <f t="shared" si="16"/>
        <v>16.600000000000001</v>
      </c>
      <c r="M88" s="23">
        <f>IFERROR(100/'Skjema total MA'!I88*K88,0)</f>
        <v>3.5707329605567777</v>
      </c>
    </row>
    <row r="89" spans="1:13" x14ac:dyDescent="0.2">
      <c r="A89" s="18" t="s">
        <v>10</v>
      </c>
      <c r="B89" s="178">
        <v>660733.87199999997</v>
      </c>
      <c r="C89" s="109">
        <v>642630.14531000005</v>
      </c>
      <c r="D89" s="121">
        <f t="shared" si="13"/>
        <v>-2.7</v>
      </c>
      <c r="E89" s="23">
        <f>IFERROR(100/'Skjema total MA'!C89*C89,0)</f>
        <v>26.511182622625004</v>
      </c>
      <c r="F89" s="178">
        <v>57619531.132949904</v>
      </c>
      <c r="G89" s="109">
        <v>70697295.794659898</v>
      </c>
      <c r="H89" s="121">
        <f t="shared" si="14"/>
        <v>22.7</v>
      </c>
      <c r="I89" s="23">
        <f>IFERROR(100/'Skjema total MA'!F89*G89,0)</f>
        <v>10.79314777036649</v>
      </c>
      <c r="J89" s="225">
        <f t="shared" si="35"/>
        <v>58280265.004949905</v>
      </c>
      <c r="K89" s="36">
        <f t="shared" si="35"/>
        <v>71339925.939969897</v>
      </c>
      <c r="L89" s="198">
        <f t="shared" si="16"/>
        <v>22.4</v>
      </c>
      <c r="M89" s="23">
        <f>IFERROR(100/'Skjema total MA'!I89*K89,0)</f>
        <v>10.851100161300161</v>
      </c>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v>660733.87199999997</v>
      </c>
      <c r="C93" s="219">
        <v>642630.14531000005</v>
      </c>
      <c r="D93" s="121">
        <f t="shared" ref="D93" si="36">IF(B93=0, "    ---- ", IF(ABS(ROUND(100/B93*C93-100,1))&lt;999,ROUND(100/B93*C93-100,1),IF(ROUND(100/B93*C93-100,1)&gt;999,999,-999)))</f>
        <v>-2.7</v>
      </c>
      <c r="E93" s="23">
        <f>IFERROR(100/'Skjema total MA'!C93*C93,0)</f>
        <v>26.511182622625004</v>
      </c>
      <c r="F93" s="219">
        <v>57619531.132949904</v>
      </c>
      <c r="G93" s="219">
        <v>70697295.794659898</v>
      </c>
      <c r="H93" s="121">
        <f t="shared" si="14"/>
        <v>22.7</v>
      </c>
      <c r="I93" s="331">
        <f>IFERROR(100/'Skjema total MA'!F93*G93,0)</f>
        <v>10.798518026606486</v>
      </c>
      <c r="J93" s="225">
        <f t="shared" ref="J93" si="37">SUM(B93,F93)</f>
        <v>58280265.004949905</v>
      </c>
      <c r="K93" s="36">
        <f t="shared" ref="K93" si="38">SUM(C93,G93)</f>
        <v>71339925.939969897</v>
      </c>
      <c r="L93" s="198">
        <f t="shared" ref="L93" si="39">IF(J93=0, "    ---- ", IF(ABS(ROUND(100/J93*K93-100,1))&lt;999,ROUND(100/J93*K93-100,1),IF(ROUND(100/J93*K93-100,1)&gt;999,999,-999)))</f>
        <v>22.4</v>
      </c>
      <c r="M93" s="20">
        <f>IFERROR(100/'Skjema total MA'!I93*K93,0)</f>
        <v>10.856479336110574</v>
      </c>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v>57619531.132949904</v>
      </c>
      <c r="G95" s="219">
        <v>70697295.794659898</v>
      </c>
      <c r="H95" s="121">
        <f t="shared" si="14"/>
        <v>22.7</v>
      </c>
      <c r="I95" s="331">
        <f>IFERROR(100/'Skjema total MA'!F95*G95,0)</f>
        <v>10.798518026606486</v>
      </c>
      <c r="J95" s="225">
        <f t="shared" ref="J95" si="40">SUM(B95,F95)</f>
        <v>57619531.132949904</v>
      </c>
      <c r="K95" s="36">
        <f t="shared" ref="K95" si="41">SUM(C95,G95)</f>
        <v>70697295.794659898</v>
      </c>
      <c r="L95" s="198">
        <f t="shared" ref="L95" si="42">IF(J95=0, "    ---- ", IF(ABS(ROUND(100/J95*K95-100,1))&lt;999,ROUND(100/J95*K95-100,1),IF(ROUND(100/J95*K95-100,1)&gt;999,999,-999)))</f>
        <v>22.7</v>
      </c>
      <c r="M95" s="20">
        <f>IFERROR(100/'Skjema total MA'!I95*K95,0)</f>
        <v>10.798518026606486</v>
      </c>
    </row>
    <row r="96" spans="1:13" x14ac:dyDescent="0.2">
      <c r="A96" s="18" t="s">
        <v>306</v>
      </c>
      <c r="B96" s="178">
        <v>2839484.2147900001</v>
      </c>
      <c r="C96" s="109">
        <v>3747961.4784900001</v>
      </c>
      <c r="D96" s="121">
        <f t="shared" si="13"/>
        <v>32</v>
      </c>
      <c r="E96" s="23">
        <f>IFERROR(100/'Skjema total MA'!C96*C96,0)</f>
        <v>53.72160217639393</v>
      </c>
      <c r="F96" s="178">
        <v>2283168.6578799998</v>
      </c>
      <c r="G96" s="109">
        <v>2917585.6327200001</v>
      </c>
      <c r="H96" s="121">
        <f t="shared" si="14"/>
        <v>27.8</v>
      </c>
      <c r="I96" s="23">
        <f>IFERROR(100/'Skjema total MA'!F96*G96,0)</f>
        <v>28.312735758617698</v>
      </c>
      <c r="J96" s="225">
        <f t="shared" si="35"/>
        <v>5122652.8726700004</v>
      </c>
      <c r="K96" s="36">
        <f t="shared" si="35"/>
        <v>6665547.1112099998</v>
      </c>
      <c r="L96" s="198">
        <f t="shared" si="16"/>
        <v>30.1</v>
      </c>
      <c r="M96" s="23">
        <f>IFERROR(100/'Skjema total MA'!I96*K96,0)</f>
        <v>38.570442253929521</v>
      </c>
    </row>
    <row r="97" spans="1:13" x14ac:dyDescent="0.2">
      <c r="A97" s="18" t="s">
        <v>305</v>
      </c>
      <c r="B97" s="178">
        <v>1389602.49284</v>
      </c>
      <c r="C97" s="109">
        <v>1728083.5332899999</v>
      </c>
      <c r="D97" s="121">
        <f t="shared" ref="D97" si="43">IF(B97=0, "    ---- ", IF(ABS(ROUND(100/B97*C97-100,1))&lt;999,ROUND(100/B97*C97-100,1),IF(ROUND(100/B97*C97-100,1)&gt;999,999,-999)))</f>
        <v>24.4</v>
      </c>
      <c r="E97" s="23">
        <f>IFERROR(100/'Skjema total MA'!C98*C97,0)</f>
        <v>0.45186991395893072</v>
      </c>
      <c r="F97" s="178"/>
      <c r="G97" s="109"/>
      <c r="H97" s="121"/>
      <c r="I97" s="23"/>
      <c r="J97" s="225">
        <f t="shared" ref="J97" si="44">SUM(B97,F97)</f>
        <v>1389602.49284</v>
      </c>
      <c r="K97" s="36">
        <f t="shared" ref="K97" si="45">SUM(C97,G97)</f>
        <v>1728083.5332899999</v>
      </c>
      <c r="L97" s="198">
        <f t="shared" ref="L97" si="46">IF(J97=0, "    ---- ", IF(ABS(ROUND(100/J97*K97-100,1))&lt;999,ROUND(100/J97*K97-100,1),IF(ROUND(100/J97*K97-100,1)&gt;999,999,-999)))</f>
        <v>24.4</v>
      </c>
      <c r="M97" s="23">
        <f>IFERROR(100/'Skjema total MA'!I98*K97,0)</f>
        <v>0.16663858837245615</v>
      </c>
    </row>
    <row r="98" spans="1:13" ht="15.75" x14ac:dyDescent="0.2">
      <c r="A98" s="18" t="s">
        <v>403</v>
      </c>
      <c r="B98" s="178">
        <v>12427997.6954</v>
      </c>
      <c r="C98" s="178">
        <v>14363331.07271</v>
      </c>
      <c r="D98" s="121">
        <f t="shared" si="13"/>
        <v>15.6</v>
      </c>
      <c r="E98" s="23">
        <f>IFERROR(100/'Skjema total MA'!C98*C98,0)</f>
        <v>3.7558121762971042</v>
      </c>
      <c r="F98" s="230">
        <v>57536275.5996999</v>
      </c>
      <c r="G98" s="230">
        <v>70598367.060159996</v>
      </c>
      <c r="H98" s="121">
        <f t="shared" si="14"/>
        <v>22.7</v>
      </c>
      <c r="I98" s="23">
        <f>IFERROR(100/'Skjema total MA'!F98*G98,0)</f>
        <v>10.785038709299627</v>
      </c>
      <c r="J98" s="225">
        <f t="shared" si="35"/>
        <v>69964273.295099899</v>
      </c>
      <c r="K98" s="36">
        <f t="shared" si="35"/>
        <v>84961698.132869989</v>
      </c>
      <c r="L98" s="198">
        <f t="shared" si="16"/>
        <v>21.4</v>
      </c>
      <c r="M98" s="23">
        <f>IFERROR(100/'Skjema total MA'!I98*K98,0)</f>
        <v>8.1928316368097001</v>
      </c>
    </row>
    <row r="99" spans="1:13" x14ac:dyDescent="0.2">
      <c r="A99" s="18" t="s">
        <v>9</v>
      </c>
      <c r="B99" s="230">
        <v>11767263.8234</v>
      </c>
      <c r="C99" s="231">
        <v>13720700.9274</v>
      </c>
      <c r="D99" s="121">
        <f t="shared" si="13"/>
        <v>16.600000000000001</v>
      </c>
      <c r="E99" s="23">
        <f>IFERROR(100/'Skjema total MA'!C99*C99,0)</f>
        <v>3.6106591492418825</v>
      </c>
      <c r="F99" s="178"/>
      <c r="G99" s="109"/>
      <c r="H99" s="121"/>
      <c r="I99" s="23"/>
      <c r="J99" s="225">
        <f t="shared" si="35"/>
        <v>11767263.8234</v>
      </c>
      <c r="K99" s="36">
        <f t="shared" si="35"/>
        <v>13720700.9274</v>
      </c>
      <c r="L99" s="198">
        <f t="shared" si="16"/>
        <v>16.600000000000001</v>
      </c>
      <c r="M99" s="23">
        <f>IFERROR(100/'Skjema total MA'!I99*K99,0)</f>
        <v>3.6106591492418825</v>
      </c>
    </row>
    <row r="100" spans="1:13" x14ac:dyDescent="0.2">
      <c r="A100" s="18" t="s">
        <v>429</v>
      </c>
      <c r="B100" s="230">
        <v>660733.87199999997</v>
      </c>
      <c r="C100" s="231">
        <v>642630.14531000005</v>
      </c>
      <c r="D100" s="121">
        <f t="shared" si="13"/>
        <v>-2.7</v>
      </c>
      <c r="E100" s="23">
        <f>IFERROR(100/'Skjema total MA'!C100*C100,0)</f>
        <v>26.511182622625004</v>
      </c>
      <c r="F100" s="178">
        <v>57536275.5996999</v>
      </c>
      <c r="G100" s="178">
        <v>70598367.060159996</v>
      </c>
      <c r="H100" s="121">
        <f t="shared" si="14"/>
        <v>22.7</v>
      </c>
      <c r="I100" s="23">
        <f>IFERROR(100/'Skjema total MA'!F100*G100,0)</f>
        <v>10.785038709299627</v>
      </c>
      <c r="J100" s="225">
        <f t="shared" si="35"/>
        <v>58197009.471699901</v>
      </c>
      <c r="K100" s="36">
        <f t="shared" si="35"/>
        <v>71240997.205469996</v>
      </c>
      <c r="L100" s="198">
        <f t="shared" si="16"/>
        <v>22.4</v>
      </c>
      <c r="M100" s="23">
        <f>IFERROR(100/'Skjema total MA'!I100*K100,0)</f>
        <v>10.843058485436075</v>
      </c>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v>660733.87199999997</v>
      </c>
      <c r="C104" s="219">
        <v>642630.14531000005</v>
      </c>
      <c r="D104" s="121">
        <f t="shared" ref="D104" si="47">IF(B104=0, "    ---- ", IF(ABS(ROUND(100/B104*C104-100,1))&lt;999,ROUND(100/B104*C104-100,1),IF(ROUND(100/B104*C104-100,1)&gt;999,999,-999)))</f>
        <v>-2.7</v>
      </c>
      <c r="E104" s="23">
        <f>IFERROR(100/'Skjema total MA'!C104*C104,0)</f>
        <v>26.511182622625004</v>
      </c>
      <c r="F104" s="219">
        <v>57536275.5996999</v>
      </c>
      <c r="G104" s="219">
        <v>70598367.060159996</v>
      </c>
      <c r="H104" s="121">
        <f t="shared" si="14"/>
        <v>22.7</v>
      </c>
      <c r="I104" s="331">
        <f>IFERROR(100/'Skjema total MA'!F104*G104,0)</f>
        <v>10.785038709299627</v>
      </c>
      <c r="J104" s="225">
        <f t="shared" ref="J104" si="48">SUM(B104,F104)</f>
        <v>58197009.471699901</v>
      </c>
      <c r="K104" s="36">
        <f t="shared" ref="K104" si="49">SUM(C104,G104)</f>
        <v>71240997.205469996</v>
      </c>
      <c r="L104" s="198">
        <f t="shared" ref="L104" si="50">IF(J104=0, "    ---- ", IF(ABS(ROUND(100/J104*K104-100,1))&lt;999,ROUND(100/J104*K104-100,1),IF(ROUND(100/J104*K104-100,1)&gt;999,999,-999)))</f>
        <v>22.4</v>
      </c>
      <c r="M104" s="20">
        <f>IFERROR(100/'Skjema total MA'!I104*K104,0)</f>
        <v>10.843058485436075</v>
      </c>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v>57536275.5996999</v>
      </c>
      <c r="G106" s="219">
        <v>70598367.060159996</v>
      </c>
      <c r="H106" s="121">
        <f t="shared" si="14"/>
        <v>22.7</v>
      </c>
      <c r="I106" s="331">
        <f>IFERROR(100/'Skjema total MA'!F106*G106,0)</f>
        <v>10.785038709299627</v>
      </c>
      <c r="J106" s="225">
        <f t="shared" ref="J106" si="51">SUM(B106,F106)</f>
        <v>57536275.5996999</v>
      </c>
      <c r="K106" s="36">
        <f t="shared" ref="K106" si="52">SUM(C106,G106)</f>
        <v>70598367.060159996</v>
      </c>
      <c r="L106" s="198">
        <f t="shared" ref="L106" si="53">IF(J106=0, "    ---- ", IF(ABS(ROUND(100/J106*K106-100,1))&lt;999,ROUND(100/J106*K106-100,1),IF(ROUND(100/J106*K106-100,1)&gt;999,999,-999)))</f>
        <v>22.7</v>
      </c>
      <c r="M106" s="20">
        <f>IFERROR(100/'Skjema total MA'!I106*K106,0)</f>
        <v>10.785038709299627</v>
      </c>
    </row>
    <row r="107" spans="1:13" ht="15.75" x14ac:dyDescent="0.2">
      <c r="A107" s="18" t="s">
        <v>404</v>
      </c>
      <c r="B107" s="178"/>
      <c r="C107" s="109"/>
      <c r="D107" s="121"/>
      <c r="E107" s="23"/>
      <c r="F107" s="178">
        <v>83255.533249999906</v>
      </c>
      <c r="G107" s="109">
        <v>98928.734499999904</v>
      </c>
      <c r="H107" s="121">
        <f t="shared" si="14"/>
        <v>18.8</v>
      </c>
      <c r="I107" s="23">
        <f>IFERROR(100/'Skjema total MA'!F107*G107,0)</f>
        <v>23.289374081278805</v>
      </c>
      <c r="J107" s="225">
        <f t="shared" si="35"/>
        <v>83255.533249999906</v>
      </c>
      <c r="K107" s="36">
        <f t="shared" si="35"/>
        <v>98928.734499999904</v>
      </c>
      <c r="L107" s="198">
        <f t="shared" si="16"/>
        <v>18.8</v>
      </c>
      <c r="M107" s="23">
        <f>IFERROR(100/'Skjema total MA'!I107*K107,0)</f>
        <v>2.1166590205674463</v>
      </c>
    </row>
    <row r="108" spans="1:13" ht="15.75" x14ac:dyDescent="0.2">
      <c r="A108" s="18" t="s">
        <v>405</v>
      </c>
      <c r="B108" s="178">
        <v>9104304.4932700004</v>
      </c>
      <c r="C108" s="178">
        <v>11011728.9142</v>
      </c>
      <c r="D108" s="121">
        <f t="shared" si="13"/>
        <v>21</v>
      </c>
      <c r="E108" s="23">
        <f>IFERROR(100/'Skjema total MA'!C108*C108,0)</f>
        <v>3.3207602836762335</v>
      </c>
      <c r="F108" s="178"/>
      <c r="G108" s="178"/>
      <c r="H108" s="121"/>
      <c r="I108" s="23"/>
      <c r="J108" s="225">
        <f t="shared" si="35"/>
        <v>9104304.4932700004</v>
      </c>
      <c r="K108" s="36">
        <f t="shared" si="35"/>
        <v>11011728.9142</v>
      </c>
      <c r="L108" s="198">
        <f t="shared" si="16"/>
        <v>21</v>
      </c>
      <c r="M108" s="23">
        <f>IFERROR(100/'Skjema total MA'!I108*K108,0)</f>
        <v>3.0984724311017731</v>
      </c>
    </row>
    <row r="109" spans="1:13" ht="15.75" x14ac:dyDescent="0.2">
      <c r="A109" s="18" t="s">
        <v>437</v>
      </c>
      <c r="B109" s="178">
        <v>406356.02464000002</v>
      </c>
      <c r="C109" s="178">
        <v>458912.55774000002</v>
      </c>
      <c r="D109" s="121">
        <f t="shared" si="13"/>
        <v>12.9</v>
      </c>
      <c r="E109" s="23">
        <f>IFERROR(100/'Skjema total MA'!C109*C109,0)</f>
        <v>20.486334271586031</v>
      </c>
      <c r="F109" s="178">
        <v>23184732.461169999</v>
      </c>
      <c r="G109" s="178">
        <v>29518962.854249999</v>
      </c>
      <c r="H109" s="121">
        <f t="shared" si="14"/>
        <v>27.3</v>
      </c>
      <c r="I109" s="23">
        <f>IFERROR(100/'Skjema total MA'!F109*G109,0)</f>
        <v>11.812814695354897</v>
      </c>
      <c r="J109" s="225">
        <f t="shared" si="35"/>
        <v>23591088.48581</v>
      </c>
      <c r="K109" s="36">
        <f t="shared" si="35"/>
        <v>29977875.411989998</v>
      </c>
      <c r="L109" s="198">
        <f t="shared" si="16"/>
        <v>27.1</v>
      </c>
      <c r="M109" s="23">
        <f>IFERROR(100/'Skjema total MA'!I109*K109,0)</f>
        <v>11.88987620859081</v>
      </c>
    </row>
    <row r="110" spans="1:13" ht="15.75" x14ac:dyDescent="0.2">
      <c r="A110" s="18" t="s">
        <v>406</v>
      </c>
      <c r="B110" s="178">
        <v>1091893.1249299999</v>
      </c>
      <c r="C110" s="178">
        <v>1552924.9991899999</v>
      </c>
      <c r="D110" s="121">
        <f t="shared" si="13"/>
        <v>42.2</v>
      </c>
      <c r="E110" s="23">
        <f>IFERROR(100/'Skjema total MA'!C110*C110,0)</f>
        <v>44.215932641356744</v>
      </c>
      <c r="F110" s="178"/>
      <c r="G110" s="178"/>
      <c r="H110" s="121"/>
      <c r="I110" s="23"/>
      <c r="J110" s="225">
        <f t="shared" si="35"/>
        <v>1091893.1249299999</v>
      </c>
      <c r="K110" s="36">
        <f t="shared" si="35"/>
        <v>1552924.9991899999</v>
      </c>
      <c r="L110" s="198">
        <f t="shared" si="16"/>
        <v>42.2</v>
      </c>
      <c r="M110" s="23">
        <f>IFERROR(100/'Skjema total MA'!I110*K110,0)</f>
        <v>44.215932641356744</v>
      </c>
    </row>
    <row r="111" spans="1:13" ht="15.75" x14ac:dyDescent="0.2">
      <c r="A111" s="10" t="s">
        <v>387</v>
      </c>
      <c r="B111" s="244">
        <v>16127.93713</v>
      </c>
      <c r="C111" s="117">
        <v>31297.191379999997</v>
      </c>
      <c r="D111" s="125">
        <f t="shared" si="13"/>
        <v>94.1</v>
      </c>
      <c r="E111" s="8">
        <f>IFERROR(100/'Skjema total MA'!C111*C111,0)</f>
        <v>5.5470630459484296</v>
      </c>
      <c r="F111" s="244">
        <v>4469440.9468799997</v>
      </c>
      <c r="G111" s="117">
        <v>5528293.3853700003</v>
      </c>
      <c r="H111" s="125">
        <f t="shared" si="14"/>
        <v>23.7</v>
      </c>
      <c r="I111" s="8">
        <f>IFERROR(100/'Skjema total MA'!F111*G111,0)</f>
        <v>10.881713329385937</v>
      </c>
      <c r="J111" s="245">
        <f t="shared" si="35"/>
        <v>4485568.8840100002</v>
      </c>
      <c r="K111" s="180">
        <f t="shared" si="35"/>
        <v>5559590.57675</v>
      </c>
      <c r="L111" s="339">
        <f t="shared" si="16"/>
        <v>23.9</v>
      </c>
      <c r="M111" s="8">
        <f>IFERROR(100/'Skjema total MA'!I111*K111,0)</f>
        <v>10.823118697646347</v>
      </c>
    </row>
    <row r="112" spans="1:13" x14ac:dyDescent="0.2">
      <c r="A112" s="18" t="s">
        <v>9</v>
      </c>
      <c r="B112" s="178">
        <v>3281.98965</v>
      </c>
      <c r="C112" s="109">
        <v>2584.7085900000002</v>
      </c>
      <c r="D112" s="121">
        <f t="shared" ref="D112:D126" si="54">IF(B112=0, "    ---- ", IF(ABS(ROUND(100/B112*C112-100,1))&lt;999,ROUND(100/B112*C112-100,1),IF(ROUND(100/B112*C112-100,1)&gt;999,999,-999)))</f>
        <v>-21.2</v>
      </c>
      <c r="E112" s="23">
        <f>IFERROR(100/'Skjema total MA'!C112*C112,0)</f>
        <v>0.62917281534276903</v>
      </c>
      <c r="F112" s="178"/>
      <c r="G112" s="109"/>
      <c r="H112" s="121"/>
      <c r="I112" s="23"/>
      <c r="J112" s="225">
        <f t="shared" ref="J112:K126" si="55">SUM(B112,F112)</f>
        <v>3281.98965</v>
      </c>
      <c r="K112" s="36">
        <f t="shared" si="55"/>
        <v>2584.7085900000002</v>
      </c>
      <c r="L112" s="198">
        <f t="shared" ref="L112:L126" si="56">IF(J112=0, "    ---- ", IF(ABS(ROUND(100/J112*K112-100,1))&lt;999,ROUND(100/J112*K112-100,1),IF(ROUND(100/J112*K112-100,1)&gt;999,999,-999)))</f>
        <v>-21.2</v>
      </c>
      <c r="M112" s="23">
        <f>IFERROR(100/'Skjema total MA'!I112*K112,0)</f>
        <v>0.62741894817625754</v>
      </c>
    </row>
    <row r="113" spans="1:13" x14ac:dyDescent="0.2">
      <c r="A113" s="18" t="s">
        <v>10</v>
      </c>
      <c r="B113" s="178"/>
      <c r="C113" s="109"/>
      <c r="D113" s="121"/>
      <c r="E113" s="23"/>
      <c r="F113" s="178">
        <v>4469440.9468799997</v>
      </c>
      <c r="G113" s="109">
        <v>5521742.8293700004</v>
      </c>
      <c r="H113" s="121">
        <f t="shared" ref="H113:H125" si="57">IF(F113=0, "    ---- ", IF(ABS(ROUND(100/F113*G113-100,1))&lt;999,ROUND(100/F113*G113-100,1),IF(ROUND(100/F113*G113-100,1)&gt;999,999,-999)))</f>
        <v>23.5</v>
      </c>
      <c r="I113" s="23">
        <f>IFERROR(100/'Skjema total MA'!F113*G113,0)</f>
        <v>10.870466771752696</v>
      </c>
      <c r="J113" s="225">
        <f t="shared" si="55"/>
        <v>4469440.9468799997</v>
      </c>
      <c r="K113" s="36">
        <f t="shared" si="55"/>
        <v>5521742.8293700004</v>
      </c>
      <c r="L113" s="198">
        <f t="shared" si="56"/>
        <v>23.5</v>
      </c>
      <c r="M113" s="23">
        <f>IFERROR(100/'Skjema total MA'!I113*K113,0)</f>
        <v>10.870466771752696</v>
      </c>
    </row>
    <row r="114" spans="1:13" x14ac:dyDescent="0.2">
      <c r="A114" s="18" t="s">
        <v>26</v>
      </c>
      <c r="B114" s="178">
        <v>12845.947480000001</v>
      </c>
      <c r="C114" s="109">
        <v>28712.482789999998</v>
      </c>
      <c r="D114" s="121">
        <f t="shared" si="54"/>
        <v>123.5</v>
      </c>
      <c r="E114" s="23">
        <f>IFERROR(100/'Skjema total MA'!C114*C114,0)</f>
        <v>18.717231635337995</v>
      </c>
      <c r="F114" s="178">
        <v>0</v>
      </c>
      <c r="G114" s="109">
        <v>6550.5559999999996</v>
      </c>
      <c r="H114" s="121" t="str">
        <f t="shared" si="57"/>
        <v xml:space="preserve">    ---- </v>
      </c>
      <c r="I114" s="23">
        <f>IFERROR(100/'Skjema total MA'!F114*G114,0)</f>
        <v>100</v>
      </c>
      <c r="J114" s="225">
        <f t="shared" si="55"/>
        <v>12845.947480000001</v>
      </c>
      <c r="K114" s="36">
        <f t="shared" si="55"/>
        <v>35263.038789999999</v>
      </c>
      <c r="L114" s="198">
        <f t="shared" si="56"/>
        <v>174.5</v>
      </c>
      <c r="M114" s="23">
        <f>IFERROR(100/'Skjema total MA'!I114*K114,0)</f>
        <v>22.046028375630282</v>
      </c>
    </row>
    <row r="115" spans="1:13" x14ac:dyDescent="0.2">
      <c r="A115" s="234" t="s">
        <v>15</v>
      </c>
      <c r="B115" s="219"/>
      <c r="C115" s="219"/>
      <c r="D115" s="121"/>
      <c r="E115" s="23"/>
      <c r="F115" s="219"/>
      <c r="G115" s="219"/>
      <c r="H115" s="121"/>
      <c r="I115" s="331"/>
      <c r="J115" s="228"/>
      <c r="K115" s="228"/>
      <c r="L115" s="121"/>
      <c r="M115" s="20"/>
    </row>
    <row r="116" spans="1:13" ht="15.75" x14ac:dyDescent="0.2">
      <c r="A116" s="18" t="s">
        <v>407</v>
      </c>
      <c r="B116" s="178">
        <v>733.70699999999999</v>
      </c>
      <c r="C116" s="178">
        <v>2343.69029</v>
      </c>
      <c r="D116" s="121">
        <f t="shared" si="54"/>
        <v>219.4</v>
      </c>
      <c r="E116" s="23">
        <f>IFERROR(100/'Skjema total MA'!C116*C116,0)</f>
        <v>4.0879155779426375</v>
      </c>
      <c r="F116" s="178"/>
      <c r="G116" s="178"/>
      <c r="H116" s="121"/>
      <c r="I116" s="23"/>
      <c r="J116" s="225">
        <f t="shared" si="55"/>
        <v>733.70699999999999</v>
      </c>
      <c r="K116" s="36">
        <f t="shared" si="55"/>
        <v>2343.69029</v>
      </c>
      <c r="L116" s="198">
        <f t="shared" si="56"/>
        <v>219.4</v>
      </c>
      <c r="M116" s="23">
        <f>IFERROR(100/'Skjema total MA'!I116*K116,0)</f>
        <v>4.0076422355399455</v>
      </c>
    </row>
    <row r="117" spans="1:13" ht="15.75" x14ac:dyDescent="0.2">
      <c r="A117" s="18" t="s">
        <v>437</v>
      </c>
      <c r="B117" s="178"/>
      <c r="C117" s="178"/>
      <c r="D117" s="121"/>
      <c r="E117" s="23"/>
      <c r="F117" s="178">
        <v>3080979.97009</v>
      </c>
      <c r="G117" s="178">
        <v>3701988.7531300001</v>
      </c>
      <c r="H117" s="121">
        <f t="shared" si="57"/>
        <v>20.2</v>
      </c>
      <c r="I117" s="23">
        <f>IFERROR(100/'Skjema total MA'!F117*G117,0)</f>
        <v>10.762395119116537</v>
      </c>
      <c r="J117" s="225">
        <f t="shared" si="55"/>
        <v>3080979.97009</v>
      </c>
      <c r="K117" s="36">
        <f t="shared" si="55"/>
        <v>3701988.7531300001</v>
      </c>
      <c r="L117" s="198">
        <f t="shared" si="56"/>
        <v>20.2</v>
      </c>
      <c r="M117" s="23">
        <f>IFERROR(100/'Skjema total MA'!I117*K117,0)</f>
        <v>10.762395119116537</v>
      </c>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v>44414.568740000002</v>
      </c>
      <c r="C119" s="117">
        <v>36040.542650000003</v>
      </c>
      <c r="D119" s="125">
        <f t="shared" si="54"/>
        <v>-18.899999999999999</v>
      </c>
      <c r="E119" s="8">
        <f>IFERROR(100/'Skjema total MA'!C119*C119,0)</f>
        <v>11.622790333938331</v>
      </c>
      <c r="F119" s="244">
        <v>4751207.2086199997</v>
      </c>
      <c r="G119" s="117">
        <v>5727674.6207699999</v>
      </c>
      <c r="H119" s="125">
        <f t="shared" si="57"/>
        <v>20.6</v>
      </c>
      <c r="I119" s="8">
        <f>IFERROR(100/'Skjema total MA'!F119*G119,0)</f>
        <v>10.235584741385667</v>
      </c>
      <c r="J119" s="245">
        <f t="shared" si="55"/>
        <v>4795621.7773599997</v>
      </c>
      <c r="K119" s="180">
        <f t="shared" si="55"/>
        <v>5763715.1634200001</v>
      </c>
      <c r="L119" s="339">
        <f t="shared" si="56"/>
        <v>20.2</v>
      </c>
      <c r="M119" s="8">
        <f>IFERROR(100/'Skjema total MA'!I119*K119,0)</f>
        <v>10.243229365500028</v>
      </c>
    </row>
    <row r="120" spans="1:13" x14ac:dyDescent="0.2">
      <c r="A120" s="18" t="s">
        <v>9</v>
      </c>
      <c r="B120" s="178">
        <v>531.72731999999996</v>
      </c>
      <c r="C120" s="109">
        <v>508.33242000000001</v>
      </c>
      <c r="D120" s="121">
        <f t="shared" si="54"/>
        <v>-4.4000000000000004</v>
      </c>
      <c r="E120" s="23">
        <f>IFERROR(100/'Skjema total MA'!C120*C120,0)</f>
        <v>0.3152619979288423</v>
      </c>
      <c r="F120" s="178"/>
      <c r="G120" s="109"/>
      <c r="H120" s="121"/>
      <c r="I120" s="23"/>
      <c r="J120" s="225">
        <f t="shared" si="55"/>
        <v>531.72731999999996</v>
      </c>
      <c r="K120" s="36">
        <f t="shared" si="55"/>
        <v>508.33242000000001</v>
      </c>
      <c r="L120" s="198">
        <f t="shared" si="56"/>
        <v>-4.4000000000000004</v>
      </c>
      <c r="M120" s="23">
        <f>IFERROR(100/'Skjema total MA'!I120*K120,0)</f>
        <v>0.3152619979288423</v>
      </c>
    </row>
    <row r="121" spans="1:13" x14ac:dyDescent="0.2">
      <c r="A121" s="18" t="s">
        <v>10</v>
      </c>
      <c r="B121" s="178">
        <v>6614.4895500000002</v>
      </c>
      <c r="C121" s="109">
        <v>18067.370620000002</v>
      </c>
      <c r="D121" s="121">
        <f t="shared" si="54"/>
        <v>173.1</v>
      </c>
      <c r="E121" s="23">
        <f>IFERROR(100/'Skjema total MA'!C121*C121,0)</f>
        <v>100</v>
      </c>
      <c r="F121" s="178">
        <v>4751207.2086199997</v>
      </c>
      <c r="G121" s="109">
        <v>5727674.6207699999</v>
      </c>
      <c r="H121" s="121">
        <f t="shared" si="57"/>
        <v>20.6</v>
      </c>
      <c r="I121" s="23">
        <f>IFERROR(100/'Skjema total MA'!F121*G121,0)</f>
        <v>10.235584741385667</v>
      </c>
      <c r="J121" s="225">
        <f t="shared" si="55"/>
        <v>4757821.6981699998</v>
      </c>
      <c r="K121" s="36">
        <f t="shared" si="55"/>
        <v>5745741.9913900001</v>
      </c>
      <c r="L121" s="198">
        <f t="shared" si="56"/>
        <v>20.8</v>
      </c>
      <c r="M121" s="23">
        <f>IFERROR(100/'Skjema total MA'!I121*K121,0)</f>
        <v>10.264557729000733</v>
      </c>
    </row>
    <row r="122" spans="1:13" x14ac:dyDescent="0.2">
      <c r="A122" s="18" t="s">
        <v>26</v>
      </c>
      <c r="B122" s="178">
        <v>37268.351869999999</v>
      </c>
      <c r="C122" s="109">
        <v>17464.839609999999</v>
      </c>
      <c r="D122" s="121">
        <f t="shared" si="54"/>
        <v>-53.1</v>
      </c>
      <c r="E122" s="23">
        <f>IFERROR(100/'Skjema total MA'!C122*C122,0)</f>
        <v>13.354724994465119</v>
      </c>
      <c r="F122" s="178"/>
      <c r="G122" s="109"/>
      <c r="H122" s="121"/>
      <c r="I122" s="23"/>
      <c r="J122" s="225">
        <f t="shared" si="55"/>
        <v>37268.351869999999</v>
      </c>
      <c r="K122" s="36">
        <f t="shared" si="55"/>
        <v>17464.839609999999</v>
      </c>
      <c r="L122" s="198">
        <f t="shared" si="56"/>
        <v>-53.1</v>
      </c>
      <c r="M122" s="23">
        <f>IFERROR(100/'Skjema total MA'!I122*K122,0)</f>
        <v>13.354724994465119</v>
      </c>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v>1355.1705400000001</v>
      </c>
      <c r="C125" s="178">
        <v>3306.3678399999999</v>
      </c>
      <c r="D125" s="121">
        <f t="shared" si="54"/>
        <v>144</v>
      </c>
      <c r="E125" s="23">
        <f>IFERROR(100/'Skjema total MA'!C125*C125,0)</f>
        <v>98.819025838641096</v>
      </c>
      <c r="F125" s="178">
        <v>2383350.7464999999</v>
      </c>
      <c r="G125" s="178">
        <v>3035734.3914999999</v>
      </c>
      <c r="H125" s="121">
        <f t="shared" si="57"/>
        <v>27.4</v>
      </c>
      <c r="I125" s="23">
        <f>IFERROR(100/'Skjema total MA'!F125*G125,0)</f>
        <v>8.882822791207257</v>
      </c>
      <c r="J125" s="225">
        <f t="shared" si="55"/>
        <v>2384705.9170399997</v>
      </c>
      <c r="K125" s="36">
        <f t="shared" si="55"/>
        <v>3039040.7593399999</v>
      </c>
      <c r="L125" s="198">
        <f t="shared" si="56"/>
        <v>27.4</v>
      </c>
      <c r="M125" s="23">
        <f>IFERROR(100/'Skjema total MA'!I125*K125,0)</f>
        <v>8.8916269903807681</v>
      </c>
    </row>
    <row r="126" spans="1:13" ht="15.75" x14ac:dyDescent="0.2">
      <c r="A126" s="7" t="s">
        <v>406</v>
      </c>
      <c r="B126" s="37">
        <v>0</v>
      </c>
      <c r="C126" s="37">
        <v>254.89525</v>
      </c>
      <c r="D126" s="122" t="str">
        <f t="shared" si="54"/>
        <v xml:space="preserve">    ---- </v>
      </c>
      <c r="E126" s="332">
        <f>IFERROR(100/'Skjema total MA'!C126*C126,0)</f>
        <v>100</v>
      </c>
      <c r="F126" s="37"/>
      <c r="G126" s="37"/>
      <c r="H126" s="122"/>
      <c r="I126" s="19"/>
      <c r="J126" s="226">
        <f t="shared" si="55"/>
        <v>0</v>
      </c>
      <c r="K126" s="37">
        <f t="shared" si="55"/>
        <v>254.89525</v>
      </c>
      <c r="L126" s="199" t="str">
        <f t="shared" si="56"/>
        <v xml:space="preserve">    ---- </v>
      </c>
      <c r="M126" s="19">
        <f>IFERROR(100/'Skjema total MA'!I126*K126,0)</f>
        <v>100</v>
      </c>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845" priority="10">
      <formula>kvartal &lt; 4</formula>
    </cfRule>
  </conditionalFormatting>
  <conditionalFormatting sqref="A80:A85">
    <cfRule type="expression" dxfId="844" priority="9">
      <formula>kvartal &lt; 4</formula>
    </cfRule>
  </conditionalFormatting>
  <conditionalFormatting sqref="A90:A95">
    <cfRule type="expression" dxfId="843" priority="6">
      <formula>kvartal &lt; 4</formula>
    </cfRule>
  </conditionalFormatting>
  <conditionalFormatting sqref="A101:A106">
    <cfRule type="expression" dxfId="842" priority="5">
      <formula>kvartal &lt; 4</formula>
    </cfRule>
  </conditionalFormatting>
  <conditionalFormatting sqref="A50:C52">
    <cfRule type="expression" dxfId="841" priority="12">
      <formula>kvartal &lt; 4</formula>
    </cfRule>
  </conditionalFormatting>
  <conditionalFormatting sqref="A115:C115">
    <cfRule type="expression" dxfId="840" priority="4">
      <formula>kvartal &lt; 4</formula>
    </cfRule>
  </conditionalFormatting>
  <conditionalFormatting sqref="A123:C123">
    <cfRule type="expression" dxfId="839" priority="3">
      <formula>kvartal &lt; 4</formula>
    </cfRule>
  </conditionalFormatting>
  <conditionalFormatting sqref="B69:C69">
    <cfRule type="expression" dxfId="838" priority="99">
      <formula>kvartal &lt; 4</formula>
    </cfRule>
  </conditionalFormatting>
  <conditionalFormatting sqref="B72:C72">
    <cfRule type="expression" dxfId="837" priority="97">
      <formula>kvartal &lt; 4</formula>
    </cfRule>
  </conditionalFormatting>
  <conditionalFormatting sqref="B80:C80">
    <cfRule type="expression" dxfId="836" priority="95">
      <formula>kvartal &lt; 4</formula>
    </cfRule>
  </conditionalFormatting>
  <conditionalFormatting sqref="B83:C83">
    <cfRule type="expression" dxfId="835" priority="93">
      <formula>kvartal &lt; 4</formula>
    </cfRule>
  </conditionalFormatting>
  <conditionalFormatting sqref="B90:C90">
    <cfRule type="expression" dxfId="834" priority="83">
      <formula>kvartal &lt; 4</formula>
    </cfRule>
  </conditionalFormatting>
  <conditionalFormatting sqref="B93:C93">
    <cfRule type="expression" dxfId="833" priority="81">
      <formula>kvartal &lt; 4</formula>
    </cfRule>
  </conditionalFormatting>
  <conditionalFormatting sqref="B101:C101">
    <cfRule type="expression" dxfId="832" priority="79">
      <formula>kvartal &lt; 4</formula>
    </cfRule>
  </conditionalFormatting>
  <conditionalFormatting sqref="B104:C104">
    <cfRule type="expression" dxfId="831" priority="77">
      <formula>kvartal &lt; 4</formula>
    </cfRule>
  </conditionalFormatting>
  <conditionalFormatting sqref="F69:G74">
    <cfRule type="expression" dxfId="830" priority="54">
      <formula>kvartal &lt; 4</formula>
    </cfRule>
  </conditionalFormatting>
  <conditionalFormatting sqref="F80:G85">
    <cfRule type="expression" dxfId="829" priority="52">
      <formula>kvartal &lt; 4</formula>
    </cfRule>
  </conditionalFormatting>
  <conditionalFormatting sqref="F90:G95">
    <cfRule type="expression" dxfId="828" priority="44">
      <formula>kvartal &lt; 4</formula>
    </cfRule>
  </conditionalFormatting>
  <conditionalFormatting sqref="F101:G106">
    <cfRule type="expression" dxfId="827" priority="40">
      <formula>kvartal &lt; 4</formula>
    </cfRule>
  </conditionalFormatting>
  <conditionalFormatting sqref="F115:G115">
    <cfRule type="expression" dxfId="826" priority="57">
      <formula>kvartal &lt; 4</formula>
    </cfRule>
  </conditionalFormatting>
  <conditionalFormatting sqref="F123:G123">
    <cfRule type="expression" dxfId="825" priority="56">
      <formula>kvartal &lt; 4</formula>
    </cfRule>
  </conditionalFormatting>
  <conditionalFormatting sqref="J69:K71 J73:K73">
    <cfRule type="expression" dxfId="824" priority="39">
      <formula>kvartal &lt; 4</formula>
    </cfRule>
  </conditionalFormatting>
  <conditionalFormatting sqref="J80:K82 J84:K84">
    <cfRule type="expression" dxfId="823" priority="37">
      <formula>kvartal &lt; 4</formula>
    </cfRule>
  </conditionalFormatting>
  <conditionalFormatting sqref="J90:K92 J94:K94">
    <cfRule type="expression" dxfId="822" priority="34">
      <formula>kvartal &lt; 4</formula>
    </cfRule>
  </conditionalFormatting>
  <conditionalFormatting sqref="J101:K103 J105:K105">
    <cfRule type="expression" dxfId="821" priority="33">
      <formula>kvartal &lt; 4</formula>
    </cfRule>
  </conditionalFormatting>
  <conditionalFormatting sqref="J115:K115">
    <cfRule type="expression" dxfId="820" priority="32">
      <formula>kvartal &lt; 4</formula>
    </cfRule>
  </conditionalFormatting>
  <conditionalFormatting sqref="J123:K123">
    <cfRule type="expression" dxfId="819" priority="31">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89</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1255364.30486</v>
      </c>
      <c r="C7" s="243">
        <v>1164125.8187599999</v>
      </c>
      <c r="D7" s="278">
        <f>IF(B7=0, "    ---- ", IF(ABS(ROUND(100/B7*C7-100,1))&lt;999,ROUND(100/B7*C7-100,1),IF(ROUND(100/B7*C7-100,1)&gt;999,999,-999)))</f>
        <v>-7.3</v>
      </c>
      <c r="E7" s="8">
        <f>IFERROR(100/'Skjema total MA'!C7*C7,0)</f>
        <v>21.073971149063905</v>
      </c>
      <c r="F7" s="242">
        <v>1166026.33721</v>
      </c>
      <c r="G7" s="243">
        <v>1210637.5308999999</v>
      </c>
      <c r="H7" s="278">
        <f>IF(F7=0, "    ---- ", IF(ABS(ROUND(100/F7*G7-100,1))&lt;999,ROUND(100/F7*G7-100,1),IF(ROUND(100/F7*G7-100,1)&gt;999,999,-999)))</f>
        <v>3.8</v>
      </c>
      <c r="I7" s="118">
        <f>IFERROR(100/'Skjema total MA'!F7*G7,0)</f>
        <v>8.5176011520070478</v>
      </c>
      <c r="J7" s="244">
        <f t="shared" ref="J7:K12" si="0">SUM(B7,F7)</f>
        <v>2421390.6420700001</v>
      </c>
      <c r="K7" s="245">
        <f t="shared" si="0"/>
        <v>2374763.3496599998</v>
      </c>
      <c r="L7" s="338">
        <f>IF(J7=0, "    ---- ", IF(ABS(ROUND(100/J7*K7-100,1))&lt;999,ROUND(100/J7*K7-100,1),IF(ROUND(100/J7*K7-100,1)&gt;999,999,-999)))</f>
        <v>-1.9</v>
      </c>
      <c r="M7" s="8">
        <f>IFERROR(100/'Skjema total MA'!I7*K7,0)</f>
        <v>12.0318180507946</v>
      </c>
    </row>
    <row r="8" spans="1:14" ht="15.75" x14ac:dyDescent="0.2">
      <c r="A8" s="18" t="s">
        <v>25</v>
      </c>
      <c r="B8" s="219">
        <v>364258.68693999999</v>
      </c>
      <c r="C8" s="220">
        <v>356797.075207474</v>
      </c>
      <c r="D8" s="121">
        <f t="shared" ref="D8:D10" si="1">IF(B8=0, "    ---- ", IF(ABS(ROUND(100/B8*C8-100,1))&lt;999,ROUND(100/B8*C8-100,1),IF(ROUND(100/B8*C8-100,1)&gt;999,999,-999)))</f>
        <v>-2</v>
      </c>
      <c r="E8" s="23">
        <f>IFERROR(100/'Skjema total MA'!C8*C8,0)</f>
        <v>9.7273158959465444</v>
      </c>
      <c r="F8" s="223"/>
      <c r="G8" s="224"/>
      <c r="H8" s="121"/>
      <c r="I8" s="129"/>
      <c r="J8" s="178">
        <f t="shared" si="0"/>
        <v>364258.68693999999</v>
      </c>
      <c r="K8" s="225">
        <f t="shared" si="0"/>
        <v>356797.075207474</v>
      </c>
      <c r="L8" s="121">
        <f t="shared" ref="L8:L9" si="2">IF(J8=0, "    ---- ", IF(ABS(ROUND(100/J8*K8-100,1))&lt;999,ROUND(100/J8*K8-100,1),IF(ROUND(100/J8*K8-100,1)&gt;999,999,-999)))</f>
        <v>-2</v>
      </c>
      <c r="M8" s="23">
        <f>IFERROR(100/'Skjema total MA'!I8*K8,0)</f>
        <v>9.7273158959465444</v>
      </c>
    </row>
    <row r="9" spans="1:14" ht="15.75" x14ac:dyDescent="0.2">
      <c r="A9" s="18" t="s">
        <v>24</v>
      </c>
      <c r="B9" s="219">
        <v>157858.40822990099</v>
      </c>
      <c r="C9" s="220">
        <v>145101.64036266599</v>
      </c>
      <c r="D9" s="121">
        <f t="shared" si="1"/>
        <v>-8.1</v>
      </c>
      <c r="E9" s="23">
        <f>IFERROR(100/'Skjema total MA'!C9*C9,0)</f>
        <v>13.305876730847153</v>
      </c>
      <c r="F9" s="223"/>
      <c r="G9" s="224"/>
      <c r="H9" s="121"/>
      <c r="I9" s="129"/>
      <c r="J9" s="178">
        <f t="shared" si="0"/>
        <v>157858.40822990099</v>
      </c>
      <c r="K9" s="225">
        <f t="shared" si="0"/>
        <v>145101.64036266599</v>
      </c>
      <c r="L9" s="121">
        <f t="shared" si="2"/>
        <v>-8.1</v>
      </c>
      <c r="M9" s="23">
        <f>IFERROR(100/'Skjema total MA'!I9*K9,0)</f>
        <v>13.305876730847153</v>
      </c>
    </row>
    <row r="10" spans="1:14" ht="15.75" x14ac:dyDescent="0.2">
      <c r="A10" s="10" t="s">
        <v>386</v>
      </c>
      <c r="B10" s="246">
        <v>4902878.1884300001</v>
      </c>
      <c r="C10" s="247">
        <v>5209707.5137099996</v>
      </c>
      <c r="D10" s="125">
        <f t="shared" si="1"/>
        <v>6.3</v>
      </c>
      <c r="E10" s="8">
        <f>IFERROR(100/'Skjema total MA'!C10*C10,0)</f>
        <v>34.054507421684029</v>
      </c>
      <c r="F10" s="246">
        <v>14474003.70428</v>
      </c>
      <c r="G10" s="247">
        <v>16436766.65804</v>
      </c>
      <c r="H10" s="125">
        <f t="shared" ref="H10:H12" si="3">IF(F10=0, "    ---- ", IF(ABS(ROUND(100/F10*G10-100,1))&lt;999,ROUND(100/F10*G10-100,1),IF(ROUND(100/F10*G10-100,1)&gt;999,999,-999)))</f>
        <v>13.6</v>
      </c>
      <c r="I10" s="118">
        <f>IFERROR(100/'Skjema total MA'!F10*G10,0)</f>
        <v>16.153338338440104</v>
      </c>
      <c r="J10" s="244">
        <f t="shared" si="0"/>
        <v>19376881.89271</v>
      </c>
      <c r="K10" s="245">
        <f t="shared" si="0"/>
        <v>21646474.171750002</v>
      </c>
      <c r="L10" s="339">
        <f t="shared" ref="L10:L12" si="4">IF(J10=0, "    ---- ", IF(ABS(ROUND(100/J10*K10-100,1))&lt;999,ROUND(100/J10*K10-100,1),IF(ROUND(100/J10*K10-100,1)&gt;999,999,-999)))</f>
        <v>11.7</v>
      </c>
      <c r="M10" s="8">
        <f>IFERROR(100/'Skjema total MA'!I10*K10,0)</f>
        <v>18.492921530734748</v>
      </c>
    </row>
    <row r="11" spans="1:14" s="35" customFormat="1" ht="15.75" x14ac:dyDescent="0.2">
      <c r="A11" s="10" t="s">
        <v>387</v>
      </c>
      <c r="B11" s="246"/>
      <c r="C11" s="247"/>
      <c r="D11" s="125"/>
      <c r="E11" s="8"/>
      <c r="F11" s="246">
        <v>42396.855790000001</v>
      </c>
      <c r="G11" s="247">
        <v>30393.064760000001</v>
      </c>
      <c r="H11" s="125">
        <f t="shared" si="3"/>
        <v>-28.3</v>
      </c>
      <c r="I11" s="118">
        <f>IFERROR(100/'Skjema total MA'!F11*G11,0)</f>
        <v>7.6775495315339022</v>
      </c>
      <c r="J11" s="244">
        <f t="shared" si="0"/>
        <v>42396.855790000001</v>
      </c>
      <c r="K11" s="245">
        <f t="shared" si="0"/>
        <v>30393.064760000001</v>
      </c>
      <c r="L11" s="339">
        <f t="shared" si="4"/>
        <v>-28.3</v>
      </c>
      <c r="M11" s="8">
        <f>IFERROR(100/'Skjema total MA'!I11*K11,0)</f>
        <v>7.6482409181561755</v>
      </c>
      <c r="N11" s="107"/>
    </row>
    <row r="12" spans="1:14" s="35" customFormat="1" ht="15.75" x14ac:dyDescent="0.2">
      <c r="A12" s="33" t="s">
        <v>388</v>
      </c>
      <c r="B12" s="248"/>
      <c r="C12" s="249"/>
      <c r="D12" s="123"/>
      <c r="E12" s="30"/>
      <c r="F12" s="248">
        <v>90185.713059999995</v>
      </c>
      <c r="G12" s="249">
        <v>189739.90291999999</v>
      </c>
      <c r="H12" s="123">
        <f t="shared" si="3"/>
        <v>110.4</v>
      </c>
      <c r="I12" s="123">
        <f>IFERROR(100/'Skjema total MA'!F12*G12,0)</f>
        <v>48.629723574473687</v>
      </c>
      <c r="J12" s="250">
        <f t="shared" si="0"/>
        <v>90185.713059999995</v>
      </c>
      <c r="K12" s="251">
        <f t="shared" si="0"/>
        <v>189739.90291999999</v>
      </c>
      <c r="L12" s="340">
        <f t="shared" si="4"/>
        <v>110.4</v>
      </c>
      <c r="M12" s="30">
        <f>IFERROR(100/'Skjema total MA'!I12*K12,0)</f>
        <v>48.43371591310774</v>
      </c>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7482.7365900000004</v>
      </c>
      <c r="C22" s="246">
        <v>5248.6031400000002</v>
      </c>
      <c r="D22" s="278">
        <f t="shared" ref="D22:D37" si="5">IF(B22=0, "    ---- ", IF(ABS(ROUND(100/B22*C22-100,1))&lt;999,ROUND(100/B22*C22-100,1),IF(ROUND(100/B22*C22-100,1)&gt;999,999,-999)))</f>
        <v>-29.9</v>
      </c>
      <c r="E22" s="8">
        <f>IFERROR(100/'Skjema total MA'!C22*C22,0)</f>
        <v>0.21551428435012498</v>
      </c>
      <c r="F22" s="254">
        <v>257952.33379999999</v>
      </c>
      <c r="G22" s="254">
        <v>268903.35454999999</v>
      </c>
      <c r="H22" s="278">
        <f t="shared" ref="H22:H35" si="6">IF(F22=0, "    ---- ", IF(ABS(ROUND(100/F22*G22-100,1))&lt;999,ROUND(100/F22*G22-100,1),IF(ROUND(100/F22*G22-100,1)&gt;999,999,-999)))</f>
        <v>4.2</v>
      </c>
      <c r="I22" s="8">
        <f>IFERROR(100/'Skjema total MA'!F22*G22,0)</f>
        <v>26.359383081693903</v>
      </c>
      <c r="J22" s="252">
        <f t="shared" ref="J22:K35" si="7">SUM(B22,F22)</f>
        <v>265435.07039000001</v>
      </c>
      <c r="K22" s="252">
        <f t="shared" si="7"/>
        <v>274151.95769000001</v>
      </c>
      <c r="L22" s="338">
        <f t="shared" ref="L22:L35" si="8">IF(J22=0, "    ---- ", IF(ABS(ROUND(100/J22*K22-100,1))&lt;999,ROUND(100/J22*K22-100,1),IF(ROUND(100/J22*K22-100,1)&gt;999,999,-999)))</f>
        <v>3.3</v>
      </c>
      <c r="M22" s="21">
        <f>IFERROR(100/'Skjema total MA'!I22*K22,0)</f>
        <v>7.9337209885431861</v>
      </c>
    </row>
    <row r="23" spans="1:13" ht="15.75" x14ac:dyDescent="0.2">
      <c r="A23" s="379" t="s">
        <v>389</v>
      </c>
      <c r="B23" s="219">
        <v>1109.60799414498</v>
      </c>
      <c r="C23" s="219">
        <v>858.830483838639</v>
      </c>
      <c r="D23" s="121">
        <f t="shared" si="5"/>
        <v>-22.6</v>
      </c>
      <c r="E23" s="8">
        <f>IFERROR(100/'Skjema total MA'!C23*C23,0)</f>
        <v>5.9370816887184631E-2</v>
      </c>
      <c r="F23" s="228">
        <v>19702.11795</v>
      </c>
      <c r="G23" s="228">
        <v>27121.19499</v>
      </c>
      <c r="H23" s="121">
        <f t="shared" si="6"/>
        <v>37.700000000000003</v>
      </c>
      <c r="I23" s="331">
        <f>IFERROR(100/'Skjema total MA'!F23*G23,0)</f>
        <v>56.769494020459504</v>
      </c>
      <c r="J23" s="228">
        <f t="shared" ref="J23:J26" si="9">SUM(B23,F23)</f>
        <v>20811.725944144979</v>
      </c>
      <c r="K23" s="228">
        <f t="shared" ref="K23:K26" si="10">SUM(C23,G23)</f>
        <v>27980.025473838639</v>
      </c>
      <c r="L23" s="121">
        <f t="shared" si="8"/>
        <v>34.4</v>
      </c>
      <c r="M23" s="20">
        <f>IFERROR(100/'Skjema total MA'!I23*K23,0)</f>
        <v>1.8724158898778029</v>
      </c>
    </row>
    <row r="24" spans="1:13" ht="15.75" x14ac:dyDescent="0.2">
      <c r="A24" s="379" t="s">
        <v>390</v>
      </c>
      <c r="B24" s="219">
        <v>6373.1285958550197</v>
      </c>
      <c r="C24" s="219">
        <v>4389.7726561613599</v>
      </c>
      <c r="D24" s="121">
        <f t="shared" si="5"/>
        <v>-31.1</v>
      </c>
      <c r="E24" s="8">
        <f>IFERROR(100/'Skjema total MA'!C24*C24,0)</f>
        <v>36.851723263069935</v>
      </c>
      <c r="F24" s="228">
        <v>843.13131000000101</v>
      </c>
      <c r="G24" s="228">
        <v>805.38589999999999</v>
      </c>
      <c r="H24" s="121">
        <f t="shared" si="6"/>
        <v>-4.5</v>
      </c>
      <c r="I24" s="331">
        <f>IFERROR(100/'Skjema total MA'!F24*G24,0)</f>
        <v>79.960401930866041</v>
      </c>
      <c r="J24" s="228">
        <f t="shared" si="9"/>
        <v>7216.2599058550204</v>
      </c>
      <c r="K24" s="228">
        <f t="shared" si="10"/>
        <v>5195.1585561613601</v>
      </c>
      <c r="L24" s="121">
        <f t="shared" si="8"/>
        <v>-28</v>
      </c>
      <c r="M24" s="20">
        <f>IFERROR(100/'Skjema total MA'!I24*K24,0)</f>
        <v>40.212638232859184</v>
      </c>
    </row>
    <row r="25" spans="1:13" ht="15.75" x14ac:dyDescent="0.2">
      <c r="A25" s="379" t="s">
        <v>391</v>
      </c>
      <c r="B25" s="219"/>
      <c r="C25" s="219"/>
      <c r="D25" s="121"/>
      <c r="E25" s="8"/>
      <c r="F25" s="228">
        <v>1367.8113699999999</v>
      </c>
      <c r="G25" s="228">
        <v>879.06123000000002</v>
      </c>
      <c r="H25" s="121">
        <f t="shared" si="6"/>
        <v>-35.700000000000003</v>
      </c>
      <c r="I25" s="331">
        <f>IFERROR(100/'Skjema total MA'!F25*G25,0)</f>
        <v>5.8664282504515715</v>
      </c>
      <c r="J25" s="228">
        <f t="shared" si="9"/>
        <v>1367.8113699999999</v>
      </c>
      <c r="K25" s="228">
        <f t="shared" si="10"/>
        <v>879.06123000000002</v>
      </c>
      <c r="L25" s="121">
        <f t="shared" si="8"/>
        <v>-35.700000000000003</v>
      </c>
      <c r="M25" s="20">
        <f>IFERROR(100/'Skjema total MA'!I25*K25,0)</f>
        <v>2.4596963868250583</v>
      </c>
    </row>
    <row r="26" spans="1:13" ht="15.75" x14ac:dyDescent="0.2">
      <c r="A26" s="379" t="s">
        <v>392</v>
      </c>
      <c r="B26" s="219"/>
      <c r="C26" s="219"/>
      <c r="D26" s="121"/>
      <c r="E26" s="8"/>
      <c r="F26" s="228">
        <v>236039.27317</v>
      </c>
      <c r="G26" s="228">
        <v>240097.71243000001</v>
      </c>
      <c r="H26" s="121">
        <f t="shared" si="6"/>
        <v>1.7</v>
      </c>
      <c r="I26" s="331">
        <f>IFERROR(100/'Skjema total MA'!F26*G26,0)</f>
        <v>25.104930055252616</v>
      </c>
      <c r="J26" s="228">
        <f t="shared" si="9"/>
        <v>236039.27317</v>
      </c>
      <c r="K26" s="228">
        <f t="shared" si="10"/>
        <v>240097.71243000001</v>
      </c>
      <c r="L26" s="121">
        <f t="shared" si="8"/>
        <v>1.7</v>
      </c>
      <c r="M26" s="20">
        <f>IFERROR(100/'Skjema total MA'!I26*K26,0)</f>
        <v>25.104930055252616</v>
      </c>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326710.89946001</v>
      </c>
      <c r="C28" s="225">
        <v>357879.68781765702</v>
      </c>
      <c r="D28" s="121">
        <f t="shared" si="5"/>
        <v>9.5</v>
      </c>
      <c r="E28" s="8">
        <f>IFERROR(100/'Skjema total MA'!C28*C28,0)</f>
        <v>12.521638664446511</v>
      </c>
      <c r="F28" s="178"/>
      <c r="G28" s="225"/>
      <c r="H28" s="121"/>
      <c r="I28" s="23"/>
      <c r="J28" s="36">
        <f t="shared" si="7"/>
        <v>326710.89946001</v>
      </c>
      <c r="K28" s="36">
        <f t="shared" si="7"/>
        <v>357879.68781765702</v>
      </c>
      <c r="L28" s="198">
        <f t="shared" si="8"/>
        <v>9.5</v>
      </c>
      <c r="M28" s="20">
        <f>IFERROR(100/'Skjema total MA'!I28*K28,0)</f>
        <v>12.521638664446511</v>
      </c>
    </row>
    <row r="29" spans="1:13" ht="15.75" x14ac:dyDescent="0.2">
      <c r="A29" s="10" t="s">
        <v>386</v>
      </c>
      <c r="B29" s="180">
        <v>6884341.5052300002</v>
      </c>
      <c r="C29" s="180">
        <v>6374809.7830499997</v>
      </c>
      <c r="D29" s="125">
        <f t="shared" si="5"/>
        <v>-7.4</v>
      </c>
      <c r="E29" s="8">
        <f>IFERROR(100/'Skjema total MA'!C29*C29,0)</f>
        <v>14.64091272225274</v>
      </c>
      <c r="F29" s="244">
        <v>8868057.5629299991</v>
      </c>
      <c r="G29" s="244">
        <v>9859747.3502200004</v>
      </c>
      <c r="H29" s="125">
        <f t="shared" si="6"/>
        <v>11.2</v>
      </c>
      <c r="I29" s="8">
        <f>IFERROR(100/'Skjema total MA'!F29*G29,0)</f>
        <v>33.21048470118447</v>
      </c>
      <c r="J29" s="180">
        <f t="shared" si="7"/>
        <v>15752399.068159999</v>
      </c>
      <c r="K29" s="180">
        <f t="shared" si="7"/>
        <v>16234557.133269999</v>
      </c>
      <c r="L29" s="339">
        <f t="shared" si="8"/>
        <v>3.1</v>
      </c>
      <c r="M29" s="21">
        <f>IFERROR(100/'Skjema total MA'!I29*K29,0)</f>
        <v>22.169353767456919</v>
      </c>
    </row>
    <row r="30" spans="1:13" ht="15.75" x14ac:dyDescent="0.2">
      <c r="A30" s="379" t="s">
        <v>389</v>
      </c>
      <c r="B30" s="219">
        <v>1020872.54799748</v>
      </c>
      <c r="C30" s="219">
        <v>1043112.00986633</v>
      </c>
      <c r="D30" s="121">
        <f t="shared" si="5"/>
        <v>2.2000000000000002</v>
      </c>
      <c r="E30" s="8">
        <f>IFERROR(100/'Skjema total MA'!C30*C30,0)</f>
        <v>5.810528862134011</v>
      </c>
      <c r="F30" s="228">
        <v>1053310.68365</v>
      </c>
      <c r="G30" s="228">
        <v>1083415.0359799999</v>
      </c>
      <c r="H30" s="121">
        <f t="shared" si="6"/>
        <v>2.9</v>
      </c>
      <c r="I30" s="331">
        <f>IFERROR(100/'Skjema total MA'!F30*G30,0)</f>
        <v>28.652584523381204</v>
      </c>
      <c r="J30" s="228">
        <f t="shared" ref="J30:J33" si="11">SUM(B30,F30)</f>
        <v>2074183.23164748</v>
      </c>
      <c r="K30" s="228">
        <f t="shared" ref="K30:K33" si="12">SUM(C30,G30)</f>
        <v>2126527.04584633</v>
      </c>
      <c r="L30" s="121">
        <f t="shared" si="8"/>
        <v>2.5</v>
      </c>
      <c r="M30" s="20">
        <f>IFERROR(100/'Skjema total MA'!I30*K30,0)</f>
        <v>9.7846426890193197</v>
      </c>
    </row>
    <row r="31" spans="1:13" ht="15.75" x14ac:dyDescent="0.2">
      <c r="A31" s="379" t="s">
        <v>390</v>
      </c>
      <c r="B31" s="219">
        <v>5863468.95723252</v>
      </c>
      <c r="C31" s="219">
        <v>5331697.7731836699</v>
      </c>
      <c r="D31" s="121">
        <f t="shared" si="5"/>
        <v>-9.1</v>
      </c>
      <c r="E31" s="8">
        <f>IFERROR(100/'Skjema total MA'!C31*C31,0)</f>
        <v>23.051770950320659</v>
      </c>
      <c r="F31" s="228">
        <v>2251168.0205100002</v>
      </c>
      <c r="G31" s="228">
        <v>2235255.7286700001</v>
      </c>
      <c r="H31" s="121">
        <f t="shared" si="6"/>
        <v>-0.7</v>
      </c>
      <c r="I31" s="331">
        <f>IFERROR(100/'Skjema total MA'!F31*G31,0)</f>
        <v>29.384082520792397</v>
      </c>
      <c r="J31" s="228">
        <f t="shared" si="11"/>
        <v>8114636.9777425202</v>
      </c>
      <c r="K31" s="228">
        <f t="shared" si="12"/>
        <v>7566953.50185367</v>
      </c>
      <c r="L31" s="121">
        <f t="shared" si="8"/>
        <v>-6.7</v>
      </c>
      <c r="M31" s="20">
        <f>IFERROR(100/'Skjema total MA'!I31*K31,0)</f>
        <v>24.618977751164966</v>
      </c>
    </row>
    <row r="32" spans="1:13" ht="15.75" x14ac:dyDescent="0.2">
      <c r="A32" s="379" t="s">
        <v>391</v>
      </c>
      <c r="B32" s="219"/>
      <c r="C32" s="219"/>
      <c r="D32" s="121"/>
      <c r="E32" s="8"/>
      <c r="F32" s="228">
        <v>2277876.6096999999</v>
      </c>
      <c r="G32" s="228">
        <v>2628189.7680899999</v>
      </c>
      <c r="H32" s="121">
        <f t="shared" si="6"/>
        <v>15.4</v>
      </c>
      <c r="I32" s="331">
        <f>IFERROR(100/'Skjema total MA'!F32*G32,0)</f>
        <v>38.241199126193742</v>
      </c>
      <c r="J32" s="228">
        <f t="shared" si="11"/>
        <v>2277876.6096999999</v>
      </c>
      <c r="K32" s="228">
        <f t="shared" si="12"/>
        <v>2628189.7680899999</v>
      </c>
      <c r="L32" s="121">
        <f t="shared" si="8"/>
        <v>15.4</v>
      </c>
      <c r="M32" s="20">
        <f>IFERROR(100/'Skjema total MA'!I32*K32,0)</f>
        <v>28.599854695967508</v>
      </c>
    </row>
    <row r="33" spans="1:13" ht="15.75" x14ac:dyDescent="0.2">
      <c r="A33" s="379" t="s">
        <v>392</v>
      </c>
      <c r="B33" s="219"/>
      <c r="C33" s="219"/>
      <c r="D33" s="121"/>
      <c r="E33" s="8"/>
      <c r="F33" s="228">
        <v>3285702.2490699999</v>
      </c>
      <c r="G33" s="228">
        <v>3912886.8174800002</v>
      </c>
      <c r="H33" s="121">
        <f t="shared" si="6"/>
        <v>19.100000000000001</v>
      </c>
      <c r="I33" s="331">
        <f>IFERROR(100/'Skjema total MA'!F33*G33,0)</f>
        <v>34.240216826271279</v>
      </c>
      <c r="J33" s="228">
        <f t="shared" si="11"/>
        <v>3285702.2490699999</v>
      </c>
      <c r="K33" s="228">
        <f t="shared" si="12"/>
        <v>3912886.8174800002</v>
      </c>
      <c r="L33" s="121">
        <f t="shared" si="8"/>
        <v>19.100000000000001</v>
      </c>
      <c r="M33" s="20">
        <f>IFERROR(100/'Skjema total MA'!I33*K33,0)</f>
        <v>34.240216826271279</v>
      </c>
    </row>
    <row r="34" spans="1:13" ht="15.75" x14ac:dyDescent="0.2">
      <c r="A34" s="10" t="s">
        <v>387</v>
      </c>
      <c r="B34" s="180">
        <v>7812.62</v>
      </c>
      <c r="C34" s="245">
        <v>9827.1450000000004</v>
      </c>
      <c r="D34" s="125">
        <f t="shared" si="5"/>
        <v>25.8</v>
      </c>
      <c r="E34" s="8">
        <f>IFERROR(100/'Skjema total MA'!C34*C34,0)</f>
        <v>20.328207170754233</v>
      </c>
      <c r="F34" s="244">
        <v>40302.855259999902</v>
      </c>
      <c r="G34" s="245">
        <v>21198.084169999998</v>
      </c>
      <c r="H34" s="125">
        <f t="shared" si="6"/>
        <v>-47.4</v>
      </c>
      <c r="I34" s="8">
        <f>IFERROR(100/'Skjema total MA'!F34*G34,0)</f>
        <v>-4.9743316699400175</v>
      </c>
      <c r="J34" s="180">
        <f t="shared" si="7"/>
        <v>48115.475259999905</v>
      </c>
      <c r="K34" s="180">
        <f t="shared" si="7"/>
        <v>31025.229169999999</v>
      </c>
      <c r="L34" s="339">
        <f t="shared" si="8"/>
        <v>-35.5</v>
      </c>
      <c r="M34" s="21">
        <f>IFERROR(100/'Skjema total MA'!I34*K34,0)</f>
        <v>-8.211925808831074</v>
      </c>
    </row>
    <row r="35" spans="1:13" ht="15.75" x14ac:dyDescent="0.2">
      <c r="A35" s="10" t="s">
        <v>388</v>
      </c>
      <c r="B35" s="180">
        <v>115.93313000000001</v>
      </c>
      <c r="C35" s="245">
        <v>862.14590999999996</v>
      </c>
      <c r="D35" s="125">
        <f t="shared" si="5"/>
        <v>643.70000000000005</v>
      </c>
      <c r="E35" s="8">
        <f>IFERROR(100/'Skjema total MA'!C35*C35,0)</f>
        <v>-0.143478497054781</v>
      </c>
      <c r="F35" s="244">
        <v>62696.93174</v>
      </c>
      <c r="G35" s="245">
        <v>91480.865170000005</v>
      </c>
      <c r="H35" s="125">
        <f t="shared" si="6"/>
        <v>45.9</v>
      </c>
      <c r="I35" s="8">
        <f>IFERROR(100/'Skjema total MA'!F35*G35,0)</f>
        <v>42.023948455857123</v>
      </c>
      <c r="J35" s="180">
        <f t="shared" si="7"/>
        <v>62812.864869999998</v>
      </c>
      <c r="K35" s="180">
        <f t="shared" si="7"/>
        <v>92343.011080000011</v>
      </c>
      <c r="L35" s="339">
        <f t="shared" si="8"/>
        <v>47</v>
      </c>
      <c r="M35" s="21">
        <f>IFERROR(100/'Skjema total MA'!I35*K35,0)</f>
        <v>-24.097792180386101</v>
      </c>
    </row>
    <row r="36" spans="1:13" ht="15.75" x14ac:dyDescent="0.2">
      <c r="A36" s="9" t="s">
        <v>253</v>
      </c>
      <c r="B36" s="180">
        <v>67.744</v>
      </c>
      <c r="C36" s="245">
        <v>29.727</v>
      </c>
      <c r="D36" s="125">
        <f t="shared" si="5"/>
        <v>-56.1</v>
      </c>
      <c r="E36" s="8">
        <f>IFERROR(100/'Skjema total MA'!C36*C36,0)</f>
        <v>0.32668013007423191</v>
      </c>
      <c r="F36" s="255"/>
      <c r="G36" s="256"/>
      <c r="H36" s="125"/>
      <c r="I36" s="345"/>
      <c r="J36" s="180">
        <f t="shared" ref="J36:J37" si="13">SUM(B36,F36)</f>
        <v>67.744</v>
      </c>
      <c r="K36" s="180">
        <f t="shared" ref="K36:K37" si="14">SUM(C36,G36)</f>
        <v>29.727</v>
      </c>
      <c r="L36" s="339"/>
      <c r="M36" s="21">
        <f>IFERROR(100/'Skjema total MA'!I36*K36,0)</f>
        <v>0.32668013007423191</v>
      </c>
    </row>
    <row r="37" spans="1:13" ht="15.75" x14ac:dyDescent="0.2">
      <c r="A37" s="9" t="s">
        <v>394</v>
      </c>
      <c r="B37" s="180">
        <v>398194.96023000003</v>
      </c>
      <c r="C37" s="245">
        <v>387665.91003000003</v>
      </c>
      <c r="D37" s="125">
        <f t="shared" si="5"/>
        <v>-2.6</v>
      </c>
      <c r="E37" s="8">
        <f>IFERROR(100/'Skjema total MA'!C37*C37,0)</f>
        <v>15.512029052432139</v>
      </c>
      <c r="F37" s="255"/>
      <c r="G37" s="257"/>
      <c r="H37" s="125"/>
      <c r="I37" s="345"/>
      <c r="J37" s="180">
        <f t="shared" si="13"/>
        <v>398194.96023000003</v>
      </c>
      <c r="K37" s="180">
        <f t="shared" si="14"/>
        <v>387665.91003000003</v>
      </c>
      <c r="L37" s="339"/>
      <c r="M37" s="21">
        <f>IFERROR(100/'Skjema total MA'!I37*K37,0)</f>
        <v>15.512029052432139</v>
      </c>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865787.61616000009</v>
      </c>
      <c r="C47" s="247">
        <v>1026997.3020799999</v>
      </c>
      <c r="D47" s="338">
        <f t="shared" ref="D47:D57" si="15">IF(B47=0, "    ---- ", IF(ABS(ROUND(100/B47*C47-100,1))&lt;999,ROUND(100/B47*C47-100,1),IF(ROUND(100/B47*C47-100,1)&gt;999,999,-999)))</f>
        <v>18.600000000000001</v>
      </c>
      <c r="E47" s="8">
        <f>IFERROR(100/'Skjema total MA'!C47*C47,0)</f>
        <v>15.608155183446987</v>
      </c>
      <c r="F47" s="109"/>
      <c r="G47" s="27"/>
      <c r="H47" s="117"/>
      <c r="I47" s="117"/>
      <c r="J47" s="31"/>
      <c r="K47" s="31"/>
      <c r="L47" s="117"/>
      <c r="M47" s="117"/>
    </row>
    <row r="48" spans="1:13" ht="15.75" x14ac:dyDescent="0.2">
      <c r="A48" s="18" t="s">
        <v>397</v>
      </c>
      <c r="B48" s="219">
        <v>366149.58598999999</v>
      </c>
      <c r="C48" s="220">
        <v>451511.51699999999</v>
      </c>
      <c r="D48" s="198">
        <f t="shared" si="15"/>
        <v>23.3</v>
      </c>
      <c r="E48" s="23">
        <f>IFERROR(100/'Skjema total MA'!C48*C48,0)</f>
        <v>12.175654372716009</v>
      </c>
      <c r="F48" s="109"/>
      <c r="G48" s="27"/>
      <c r="H48" s="109"/>
      <c r="I48" s="109"/>
      <c r="J48" s="27"/>
      <c r="K48" s="27"/>
      <c r="L48" s="117"/>
      <c r="M48" s="117"/>
    </row>
    <row r="49" spans="1:13" ht="15.75" x14ac:dyDescent="0.2">
      <c r="A49" s="18" t="s">
        <v>398</v>
      </c>
      <c r="B49" s="36">
        <v>499638.0301700001</v>
      </c>
      <c r="C49" s="225">
        <v>575485.78507999994</v>
      </c>
      <c r="D49" s="198">
        <f>IF(B49=0, "    ---- ", IF(ABS(ROUND(100/B49*C49-100,1))&lt;999,ROUND(100/B49*C49-100,1),IF(ROUND(100/B49*C49-100,1)&gt;999,999,-999)))</f>
        <v>15.2</v>
      </c>
      <c r="E49" s="23">
        <f>IFERROR(100/'Skjema total MA'!C49*C49,0)</f>
        <v>20.040861461858491</v>
      </c>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v>486395.05417000002</v>
      </c>
      <c r="C51" s="229">
        <v>562378.20907999994</v>
      </c>
      <c r="D51" s="198">
        <f t="shared" ref="D51:D52" si="16">IF(B51=0, "    ---- ", IF(ABS(ROUND(100/B51*C51-100,1))&lt;999,ROUND(100/B51*C51-100,1),IF(ROUND(100/B51*C51-100,1)&gt;999,999,-999)))</f>
        <v>15.6</v>
      </c>
      <c r="E51" s="23">
        <f>IFERROR(100/'Skjema total MA'!C51*C51,0)</f>
        <v>19.875933834426352</v>
      </c>
      <c r="F51" s="109"/>
      <c r="G51" s="27"/>
      <c r="H51" s="109"/>
      <c r="I51" s="109"/>
      <c r="J51" s="27"/>
      <c r="K51" s="27"/>
      <c r="L51" s="117"/>
      <c r="M51" s="117"/>
    </row>
    <row r="52" spans="1:13" x14ac:dyDescent="0.2">
      <c r="A52" s="234" t="s">
        <v>8</v>
      </c>
      <c r="B52" s="228">
        <v>13242.976000000101</v>
      </c>
      <c r="C52" s="229">
        <v>13107.575999999999</v>
      </c>
      <c r="D52" s="198">
        <f t="shared" si="16"/>
        <v>-1</v>
      </c>
      <c r="E52" s="23">
        <f>IFERROR(100/'Skjema total MA'!C52*C52,0)</f>
        <v>31.111474493030567</v>
      </c>
      <c r="F52" s="109"/>
      <c r="G52" s="27"/>
      <c r="H52" s="109"/>
      <c r="I52" s="109"/>
      <c r="J52" s="27"/>
      <c r="K52" s="27"/>
      <c r="L52" s="117"/>
      <c r="M52" s="117"/>
    </row>
    <row r="53" spans="1:13" ht="15.75" x14ac:dyDescent="0.2">
      <c r="A53" s="10" t="s">
        <v>399</v>
      </c>
      <c r="B53" s="246">
        <v>50138.116999999998</v>
      </c>
      <c r="C53" s="247">
        <v>46540.553999999996</v>
      </c>
      <c r="D53" s="339">
        <f t="shared" si="15"/>
        <v>-7.2</v>
      </c>
      <c r="E53" s="8">
        <f>IFERROR(100/'Skjema total MA'!C53*C53,0)</f>
        <v>21.238463818578815</v>
      </c>
      <c r="F53" s="109"/>
      <c r="G53" s="27"/>
      <c r="H53" s="109"/>
      <c r="I53" s="109"/>
      <c r="J53" s="27"/>
      <c r="K53" s="27"/>
      <c r="L53" s="117"/>
      <c r="M53" s="117"/>
    </row>
    <row r="54" spans="1:13" ht="15.75" x14ac:dyDescent="0.2">
      <c r="A54" s="18" t="s">
        <v>397</v>
      </c>
      <c r="B54" s="219">
        <v>50138.116999999998</v>
      </c>
      <c r="C54" s="220">
        <v>46540.553999999996</v>
      </c>
      <c r="D54" s="198">
        <f t="shared" si="15"/>
        <v>-7.2</v>
      </c>
      <c r="E54" s="23">
        <f>IFERROR(100/'Skjema total MA'!C54*C54,0)</f>
        <v>21.334752547541655</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10.186</v>
      </c>
      <c r="C56" s="247">
        <v>2452.116</v>
      </c>
      <c r="D56" s="339">
        <f t="shared" si="15"/>
        <v>999</v>
      </c>
      <c r="E56" s="8">
        <f>IFERROR(100/'Skjema total MA'!C56*C56,0)</f>
        <v>1.0254684795478357</v>
      </c>
      <c r="F56" s="109"/>
      <c r="G56" s="27"/>
      <c r="H56" s="109"/>
      <c r="I56" s="109"/>
      <c r="J56" s="27"/>
      <c r="K56" s="27"/>
      <c r="L56" s="117"/>
      <c r="M56" s="117"/>
    </row>
    <row r="57" spans="1:13" ht="15.75" x14ac:dyDescent="0.2">
      <c r="A57" s="18" t="s">
        <v>397</v>
      </c>
      <c r="B57" s="219">
        <v>10.186</v>
      </c>
      <c r="C57" s="220">
        <v>2452.116</v>
      </c>
      <c r="D57" s="198">
        <f t="shared" si="15"/>
        <v>999</v>
      </c>
      <c r="E57" s="23">
        <f>IFERROR(100/'Skjema total MA'!C57*C57,0)</f>
        <v>1.0254684795478357</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v>4144651.9723399999</v>
      </c>
      <c r="C66" s="281">
        <v>4037242.4478200004</v>
      </c>
      <c r="D66" s="278">
        <f t="shared" ref="D66:D111" si="17">IF(B66=0, "    ---- ", IF(ABS(ROUND(100/B66*C66-100,1))&lt;999,ROUND(100/B66*C66-100,1),IF(ROUND(100/B66*C66-100,1)&gt;999,999,-999)))</f>
        <v>-2.6</v>
      </c>
      <c r="E66" s="8">
        <f>IFERROR(100/'Skjema total MA'!C66*C66,0)</f>
        <v>45.787847423445086</v>
      </c>
      <c r="F66" s="280">
        <v>15926642.51833</v>
      </c>
      <c r="G66" s="280">
        <v>16771421.5765</v>
      </c>
      <c r="H66" s="278">
        <f t="shared" ref="H66:H111" si="18">IF(F66=0, "    ---- ", IF(ABS(ROUND(100/F66*G66-100,1))&lt;999,ROUND(100/F66*G66-100,1),IF(ROUND(100/F66*G66-100,1)&gt;999,999,-999)))</f>
        <v>5.3</v>
      </c>
      <c r="I66" s="8">
        <f>IFERROR(100/'Skjema total MA'!F66*G66,0)</f>
        <v>30.649477349085121</v>
      </c>
      <c r="J66" s="245">
        <f t="shared" ref="J66:K86" si="19">SUM(B66,F66)</f>
        <v>20071294.490669999</v>
      </c>
      <c r="K66" s="252">
        <f t="shared" si="19"/>
        <v>20808664.024319999</v>
      </c>
      <c r="L66" s="339">
        <f t="shared" ref="L66:L111" si="20">IF(J66=0, "    ---- ", IF(ABS(ROUND(100/J66*K66-100,1))&lt;999,ROUND(100/J66*K66-100,1),IF(ROUND(100/J66*K66-100,1)&gt;999,999,-999)))</f>
        <v>3.7</v>
      </c>
      <c r="M66" s="8">
        <f>IFERROR(100/'Skjema total MA'!I66*K66,0)</f>
        <v>32.750276299722387</v>
      </c>
    </row>
    <row r="67" spans="1:13" x14ac:dyDescent="0.2">
      <c r="A67" s="39" t="s">
        <v>9</v>
      </c>
      <c r="B67" s="36">
        <v>2155994.3824700001</v>
      </c>
      <c r="C67" s="109">
        <v>1751206.1375200001</v>
      </c>
      <c r="D67" s="121">
        <f t="shared" si="17"/>
        <v>-18.8</v>
      </c>
      <c r="E67" s="23">
        <f>IFERROR(100/'Skjema total MA'!C67*C67,0)</f>
        <v>36.89131408401721</v>
      </c>
      <c r="F67" s="178"/>
      <c r="G67" s="109"/>
      <c r="H67" s="121"/>
      <c r="I67" s="23"/>
      <c r="J67" s="225">
        <f t="shared" si="19"/>
        <v>2155994.3824700001</v>
      </c>
      <c r="K67" s="36">
        <f t="shared" si="19"/>
        <v>1751206.1375200001</v>
      </c>
      <c r="L67" s="198">
        <f t="shared" si="20"/>
        <v>-18.8</v>
      </c>
      <c r="M67" s="23">
        <f>IFERROR(100/'Skjema total MA'!I67*K67,0)</f>
        <v>36.89131408401721</v>
      </c>
    </row>
    <row r="68" spans="1:13" x14ac:dyDescent="0.2">
      <c r="A68" s="18" t="s">
        <v>10</v>
      </c>
      <c r="B68" s="230"/>
      <c r="C68" s="231"/>
      <c r="D68" s="121"/>
      <c r="E68" s="23"/>
      <c r="F68" s="230">
        <v>14182810.001879999</v>
      </c>
      <c r="G68" s="231">
        <v>15089401.1755</v>
      </c>
      <c r="H68" s="121">
        <f t="shared" si="18"/>
        <v>6.4</v>
      </c>
      <c r="I68" s="23">
        <f>IFERROR(100/'Skjema total MA'!F68*G68,0)</f>
        <v>28.67900078590003</v>
      </c>
      <c r="J68" s="225">
        <f t="shared" si="19"/>
        <v>14182810.001879999</v>
      </c>
      <c r="K68" s="36">
        <f t="shared" si="19"/>
        <v>15089401.1755</v>
      </c>
      <c r="L68" s="198">
        <f t="shared" si="20"/>
        <v>6.4</v>
      </c>
      <c r="M68" s="23">
        <f>IFERROR(100/'Skjema total MA'!I68*K68,0)</f>
        <v>28.662759270836414</v>
      </c>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v>14182810.001879999</v>
      </c>
      <c r="G72" s="219">
        <v>15089401.1755</v>
      </c>
      <c r="H72" s="121">
        <f t="shared" si="18"/>
        <v>6.4</v>
      </c>
      <c r="I72" s="331">
        <f>IFERROR(100/'Skjema total MA'!F72*G72,0)</f>
        <v>28.680377016757717</v>
      </c>
      <c r="J72" s="225">
        <f t="shared" ref="J72" si="21">SUM(B72,F72)</f>
        <v>14182810.001879999</v>
      </c>
      <c r="K72" s="36">
        <f t="shared" ref="K72" si="22">SUM(C72,G72)</f>
        <v>15089401.1755</v>
      </c>
      <c r="L72" s="198">
        <f t="shared" ref="L72" si="23">IF(J72=0, "    ---- ", IF(ABS(ROUND(100/J72*K72-100,1))&lt;999,ROUND(100/J72*K72-100,1),IF(ROUND(100/J72*K72-100,1)&gt;999,999,-999)))</f>
        <v>6.4</v>
      </c>
      <c r="M72" s="20">
        <f>IFERROR(100/'Skjema total MA'!I72*K72,0)</f>
        <v>28.664307098461638</v>
      </c>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v>14182810.001879999</v>
      </c>
      <c r="G74" s="219">
        <v>15089401.1755</v>
      </c>
      <c r="H74" s="121">
        <f t="shared" si="18"/>
        <v>6.4</v>
      </c>
      <c r="I74" s="331">
        <f>IFERROR(100/'Skjema total MA'!F74*G74,0)</f>
        <v>28.680377016757717</v>
      </c>
      <c r="J74" s="225">
        <f t="shared" ref="J74" si="24">SUM(B74,F74)</f>
        <v>14182810.001879999</v>
      </c>
      <c r="K74" s="36">
        <f t="shared" ref="K74" si="25">SUM(C74,G74)</f>
        <v>15089401.1755</v>
      </c>
      <c r="L74" s="198">
        <f t="shared" ref="L74" si="26">IF(J74=0, "    ---- ", IF(ABS(ROUND(100/J74*K74-100,1))&lt;999,ROUND(100/J74*K74-100,1),IF(ROUND(100/J74*K74-100,1)&gt;999,999,-999)))</f>
        <v>6.4</v>
      </c>
      <c r="M74" s="20">
        <f>IFERROR(100/'Skjema total MA'!I74*K74,0)</f>
        <v>28.680377016757717</v>
      </c>
    </row>
    <row r="75" spans="1:13" x14ac:dyDescent="0.2">
      <c r="A75" s="18" t="s">
        <v>308</v>
      </c>
      <c r="B75" s="178">
        <v>386685.44799999997</v>
      </c>
      <c r="C75" s="109">
        <v>411147.2</v>
      </c>
      <c r="D75" s="121">
        <f t="shared" si="17"/>
        <v>6.3</v>
      </c>
      <c r="E75" s="23">
        <f>IFERROR(100/'Skjema total MA'!C75*C75,0)</f>
        <v>51.070943776472348</v>
      </c>
      <c r="F75" s="178">
        <v>1743832.51645</v>
      </c>
      <c r="G75" s="109">
        <v>1682020.4010000001</v>
      </c>
      <c r="H75" s="121">
        <f t="shared" si="18"/>
        <v>-3.5</v>
      </c>
      <c r="I75" s="23">
        <f>IFERROR(100/'Skjema total MA'!F75*G75,0)</f>
        <v>79.895252432066712</v>
      </c>
      <c r="J75" s="225">
        <f t="shared" si="19"/>
        <v>2130517.9644499999</v>
      </c>
      <c r="K75" s="36">
        <f t="shared" si="19"/>
        <v>2093167.601</v>
      </c>
      <c r="L75" s="198">
        <f t="shared" si="20"/>
        <v>-1.8</v>
      </c>
      <c r="M75" s="23">
        <f>IFERROR(100/'Skjema total MA'!I75*K75,0)</f>
        <v>71.921924127493284</v>
      </c>
    </row>
    <row r="76" spans="1:13" x14ac:dyDescent="0.2">
      <c r="A76" s="18" t="s">
        <v>307</v>
      </c>
      <c r="B76" s="178">
        <v>1601972.1418699999</v>
      </c>
      <c r="C76" s="109">
        <v>1874889.1103000001</v>
      </c>
      <c r="D76" s="121">
        <f t="shared" ref="D76" si="27">IF(B76=0, "    ---- ", IF(ABS(ROUND(100/B76*C76-100,1))&lt;999,ROUND(100/B76*C76-100,1),IF(ROUND(100/B76*C76-100,1)&gt;999,999,-999)))</f>
        <v>17</v>
      </c>
      <c r="E76" s="23">
        <f>IFERROR(100/'Skjema total MA'!C77*C76,0)</f>
        <v>40.046149203860949</v>
      </c>
      <c r="F76" s="178"/>
      <c r="G76" s="109"/>
      <c r="H76" s="121"/>
      <c r="I76" s="23"/>
      <c r="J76" s="225">
        <f t="shared" ref="J76" si="28">SUM(B76,F76)</f>
        <v>1601972.1418699999</v>
      </c>
      <c r="K76" s="36">
        <f t="shared" ref="K76" si="29">SUM(C76,G76)</f>
        <v>1874889.1103000001</v>
      </c>
      <c r="L76" s="198">
        <f t="shared" ref="L76" si="30">IF(J76=0, "    ---- ", IF(ABS(ROUND(100/J76*K76-100,1))&lt;999,ROUND(100/J76*K76-100,1),IF(ROUND(100/J76*K76-100,1)&gt;999,999,-999)))</f>
        <v>17</v>
      </c>
      <c r="M76" s="23">
        <f>IFERROR(100/'Skjema total MA'!I77*K76,0)</f>
        <v>3.2729926538710736</v>
      </c>
    </row>
    <row r="77" spans="1:13" ht="15.75" x14ac:dyDescent="0.2">
      <c r="A77" s="18" t="s">
        <v>403</v>
      </c>
      <c r="B77" s="178">
        <v>2082178.4794699999</v>
      </c>
      <c r="C77" s="178">
        <v>1690293.70052</v>
      </c>
      <c r="D77" s="121">
        <f t="shared" si="17"/>
        <v>-18.8</v>
      </c>
      <c r="E77" s="23">
        <f>IFERROR(100/'Skjema total MA'!C77*C77,0)</f>
        <v>36.103337182719663</v>
      </c>
      <c r="F77" s="178">
        <v>14182810.001879999</v>
      </c>
      <c r="G77" s="109">
        <v>15089401.1755</v>
      </c>
      <c r="H77" s="121">
        <f t="shared" si="18"/>
        <v>6.4</v>
      </c>
      <c r="I77" s="23">
        <f>IFERROR(100/'Skjema total MA'!F77*G77,0)</f>
        <v>28.686086227087124</v>
      </c>
      <c r="J77" s="225">
        <f t="shared" si="19"/>
        <v>16264988.481349999</v>
      </c>
      <c r="K77" s="36">
        <f t="shared" si="19"/>
        <v>16779694.876019999</v>
      </c>
      <c r="L77" s="198">
        <f t="shared" si="20"/>
        <v>3.2</v>
      </c>
      <c r="M77" s="23">
        <f>IFERROR(100/'Skjema total MA'!I77*K77,0)</f>
        <v>29.292302014930293</v>
      </c>
    </row>
    <row r="78" spans="1:13" x14ac:dyDescent="0.2">
      <c r="A78" s="18" t="s">
        <v>9</v>
      </c>
      <c r="B78" s="178">
        <v>2082178.4794699999</v>
      </c>
      <c r="C78" s="109">
        <v>1690293.70052</v>
      </c>
      <c r="D78" s="121">
        <f t="shared" si="17"/>
        <v>-18.8</v>
      </c>
      <c r="E78" s="23">
        <f>IFERROR(100/'Skjema total MA'!C78*C78,0)</f>
        <v>36.334715935656654</v>
      </c>
      <c r="F78" s="178"/>
      <c r="G78" s="109"/>
      <c r="H78" s="121"/>
      <c r="I78" s="23"/>
      <c r="J78" s="225">
        <f t="shared" si="19"/>
        <v>2082178.4794699999</v>
      </c>
      <c r="K78" s="36">
        <f t="shared" si="19"/>
        <v>1690293.70052</v>
      </c>
      <c r="L78" s="198">
        <f t="shared" si="20"/>
        <v>-18.8</v>
      </c>
      <c r="M78" s="23">
        <f>IFERROR(100/'Skjema total MA'!I78*K78,0)</f>
        <v>36.334715935656654</v>
      </c>
    </row>
    <row r="79" spans="1:13" x14ac:dyDescent="0.2">
      <c r="A79" s="18" t="s">
        <v>429</v>
      </c>
      <c r="B79" s="230"/>
      <c r="C79" s="231"/>
      <c r="D79" s="121"/>
      <c r="E79" s="23"/>
      <c r="F79" s="230">
        <v>14182810.001879999</v>
      </c>
      <c r="G79" s="231">
        <v>15089401.1755</v>
      </c>
      <c r="H79" s="121">
        <f t="shared" si="18"/>
        <v>6.4</v>
      </c>
      <c r="I79" s="23">
        <f>IFERROR(100/'Skjema total MA'!F79*G79,0)</f>
        <v>28.686086227087124</v>
      </c>
      <c r="J79" s="225">
        <f t="shared" si="19"/>
        <v>14182810.001879999</v>
      </c>
      <c r="K79" s="36">
        <f t="shared" si="19"/>
        <v>15089401.1755</v>
      </c>
      <c r="L79" s="198">
        <f t="shared" si="20"/>
        <v>6.4</v>
      </c>
      <c r="M79" s="23">
        <f>IFERROR(100/'Skjema total MA'!I79*K79,0)</f>
        <v>28.669836688040071</v>
      </c>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v>14182810.001879999</v>
      </c>
      <c r="G83" s="219">
        <v>15089401.1755</v>
      </c>
      <c r="H83" s="121">
        <f t="shared" si="18"/>
        <v>6.4</v>
      </c>
      <c r="I83" s="331">
        <f>IFERROR(100/'Skjema total MA'!F83*G83,0)</f>
        <v>28.686086227087124</v>
      </c>
      <c r="J83" s="225">
        <f t="shared" ref="J83" si="31">SUM(B83,F83)</f>
        <v>14182810.001879999</v>
      </c>
      <c r="K83" s="36">
        <f t="shared" ref="K83" si="32">SUM(C83,G83)</f>
        <v>15089401.1755</v>
      </c>
      <c r="L83" s="198">
        <f t="shared" ref="L83" si="33">IF(J83=0, "    ---- ", IF(ABS(ROUND(100/J83*K83-100,1))&lt;999,ROUND(100/J83*K83-100,1),IF(ROUND(100/J83*K83-100,1)&gt;999,999,-999)))</f>
        <v>6.4</v>
      </c>
      <c r="M83" s="20">
        <f>IFERROR(100/'Skjema total MA'!I83*K83,0)</f>
        <v>28.669836688040071</v>
      </c>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v>14182810.001879999</v>
      </c>
      <c r="G85" s="219">
        <v>15089401.1755</v>
      </c>
      <c r="H85" s="121">
        <f t="shared" si="18"/>
        <v>6.4</v>
      </c>
      <c r="I85" s="331">
        <f>IFERROR(100/'Skjema total MA'!F85*G85,0)</f>
        <v>28.686086227087124</v>
      </c>
      <c r="J85" s="225">
        <f t="shared" ref="J85" si="34">SUM(B85,F85)</f>
        <v>14182810.001879999</v>
      </c>
      <c r="K85" s="36">
        <f t="shared" ref="K85" si="35">SUM(C85,G85)</f>
        <v>15089401.1755</v>
      </c>
      <c r="L85" s="198">
        <f t="shared" ref="L85" si="36">IF(J85=0, "    ---- ", IF(ABS(ROUND(100/J85*K85-100,1))&lt;999,ROUND(100/J85*K85-100,1),IF(ROUND(100/J85*K85-100,1)&gt;999,999,-999)))</f>
        <v>6.4</v>
      </c>
      <c r="M85" s="20">
        <f>IFERROR(100/'Skjema total MA'!I85*K85,0)</f>
        <v>28.686086227087124</v>
      </c>
    </row>
    <row r="86" spans="1:13" ht="15.75" x14ac:dyDescent="0.2">
      <c r="A86" s="18" t="s">
        <v>404</v>
      </c>
      <c r="B86" s="178">
        <v>73815.903000000006</v>
      </c>
      <c r="C86" s="109">
        <v>60912.436999999998</v>
      </c>
      <c r="D86" s="121">
        <f t="shared" si="17"/>
        <v>-17.5</v>
      </c>
      <c r="E86" s="23">
        <f>IFERROR(100/'Skjema total MA'!C86*C86,0)</f>
        <v>64.168111365848986</v>
      </c>
      <c r="F86" s="178"/>
      <c r="G86" s="109"/>
      <c r="H86" s="121"/>
      <c r="I86" s="23"/>
      <c r="J86" s="225">
        <f t="shared" si="19"/>
        <v>73815.903000000006</v>
      </c>
      <c r="K86" s="36">
        <f t="shared" si="19"/>
        <v>60912.436999999998</v>
      </c>
      <c r="L86" s="198">
        <f t="shared" si="20"/>
        <v>-17.5</v>
      </c>
      <c r="M86" s="23">
        <f>IFERROR(100/'Skjema total MA'!I86*K86,0)</f>
        <v>56.441087679190389</v>
      </c>
    </row>
    <row r="87" spans="1:13" ht="15.75" x14ac:dyDescent="0.2">
      <c r="A87" s="10" t="s">
        <v>386</v>
      </c>
      <c r="B87" s="281">
        <v>170926551.39125001</v>
      </c>
      <c r="C87" s="281">
        <v>175850819.97765997</v>
      </c>
      <c r="D87" s="125">
        <f t="shared" si="17"/>
        <v>2.9</v>
      </c>
      <c r="E87" s="8">
        <f>IFERROR(100/'Skjema total MA'!C87*C87,0)</f>
        <v>43.318921330879171</v>
      </c>
      <c r="F87" s="280">
        <v>186002637.16113999</v>
      </c>
      <c r="G87" s="280">
        <v>221919516.49350002</v>
      </c>
      <c r="H87" s="125">
        <f t="shared" si="18"/>
        <v>19.3</v>
      </c>
      <c r="I87" s="8">
        <f>IFERROR(100/'Skjema total MA'!F87*G87,0)</f>
        <v>33.355052970104822</v>
      </c>
      <c r="J87" s="245">
        <f t="shared" ref="J87:K111" si="37">SUM(B87,F87)</f>
        <v>356929188.55238998</v>
      </c>
      <c r="K87" s="180">
        <f t="shared" si="37"/>
        <v>397770336.47115999</v>
      </c>
      <c r="L87" s="339">
        <f t="shared" si="20"/>
        <v>11.4</v>
      </c>
      <c r="M87" s="8">
        <f>IFERROR(100/'Skjema total MA'!I87*K87,0)</f>
        <v>37.130739698810743</v>
      </c>
    </row>
    <row r="88" spans="1:13" x14ac:dyDescent="0.2">
      <c r="A88" s="18" t="s">
        <v>9</v>
      </c>
      <c r="B88" s="178">
        <v>159822500.46746001</v>
      </c>
      <c r="C88" s="109">
        <v>162462988.10705999</v>
      </c>
      <c r="D88" s="121">
        <f t="shared" si="17"/>
        <v>1.7</v>
      </c>
      <c r="E88" s="23">
        <f>IFERROR(100/'Skjema total MA'!C88*C88,0)</f>
        <v>42.280051840933972</v>
      </c>
      <c r="F88" s="178"/>
      <c r="G88" s="109"/>
      <c r="H88" s="121"/>
      <c r="I88" s="23"/>
      <c r="J88" s="225">
        <f t="shared" si="37"/>
        <v>159822500.46746001</v>
      </c>
      <c r="K88" s="36">
        <f t="shared" si="37"/>
        <v>162462988.10705999</v>
      </c>
      <c r="L88" s="198">
        <f t="shared" si="20"/>
        <v>1.7</v>
      </c>
      <c r="M88" s="23">
        <f>IFERROR(100/'Skjema total MA'!I88*K88,0)</f>
        <v>42.280051840933972</v>
      </c>
    </row>
    <row r="89" spans="1:13" x14ac:dyDescent="0.2">
      <c r="A89" s="18" t="s">
        <v>10</v>
      </c>
      <c r="B89" s="178">
        <v>47382.455520000003</v>
      </c>
      <c r="C89" s="109">
        <v>46903.31394</v>
      </c>
      <c r="D89" s="121">
        <f t="shared" si="17"/>
        <v>-1</v>
      </c>
      <c r="E89" s="23">
        <f>IFERROR(100/'Skjema total MA'!C89*C89,0)</f>
        <v>1.9349579700619493</v>
      </c>
      <c r="F89" s="178">
        <v>180449438.46101001</v>
      </c>
      <c r="G89" s="109">
        <v>214532249.71777001</v>
      </c>
      <c r="H89" s="121">
        <f t="shared" si="18"/>
        <v>18.899999999999999</v>
      </c>
      <c r="I89" s="23">
        <f>IFERROR(100/'Skjema total MA'!F89*G89,0)</f>
        <v>32.75200623568908</v>
      </c>
      <c r="J89" s="225">
        <f t="shared" si="37"/>
        <v>180496820.91653001</v>
      </c>
      <c r="K89" s="36">
        <f t="shared" si="37"/>
        <v>214579153.03171</v>
      </c>
      <c r="L89" s="198">
        <f t="shared" si="20"/>
        <v>18.899999999999999</v>
      </c>
      <c r="M89" s="23">
        <f>IFERROR(100/'Skjema total MA'!I89*K89,0)</f>
        <v>32.638383785726468</v>
      </c>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v>47382.455520000003</v>
      </c>
      <c r="C93" s="219">
        <v>46903.31394</v>
      </c>
      <c r="D93" s="121">
        <f t="shared" ref="D93" si="38">IF(B93=0, "    ---- ", IF(ABS(ROUND(100/B93*C93-100,1))&lt;999,ROUND(100/B93*C93-100,1),IF(ROUND(100/B93*C93-100,1)&gt;999,999,-999)))</f>
        <v>-1</v>
      </c>
      <c r="E93" s="23">
        <f>IFERROR(100/'Skjema total MA'!C93*C93,0)</f>
        <v>1.9349579700619493</v>
      </c>
      <c r="F93" s="219">
        <v>180449438.46101001</v>
      </c>
      <c r="G93" s="219">
        <v>214532249.71777001</v>
      </c>
      <c r="H93" s="121">
        <f t="shared" si="18"/>
        <v>18.899999999999999</v>
      </c>
      <c r="I93" s="331">
        <f>IFERROR(100/'Skjema total MA'!F93*G93,0)</f>
        <v>32.768302377426572</v>
      </c>
      <c r="J93" s="225">
        <f t="shared" ref="J93" si="39">SUM(B93,F93)</f>
        <v>180496820.91653001</v>
      </c>
      <c r="K93" s="36">
        <f t="shared" ref="K93" si="40">SUM(C93,G93)</f>
        <v>214579153.03171</v>
      </c>
      <c r="L93" s="198">
        <f t="shared" ref="L93" si="41">IF(J93=0, "    ---- ", IF(ABS(ROUND(100/J93*K93-100,1))&lt;999,ROUND(100/J93*K93-100,1),IF(ROUND(100/J93*K93-100,1)&gt;999,999,-999)))</f>
        <v>18.899999999999999</v>
      </c>
      <c r="M93" s="20">
        <f>IFERROR(100/'Skjema total MA'!I93*K93,0)</f>
        <v>32.65456348818087</v>
      </c>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v>180449438.46101001</v>
      </c>
      <c r="G95" s="219">
        <v>214532249.71777001</v>
      </c>
      <c r="H95" s="121">
        <f t="shared" si="18"/>
        <v>18.899999999999999</v>
      </c>
      <c r="I95" s="331">
        <f>IFERROR(100/'Skjema total MA'!F95*G95,0)</f>
        <v>32.768302377426572</v>
      </c>
      <c r="J95" s="225">
        <f t="shared" ref="J95" si="42">SUM(B95,F95)</f>
        <v>180449438.46101001</v>
      </c>
      <c r="K95" s="36">
        <f t="shared" ref="K95" si="43">SUM(C95,G95)</f>
        <v>214532249.71777001</v>
      </c>
      <c r="L95" s="198">
        <f t="shared" ref="L95" si="44">IF(J95=0, "    ---- ", IF(ABS(ROUND(100/J95*K95-100,1))&lt;999,ROUND(100/J95*K95-100,1),IF(ROUND(100/J95*K95-100,1)&gt;999,999,-999)))</f>
        <v>18.899999999999999</v>
      </c>
      <c r="M95" s="20">
        <f>IFERROR(100/'Skjema total MA'!I95*K95,0)</f>
        <v>32.768302377426572</v>
      </c>
    </row>
    <row r="96" spans="1:13" x14ac:dyDescent="0.2">
      <c r="A96" s="18" t="s">
        <v>306</v>
      </c>
      <c r="B96" s="178">
        <v>2148462.74083</v>
      </c>
      <c r="C96" s="109">
        <v>3228676.0874999999</v>
      </c>
      <c r="D96" s="121">
        <f t="shared" si="17"/>
        <v>50.3</v>
      </c>
      <c r="E96" s="23">
        <f>IFERROR(100/'Skjema total MA'!C96*C96,0)</f>
        <v>46.27839782360607</v>
      </c>
      <c r="F96" s="178">
        <v>5553198.7001299998</v>
      </c>
      <c r="G96" s="109">
        <v>7387266.7757299999</v>
      </c>
      <c r="H96" s="121">
        <f t="shared" si="18"/>
        <v>33</v>
      </c>
      <c r="I96" s="23">
        <f>IFERROR(100/'Skjema total MA'!F96*G96,0)</f>
        <v>71.687264241382309</v>
      </c>
      <c r="J96" s="225">
        <f t="shared" si="37"/>
        <v>7701661.4409599993</v>
      </c>
      <c r="K96" s="36">
        <f t="shared" si="37"/>
        <v>10615942.863229999</v>
      </c>
      <c r="L96" s="198">
        <f t="shared" si="20"/>
        <v>37.799999999999997</v>
      </c>
      <c r="M96" s="23">
        <f>IFERROR(100/'Skjema total MA'!I96*K96,0)</f>
        <v>61.429557746070472</v>
      </c>
    </row>
    <row r="97" spans="1:13" x14ac:dyDescent="0.2">
      <c r="A97" s="18" t="s">
        <v>305</v>
      </c>
      <c r="B97" s="178">
        <v>8908205.7274399996</v>
      </c>
      <c r="C97" s="109">
        <v>10112252.46916</v>
      </c>
      <c r="D97" s="121">
        <f t="shared" ref="D97" si="45">IF(B97=0, "    ---- ", IF(ABS(ROUND(100/B97*C97-100,1))&lt;999,ROUND(100/B97*C97-100,1),IF(ROUND(100/B97*C97-100,1)&gt;999,999,-999)))</f>
        <v>13.5</v>
      </c>
      <c r="E97" s="23">
        <f>IFERROR(100/'Skjema total MA'!C98*C97,0)</f>
        <v>2.644213989164546</v>
      </c>
      <c r="F97" s="178"/>
      <c r="G97" s="109"/>
      <c r="H97" s="121"/>
      <c r="I97" s="23"/>
      <c r="J97" s="225">
        <f t="shared" ref="J97" si="46">SUM(B97,F97)</f>
        <v>8908205.7274399996</v>
      </c>
      <c r="K97" s="36">
        <f t="shared" ref="K97" si="47">SUM(C97,G97)</f>
        <v>10112252.46916</v>
      </c>
      <c r="L97" s="198">
        <f t="shared" ref="L97" si="48">IF(J97=0, "    ---- ", IF(ABS(ROUND(100/J97*K97-100,1))&lt;999,ROUND(100/J97*K97-100,1),IF(ROUND(100/J97*K97-100,1)&gt;999,999,-999)))</f>
        <v>13.5</v>
      </c>
      <c r="M97" s="23">
        <f>IFERROR(100/'Skjema total MA'!I98*K97,0)</f>
        <v>0.97512154028720865</v>
      </c>
    </row>
    <row r="98" spans="1:13" ht="15.75" x14ac:dyDescent="0.2">
      <c r="A98" s="18" t="s">
        <v>403</v>
      </c>
      <c r="B98" s="178">
        <v>156680851.93597999</v>
      </c>
      <c r="C98" s="178">
        <v>159402447.602</v>
      </c>
      <c r="D98" s="121">
        <f t="shared" si="17"/>
        <v>1.7</v>
      </c>
      <c r="E98" s="23">
        <f>IFERROR(100/'Skjema total MA'!C98*C98,0)</f>
        <v>41.681532689352387</v>
      </c>
      <c r="F98" s="230">
        <v>180449438.46101001</v>
      </c>
      <c r="G98" s="230">
        <v>214532249.71777001</v>
      </c>
      <c r="H98" s="121">
        <f t="shared" si="18"/>
        <v>18.899999999999999</v>
      </c>
      <c r="I98" s="23">
        <f>IFERROR(100/'Skjema total MA'!F98*G98,0)</f>
        <v>32.773259693494673</v>
      </c>
      <c r="J98" s="225">
        <f t="shared" si="37"/>
        <v>337130290.39699</v>
      </c>
      <c r="K98" s="36">
        <f t="shared" si="37"/>
        <v>373934697.31976998</v>
      </c>
      <c r="L98" s="198">
        <f t="shared" si="20"/>
        <v>10.9</v>
      </c>
      <c r="M98" s="23">
        <f>IFERROR(100/'Skjema total MA'!I98*K98,0)</f>
        <v>36.058413210046595</v>
      </c>
    </row>
    <row r="99" spans="1:13" x14ac:dyDescent="0.2">
      <c r="A99" s="18" t="s">
        <v>9</v>
      </c>
      <c r="B99" s="230">
        <v>156633469.48045999</v>
      </c>
      <c r="C99" s="231">
        <v>159355544.28806001</v>
      </c>
      <c r="D99" s="121">
        <f t="shared" si="17"/>
        <v>1.7</v>
      </c>
      <c r="E99" s="23">
        <f>IFERROR(100/'Skjema total MA'!C99*C99,0)</f>
        <v>41.9350700092211</v>
      </c>
      <c r="F99" s="178"/>
      <c r="G99" s="109"/>
      <c r="H99" s="121"/>
      <c r="I99" s="23"/>
      <c r="J99" s="225">
        <f t="shared" si="37"/>
        <v>156633469.48045999</v>
      </c>
      <c r="K99" s="36">
        <f t="shared" si="37"/>
        <v>159355544.28806001</v>
      </c>
      <c r="L99" s="198">
        <f t="shared" si="20"/>
        <v>1.7</v>
      </c>
      <c r="M99" s="23">
        <f>IFERROR(100/'Skjema total MA'!I99*K99,0)</f>
        <v>41.9350700092211</v>
      </c>
    </row>
    <row r="100" spans="1:13" x14ac:dyDescent="0.2">
      <c r="A100" s="18" t="s">
        <v>429</v>
      </c>
      <c r="B100" s="230">
        <v>47382.455520000003</v>
      </c>
      <c r="C100" s="231">
        <v>46903.31394</v>
      </c>
      <c r="D100" s="121">
        <f t="shared" si="17"/>
        <v>-1</v>
      </c>
      <c r="E100" s="23">
        <f>IFERROR(100/'Skjema total MA'!C100*C100,0)</f>
        <v>1.9349579700619493</v>
      </c>
      <c r="F100" s="178">
        <v>180449438.46101001</v>
      </c>
      <c r="G100" s="178">
        <v>214532249.71777001</v>
      </c>
      <c r="H100" s="121">
        <f t="shared" si="18"/>
        <v>18.899999999999999</v>
      </c>
      <c r="I100" s="23">
        <f>IFERROR(100/'Skjema total MA'!F100*G100,0)</f>
        <v>32.773259693494673</v>
      </c>
      <c r="J100" s="225">
        <f t="shared" si="37"/>
        <v>180496820.91653001</v>
      </c>
      <c r="K100" s="36">
        <f t="shared" si="37"/>
        <v>214579153.03171</v>
      </c>
      <c r="L100" s="198">
        <f t="shared" si="20"/>
        <v>18.899999999999999</v>
      </c>
      <c r="M100" s="23">
        <f>IFERROR(100/'Skjema total MA'!I100*K100,0)</f>
        <v>32.659485371430513</v>
      </c>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v>47382.455520000003</v>
      </c>
      <c r="C104" s="219">
        <v>46903.31394</v>
      </c>
      <c r="D104" s="121">
        <f t="shared" ref="D104" si="49">IF(B104=0, "    ---- ", IF(ABS(ROUND(100/B104*C104-100,1))&lt;999,ROUND(100/B104*C104-100,1),IF(ROUND(100/B104*C104-100,1)&gt;999,999,-999)))</f>
        <v>-1</v>
      </c>
      <c r="E104" s="23">
        <f>IFERROR(100/'Skjema total MA'!C104*C104,0)</f>
        <v>1.9349579700619493</v>
      </c>
      <c r="F104" s="219">
        <v>180449438.46101001</v>
      </c>
      <c r="G104" s="219">
        <v>214532249.71777001</v>
      </c>
      <c r="H104" s="121">
        <f t="shared" si="18"/>
        <v>18.899999999999999</v>
      </c>
      <c r="I104" s="331">
        <f>IFERROR(100/'Skjema total MA'!F104*G104,0)</f>
        <v>32.773259693494673</v>
      </c>
      <c r="J104" s="225">
        <f t="shared" ref="J104" si="50">SUM(B104,F104)</f>
        <v>180496820.91653001</v>
      </c>
      <c r="K104" s="36">
        <f t="shared" ref="K104" si="51">SUM(C104,G104)</f>
        <v>214579153.03171</v>
      </c>
      <c r="L104" s="198">
        <f t="shared" ref="L104" si="52">IF(J104=0, "    ---- ", IF(ABS(ROUND(100/J104*K104-100,1))&lt;999,ROUND(100/J104*K104-100,1),IF(ROUND(100/J104*K104-100,1)&gt;999,999,-999)))</f>
        <v>18.899999999999999</v>
      </c>
      <c r="M104" s="20">
        <f>IFERROR(100/'Skjema total MA'!I104*K104,0)</f>
        <v>32.659485371430513</v>
      </c>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v>180449438.46101001</v>
      </c>
      <c r="G106" s="219">
        <v>214532249.71777001</v>
      </c>
      <c r="H106" s="121">
        <f t="shared" si="18"/>
        <v>18.899999999999999</v>
      </c>
      <c r="I106" s="331">
        <f>IFERROR(100/'Skjema total MA'!F106*G106,0)</f>
        <v>32.773259693494673</v>
      </c>
      <c r="J106" s="225">
        <f t="shared" ref="J106" si="53">SUM(B106,F106)</f>
        <v>180449438.46101001</v>
      </c>
      <c r="K106" s="36">
        <f t="shared" ref="K106" si="54">SUM(C106,G106)</f>
        <v>214532249.71777001</v>
      </c>
      <c r="L106" s="198">
        <f t="shared" ref="L106" si="55">IF(J106=0, "    ---- ", IF(ABS(ROUND(100/J106*K106-100,1))&lt;999,ROUND(100/J106*K106-100,1),IF(ROUND(100/J106*K106-100,1)&gt;999,999,-999)))</f>
        <v>18.899999999999999</v>
      </c>
      <c r="M106" s="20">
        <f>IFERROR(100/'Skjema total MA'!I106*K106,0)</f>
        <v>32.773259693494673</v>
      </c>
    </row>
    <row r="107" spans="1:13" ht="15.75" x14ac:dyDescent="0.2">
      <c r="A107" s="18" t="s">
        <v>404</v>
      </c>
      <c r="B107" s="178">
        <v>3189030.9870000002</v>
      </c>
      <c r="C107" s="109">
        <v>3107443.8190000001</v>
      </c>
      <c r="D107" s="121">
        <f t="shared" si="17"/>
        <v>-2.6</v>
      </c>
      <c r="E107" s="23">
        <f>IFERROR(100/'Skjema total MA'!C107*C107,0)</f>
        <v>73.13293407246276</v>
      </c>
      <c r="F107" s="178"/>
      <c r="G107" s="109"/>
      <c r="H107" s="121"/>
      <c r="I107" s="23"/>
      <c r="J107" s="225">
        <f t="shared" si="37"/>
        <v>3189030.9870000002</v>
      </c>
      <c r="K107" s="36">
        <f t="shared" si="37"/>
        <v>3107443.8190000001</v>
      </c>
      <c r="L107" s="198">
        <f t="shared" si="20"/>
        <v>-2.6</v>
      </c>
      <c r="M107" s="23">
        <f>IFERROR(100/'Skjema total MA'!I107*K107,0)</f>
        <v>66.486233990923154</v>
      </c>
    </row>
    <row r="108" spans="1:13" ht="15.75" x14ac:dyDescent="0.2">
      <c r="A108" s="18" t="s">
        <v>405</v>
      </c>
      <c r="B108" s="178">
        <v>139397993.88398001</v>
      </c>
      <c r="C108" s="178">
        <v>142947851.33449</v>
      </c>
      <c r="D108" s="121">
        <f t="shared" si="17"/>
        <v>2.5</v>
      </c>
      <c r="E108" s="23">
        <f>IFERROR(100/'Skjema total MA'!C108*C108,0)</f>
        <v>43.108175931964048</v>
      </c>
      <c r="F108" s="178">
        <v>19692201.31453</v>
      </c>
      <c r="G108" s="178">
        <v>21664973.595520001</v>
      </c>
      <c r="H108" s="121">
        <f t="shared" si="18"/>
        <v>10</v>
      </c>
      <c r="I108" s="23">
        <f>IFERROR(100/'Skjema total MA'!F108*G108,0)</f>
        <v>91.069318131957985</v>
      </c>
      <c r="J108" s="225">
        <f t="shared" si="37"/>
        <v>159090195.19850999</v>
      </c>
      <c r="K108" s="36">
        <f t="shared" si="37"/>
        <v>164612824.93000999</v>
      </c>
      <c r="L108" s="198">
        <f t="shared" si="20"/>
        <v>3.5</v>
      </c>
      <c r="M108" s="23">
        <f>IFERROR(100/'Skjema total MA'!I108*K108,0)</f>
        <v>46.318639318635419</v>
      </c>
    </row>
    <row r="109" spans="1:13" ht="15.75" x14ac:dyDescent="0.2">
      <c r="A109" s="18" t="s">
        <v>437</v>
      </c>
      <c r="B109" s="178">
        <v>565164</v>
      </c>
      <c r="C109" s="178">
        <v>694614.74760999996</v>
      </c>
      <c r="D109" s="121">
        <f t="shared" si="17"/>
        <v>22.9</v>
      </c>
      <c r="E109" s="23">
        <f>IFERROR(100/'Skjema total MA'!C109*C109,0)</f>
        <v>31.008325375951006</v>
      </c>
      <c r="F109" s="178">
        <v>59022435.909669898</v>
      </c>
      <c r="G109" s="178">
        <v>69511049.410999998</v>
      </c>
      <c r="H109" s="121">
        <f t="shared" si="18"/>
        <v>17.8</v>
      </c>
      <c r="I109" s="23">
        <f>IFERROR(100/'Skjema total MA'!F109*G109,0)</f>
        <v>27.816734281149721</v>
      </c>
      <c r="J109" s="225">
        <f t="shared" si="37"/>
        <v>59587599.909669898</v>
      </c>
      <c r="K109" s="36">
        <f t="shared" si="37"/>
        <v>70205664.158610001</v>
      </c>
      <c r="L109" s="198">
        <f t="shared" si="20"/>
        <v>17.8</v>
      </c>
      <c r="M109" s="23">
        <f>IFERROR(100/'Skjema total MA'!I109*K109,0)</f>
        <v>27.8450905714923</v>
      </c>
    </row>
    <row r="110" spans="1:13" ht="15.75" x14ac:dyDescent="0.2">
      <c r="A110" s="18" t="s">
        <v>406</v>
      </c>
      <c r="B110" s="178">
        <v>1214688.5106599999</v>
      </c>
      <c r="C110" s="178">
        <v>1959213.9661600001</v>
      </c>
      <c r="D110" s="121">
        <f t="shared" si="17"/>
        <v>61.3</v>
      </c>
      <c r="E110" s="23">
        <f>IFERROR(100/'Skjema total MA'!C110*C110,0)</f>
        <v>55.784067358643242</v>
      </c>
      <c r="F110" s="178"/>
      <c r="G110" s="178"/>
      <c r="H110" s="121"/>
      <c r="I110" s="23"/>
      <c r="J110" s="225">
        <f t="shared" si="37"/>
        <v>1214688.5106599999</v>
      </c>
      <c r="K110" s="36">
        <f t="shared" si="37"/>
        <v>1959213.9661600001</v>
      </c>
      <c r="L110" s="198">
        <f t="shared" si="20"/>
        <v>61.3</v>
      </c>
      <c r="M110" s="23">
        <f>IFERROR(100/'Skjema total MA'!I110*K110,0)</f>
        <v>55.784067358643242</v>
      </c>
    </row>
    <row r="111" spans="1:13" ht="15.75" x14ac:dyDescent="0.2">
      <c r="A111" s="10" t="s">
        <v>387</v>
      </c>
      <c r="B111" s="244">
        <v>250497.11110000001</v>
      </c>
      <c r="C111" s="117">
        <v>161410.73700000002</v>
      </c>
      <c r="D111" s="125">
        <f t="shared" si="17"/>
        <v>-35.6</v>
      </c>
      <c r="E111" s="8">
        <f>IFERROR(100/'Skjema total MA'!C111*C111,0)</f>
        <v>28.608175205273039</v>
      </c>
      <c r="F111" s="244">
        <v>9614659.4243999999</v>
      </c>
      <c r="G111" s="117">
        <v>9058225.3890000004</v>
      </c>
      <c r="H111" s="125">
        <f t="shared" si="18"/>
        <v>-5.8</v>
      </c>
      <c r="I111" s="8">
        <f>IFERROR(100/'Skjema total MA'!F111*G111,0)</f>
        <v>17.829916953560225</v>
      </c>
      <c r="J111" s="245">
        <f t="shared" si="37"/>
        <v>9865156.5354999993</v>
      </c>
      <c r="K111" s="180">
        <f t="shared" si="37"/>
        <v>9219636.1260000002</v>
      </c>
      <c r="L111" s="339">
        <f t="shared" si="20"/>
        <v>-6.5</v>
      </c>
      <c r="M111" s="8">
        <f>IFERROR(100/'Skjema total MA'!I111*K111,0)</f>
        <v>17.948302984414784</v>
      </c>
    </row>
    <row r="112" spans="1:13" x14ac:dyDescent="0.2">
      <c r="A112" s="18" t="s">
        <v>9</v>
      </c>
      <c r="B112" s="178">
        <v>40276.829100000003</v>
      </c>
      <c r="C112" s="109">
        <v>44635.887000000002</v>
      </c>
      <c r="D112" s="121">
        <f t="shared" ref="D112:D125" si="56">IF(B112=0, "    ---- ", IF(ABS(ROUND(100/B112*C112-100,1))&lt;999,ROUND(100/B112*C112-100,1),IF(ROUND(100/B112*C112-100,1)&gt;999,999,-999)))</f>
        <v>10.8</v>
      </c>
      <c r="E112" s="23">
        <f>IFERROR(100/'Skjema total MA'!C112*C112,0)</f>
        <v>10.865320290946881</v>
      </c>
      <c r="F112" s="178">
        <v>2651.2759999999998</v>
      </c>
      <c r="G112" s="109">
        <v>1148.367</v>
      </c>
      <c r="H112" s="121">
        <f t="shared" ref="H112:H125" si="57">IF(F112=0, "    ---- ", IF(ABS(ROUND(100/F112*G112-100,1))&lt;999,ROUND(100/F112*G112-100,1),IF(ROUND(100/F112*G112-100,1)&gt;999,999,-999)))</f>
        <v>-56.7</v>
      </c>
      <c r="I112" s="23">
        <f>IFERROR(100/'Skjema total MA'!F112*G112,0)</f>
        <v>100</v>
      </c>
      <c r="J112" s="225">
        <f t="shared" ref="J112:K125" si="58">SUM(B112,F112)</f>
        <v>42928.105100000001</v>
      </c>
      <c r="K112" s="36">
        <f t="shared" si="58"/>
        <v>45784.254000000001</v>
      </c>
      <c r="L112" s="198">
        <f t="shared" ref="L112:L125" si="59">IF(J112=0, "    ---- ", IF(ABS(ROUND(100/J112*K112-100,1))&lt;999,ROUND(100/J112*K112-100,1),IF(ROUND(100/J112*K112-100,1)&gt;999,999,-999)))</f>
        <v>6.7</v>
      </c>
      <c r="M112" s="23">
        <f>IFERROR(100/'Skjema total MA'!I112*K112,0)</f>
        <v>11.113790002808249</v>
      </c>
    </row>
    <row r="113" spans="1:13" x14ac:dyDescent="0.2">
      <c r="A113" s="18" t="s">
        <v>10</v>
      </c>
      <c r="B113" s="178"/>
      <c r="C113" s="109"/>
      <c r="D113" s="121"/>
      <c r="E113" s="23"/>
      <c r="F113" s="178">
        <v>9603728.2963999994</v>
      </c>
      <c r="G113" s="109">
        <v>9057077.0219999999</v>
      </c>
      <c r="H113" s="121">
        <f t="shared" si="57"/>
        <v>-5.7</v>
      </c>
      <c r="I113" s="23">
        <f>IFERROR(100/'Skjema total MA'!F113*G113,0)</f>
        <v>17.830358613077419</v>
      </c>
      <c r="J113" s="225">
        <f t="shared" si="58"/>
        <v>9603728.2963999994</v>
      </c>
      <c r="K113" s="36">
        <f t="shared" si="58"/>
        <v>9057077.0219999999</v>
      </c>
      <c r="L113" s="198">
        <f t="shared" si="59"/>
        <v>-5.7</v>
      </c>
      <c r="M113" s="23">
        <f>IFERROR(100/'Skjema total MA'!I113*K113,0)</f>
        <v>17.830358613077419</v>
      </c>
    </row>
    <row r="114" spans="1:13" x14ac:dyDescent="0.2">
      <c r="A114" s="18" t="s">
        <v>26</v>
      </c>
      <c r="B114" s="178">
        <v>210220.28200000001</v>
      </c>
      <c r="C114" s="109">
        <v>116774.85</v>
      </c>
      <c r="D114" s="121">
        <f t="shared" si="56"/>
        <v>-44.5</v>
      </c>
      <c r="E114" s="23">
        <f>IFERROR(100/'Skjema total MA'!C114*C114,0)</f>
        <v>76.123751910200085</v>
      </c>
      <c r="F114" s="178">
        <v>8279.8520000000008</v>
      </c>
      <c r="G114" s="109">
        <v>0</v>
      </c>
      <c r="H114" s="121">
        <f t="shared" si="57"/>
        <v>-100</v>
      </c>
      <c r="I114" s="23">
        <f>IFERROR(100/'Skjema total MA'!F114*G114,0)</f>
        <v>0</v>
      </c>
      <c r="J114" s="225">
        <f t="shared" si="58"/>
        <v>218500.13400000002</v>
      </c>
      <c r="K114" s="36">
        <f t="shared" si="58"/>
        <v>116774.85</v>
      </c>
      <c r="L114" s="198">
        <f t="shared" si="59"/>
        <v>-46.6</v>
      </c>
      <c r="M114" s="23">
        <f>IFERROR(100/'Skjema total MA'!I114*K114,0)</f>
        <v>73.006233864054636</v>
      </c>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v>7043.6949999999997</v>
      </c>
      <c r="C116" s="178">
        <v>7474.4589999999998</v>
      </c>
      <c r="D116" s="121">
        <f t="shared" si="56"/>
        <v>6.1</v>
      </c>
      <c r="E116" s="23">
        <f>IFERROR(100/'Skjema total MA'!C116*C116,0)</f>
        <v>13.037113953650225</v>
      </c>
      <c r="F116" s="178">
        <v>2651.2759999999998</v>
      </c>
      <c r="G116" s="178">
        <v>1148.367</v>
      </c>
      <c r="H116" s="121">
        <f t="shared" si="57"/>
        <v>-56.7</v>
      </c>
      <c r="I116" s="23">
        <f>IFERROR(100/'Skjema total MA'!F116*G116,0)</f>
        <v>100</v>
      </c>
      <c r="J116" s="225">
        <f t="shared" si="58"/>
        <v>9694.9709999999995</v>
      </c>
      <c r="K116" s="36">
        <f t="shared" si="58"/>
        <v>8622.8259999999991</v>
      </c>
      <c r="L116" s="198">
        <f t="shared" si="59"/>
        <v>-11.1</v>
      </c>
      <c r="M116" s="23">
        <f>IFERROR(100/'Skjema total MA'!I116*K116,0)</f>
        <v>14.744781686709961</v>
      </c>
    </row>
    <row r="117" spans="1:13" ht="15.75" x14ac:dyDescent="0.2">
      <c r="A117" s="18" t="s">
        <v>437</v>
      </c>
      <c r="B117" s="178"/>
      <c r="C117" s="178"/>
      <c r="D117" s="121"/>
      <c r="E117" s="23"/>
      <c r="F117" s="178">
        <v>2047314.2459199801</v>
      </c>
      <c r="G117" s="178">
        <v>6628818.227</v>
      </c>
      <c r="H117" s="121">
        <f t="shared" si="57"/>
        <v>223.8</v>
      </c>
      <c r="I117" s="23">
        <f>IFERROR(100/'Skjema total MA'!F117*G117,0)</f>
        <v>19.271252747987553</v>
      </c>
      <c r="J117" s="225">
        <f t="shared" si="58"/>
        <v>2047314.2459199801</v>
      </c>
      <c r="K117" s="36">
        <f t="shared" si="58"/>
        <v>6628818.227</v>
      </c>
      <c r="L117" s="198">
        <f t="shared" si="59"/>
        <v>223.8</v>
      </c>
      <c r="M117" s="23">
        <f>IFERROR(100/'Skjema total MA'!I117*K117,0)</f>
        <v>19.271252747987553</v>
      </c>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v>217088.75870000001</v>
      </c>
      <c r="C119" s="117">
        <v>116205.859</v>
      </c>
      <c r="D119" s="125">
        <f t="shared" si="56"/>
        <v>-46.5</v>
      </c>
      <c r="E119" s="8">
        <f>IFERROR(100/'Skjema total MA'!C119*C119,0)</f>
        <v>37.475471661140503</v>
      </c>
      <c r="F119" s="244">
        <v>15070756.324999999</v>
      </c>
      <c r="G119" s="117">
        <v>13873235.658020001</v>
      </c>
      <c r="H119" s="125">
        <f t="shared" si="57"/>
        <v>-7.9</v>
      </c>
      <c r="I119" s="8">
        <f>IFERROR(100/'Skjema total MA'!F119*G119,0)</f>
        <v>24.792029683380861</v>
      </c>
      <c r="J119" s="245">
        <f t="shared" si="58"/>
        <v>15287845.083699999</v>
      </c>
      <c r="K119" s="180">
        <f t="shared" si="58"/>
        <v>13989441.51702</v>
      </c>
      <c r="L119" s="339">
        <f t="shared" si="59"/>
        <v>-8.5</v>
      </c>
      <c r="M119" s="8">
        <f>IFERROR(100/'Skjema total MA'!I119*K119,0)</f>
        <v>24.861925700897533</v>
      </c>
    </row>
    <row r="120" spans="1:13" x14ac:dyDescent="0.2">
      <c r="A120" s="18" t="s">
        <v>9</v>
      </c>
      <c r="B120" s="178">
        <v>80811.213699999993</v>
      </c>
      <c r="C120" s="109">
        <v>7092.2160000000003</v>
      </c>
      <c r="D120" s="121">
        <f t="shared" si="56"/>
        <v>-91.2</v>
      </c>
      <c r="E120" s="23">
        <f>IFERROR(100/'Skjema total MA'!C120*C120,0)</f>
        <v>4.3985118751680297</v>
      </c>
      <c r="F120" s="178"/>
      <c r="G120" s="109"/>
      <c r="H120" s="121"/>
      <c r="I120" s="23"/>
      <c r="J120" s="225">
        <f t="shared" si="58"/>
        <v>80811.213699999993</v>
      </c>
      <c r="K120" s="36">
        <f t="shared" si="58"/>
        <v>7092.2160000000003</v>
      </c>
      <c r="L120" s="198">
        <f t="shared" si="59"/>
        <v>-91.2</v>
      </c>
      <c r="M120" s="23">
        <f>IFERROR(100/'Skjema total MA'!I120*K120,0)</f>
        <v>4.3985118751680297</v>
      </c>
    </row>
    <row r="121" spans="1:13" x14ac:dyDescent="0.2">
      <c r="A121" s="18" t="s">
        <v>10</v>
      </c>
      <c r="B121" s="178"/>
      <c r="C121" s="109"/>
      <c r="D121" s="121"/>
      <c r="E121" s="23"/>
      <c r="F121" s="178">
        <v>15070756.324999999</v>
      </c>
      <c r="G121" s="109">
        <v>13873235.658020001</v>
      </c>
      <c r="H121" s="121">
        <f t="shared" si="57"/>
        <v>-7.9</v>
      </c>
      <c r="I121" s="23">
        <f>IFERROR(100/'Skjema total MA'!F121*G121,0)</f>
        <v>24.792029683380861</v>
      </c>
      <c r="J121" s="225">
        <f t="shared" si="58"/>
        <v>15070756.324999999</v>
      </c>
      <c r="K121" s="36">
        <f t="shared" si="58"/>
        <v>13873235.658020001</v>
      </c>
      <c r="L121" s="198">
        <f t="shared" si="59"/>
        <v>-7.9</v>
      </c>
      <c r="M121" s="23">
        <f>IFERROR(100/'Skjema total MA'!I121*K121,0)</f>
        <v>24.784027635276395</v>
      </c>
    </row>
    <row r="122" spans="1:13" x14ac:dyDescent="0.2">
      <c r="A122" s="18" t="s">
        <v>26</v>
      </c>
      <c r="B122" s="178">
        <v>136277.54500000001</v>
      </c>
      <c r="C122" s="109">
        <v>109113.643</v>
      </c>
      <c r="D122" s="121">
        <f t="shared" si="56"/>
        <v>-19.899999999999999</v>
      </c>
      <c r="E122" s="23">
        <f>IFERROR(100/'Skjema total MA'!C122*C122,0)</f>
        <v>83.435217725955624</v>
      </c>
      <c r="F122" s="178"/>
      <c r="G122" s="109"/>
      <c r="H122" s="121"/>
      <c r="I122" s="23"/>
      <c r="J122" s="225">
        <f t="shared" si="58"/>
        <v>136277.54500000001</v>
      </c>
      <c r="K122" s="36">
        <f t="shared" si="58"/>
        <v>109113.643</v>
      </c>
      <c r="L122" s="198">
        <f t="shared" si="59"/>
        <v>-19.899999999999999</v>
      </c>
      <c r="M122" s="23">
        <f>IFERROR(100/'Skjema total MA'!I122*K122,0)</f>
        <v>83.435217725955624</v>
      </c>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v>8532.0949999999993</v>
      </c>
      <c r="C124" s="178">
        <v>3232.2330000000002</v>
      </c>
      <c r="D124" s="121">
        <f t="shared" si="56"/>
        <v>-62.1</v>
      </c>
      <c r="E124" s="23">
        <f>IFERROR(100/'Skjema total MA'!C124*C124,0)</f>
        <v>14.163563607716677</v>
      </c>
      <c r="F124" s="178">
        <v>14420.003000000001</v>
      </c>
      <c r="G124" s="178">
        <v>25743.476999999999</v>
      </c>
      <c r="H124" s="121">
        <f t="shared" si="57"/>
        <v>78.5</v>
      </c>
      <c r="I124" s="23">
        <f>IFERROR(100/'Skjema total MA'!F124*G124,0)</f>
        <v>100</v>
      </c>
      <c r="J124" s="225">
        <f t="shared" si="58"/>
        <v>22952.097999999998</v>
      </c>
      <c r="K124" s="36">
        <f t="shared" si="58"/>
        <v>28975.71</v>
      </c>
      <c r="L124" s="198">
        <f t="shared" si="59"/>
        <v>26.2</v>
      </c>
      <c r="M124" s="23">
        <f>IFERROR(100/'Skjema total MA'!I124*K124,0)</f>
        <v>59.664706362735473</v>
      </c>
    </row>
    <row r="125" spans="1:13" ht="15.75" x14ac:dyDescent="0.2">
      <c r="A125" s="18" t="s">
        <v>437</v>
      </c>
      <c r="B125" s="178">
        <v>78.710999999999999</v>
      </c>
      <c r="C125" s="178">
        <v>39.514000000000003</v>
      </c>
      <c r="D125" s="121">
        <f t="shared" si="56"/>
        <v>-49.8</v>
      </c>
      <c r="E125" s="23">
        <f>IFERROR(100/'Skjema total MA'!C125*C125,0)</f>
        <v>1.1809741613589082</v>
      </c>
      <c r="F125" s="178">
        <v>2906344.2896799999</v>
      </c>
      <c r="G125" s="178">
        <v>9131450.2290000003</v>
      </c>
      <c r="H125" s="121">
        <f t="shared" si="57"/>
        <v>214.2</v>
      </c>
      <c r="I125" s="23">
        <f>IFERROR(100/'Skjema total MA'!F125*G125,0)</f>
        <v>26.719417363406688</v>
      </c>
      <c r="J125" s="225">
        <f t="shared" si="58"/>
        <v>2906423.0006800001</v>
      </c>
      <c r="K125" s="36">
        <f t="shared" si="58"/>
        <v>9131489.7430000007</v>
      </c>
      <c r="L125" s="198">
        <f t="shared" si="59"/>
        <v>214.2</v>
      </c>
      <c r="M125" s="23">
        <f>IFERROR(100/'Skjema total MA'!I125*K125,0)</f>
        <v>26.716917307445758</v>
      </c>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v>1983205.1240000001</v>
      </c>
      <c r="C134" s="245">
        <v>1824140.7239999999</v>
      </c>
      <c r="D134" s="278">
        <f t="shared" ref="D134:D137" si="60">IF(B134=0, "    ---- ", IF(ABS(ROUND(100/B134*C134-100,1))&lt;999,ROUND(100/B134*C134-100,1),IF(ROUND(100/B134*C134-100,1)&gt;999,999,-999)))</f>
        <v>-8</v>
      </c>
      <c r="E134" s="8">
        <f>IFERROR(100/'Skjema total MA'!C134*C134,0)</f>
        <v>2.5771162214318495</v>
      </c>
      <c r="F134" s="252"/>
      <c r="G134" s="253"/>
      <c r="H134" s="342"/>
      <c r="I134" s="21"/>
      <c r="J134" s="254">
        <f t="shared" ref="J134:K137" si="61">SUM(B134,F134)</f>
        <v>1983205.1240000001</v>
      </c>
      <c r="K134" s="254">
        <f t="shared" si="61"/>
        <v>1824140.7239999999</v>
      </c>
      <c r="L134" s="338">
        <f t="shared" ref="L134:L137" si="62">IF(J134=0, "    ---- ", IF(ABS(ROUND(100/J134*K134-100,1))&lt;999,ROUND(100/J134*K134-100,1),IF(ROUND(100/J134*K134-100,1)&gt;999,999,-999)))</f>
        <v>-8</v>
      </c>
      <c r="M134" s="8">
        <f>IFERROR(100/'Skjema total MA'!I134*K134,0)</f>
        <v>2.56941151311293</v>
      </c>
    </row>
    <row r="135" spans="1:14" ht="15.75" x14ac:dyDescent="0.2">
      <c r="A135" s="10" t="s">
        <v>413</v>
      </c>
      <c r="B135" s="180">
        <v>18789415.440439999</v>
      </c>
      <c r="C135" s="245">
        <v>23611054.810819998</v>
      </c>
      <c r="D135" s="125">
        <f t="shared" si="60"/>
        <v>25.7</v>
      </c>
      <c r="E135" s="8">
        <f>IFERROR(100/'Skjema total MA'!C135*C135,0)</f>
        <v>2.4759361577186842</v>
      </c>
      <c r="F135" s="180"/>
      <c r="G135" s="245"/>
      <c r="H135" s="343"/>
      <c r="I135" s="21"/>
      <c r="J135" s="244">
        <f t="shared" si="61"/>
        <v>18789415.440439999</v>
      </c>
      <c r="K135" s="244">
        <f t="shared" si="61"/>
        <v>23611054.810819998</v>
      </c>
      <c r="L135" s="339">
        <f t="shared" si="62"/>
        <v>25.7</v>
      </c>
      <c r="M135" s="8">
        <f>IFERROR(100/'Skjema total MA'!I135*K135,0)</f>
        <v>2.4684637157058593</v>
      </c>
    </row>
    <row r="136" spans="1:14" ht="15.75" x14ac:dyDescent="0.2">
      <c r="A136" s="10" t="s">
        <v>410</v>
      </c>
      <c r="B136" s="180">
        <v>826952.56599999999</v>
      </c>
      <c r="C136" s="245">
        <v>2229332.4079999998</v>
      </c>
      <c r="D136" s="125">
        <f t="shared" si="60"/>
        <v>169.6</v>
      </c>
      <c r="E136" s="8">
        <f>IFERROR(100/'Skjema total MA'!C136*C136,0)</f>
        <v>99.899732786372041</v>
      </c>
      <c r="F136" s="180"/>
      <c r="G136" s="245"/>
      <c r="H136" s="343"/>
      <c r="I136" s="21"/>
      <c r="J136" s="244">
        <f t="shared" si="61"/>
        <v>826952.56599999999</v>
      </c>
      <c r="K136" s="244">
        <f t="shared" si="61"/>
        <v>2229332.4079999998</v>
      </c>
      <c r="L136" s="339">
        <f t="shared" si="62"/>
        <v>169.6</v>
      </c>
      <c r="M136" s="8">
        <f>IFERROR(100/'Skjema total MA'!I136*K136,0)</f>
        <v>99.945548647224626</v>
      </c>
    </row>
    <row r="137" spans="1:14" ht="15.75" x14ac:dyDescent="0.2">
      <c r="A137" s="33" t="s">
        <v>411</v>
      </c>
      <c r="B137" s="214">
        <v>1338.623</v>
      </c>
      <c r="C137" s="251">
        <v>353.28100000000001</v>
      </c>
      <c r="D137" s="123">
        <f t="shared" si="60"/>
        <v>-73.599999999999994</v>
      </c>
      <c r="E137" s="6">
        <f>IFERROR(100/'Skjema total MA'!C137*C137,0)</f>
        <v>1.4580265972510182E-2</v>
      </c>
      <c r="F137" s="214"/>
      <c r="G137" s="251"/>
      <c r="H137" s="344"/>
      <c r="I137" s="30"/>
      <c r="J137" s="250">
        <f t="shared" si="61"/>
        <v>1338.623</v>
      </c>
      <c r="K137" s="250">
        <f t="shared" si="61"/>
        <v>353.28100000000001</v>
      </c>
      <c r="L137" s="340">
        <f t="shared" si="62"/>
        <v>-73.599999999999994</v>
      </c>
      <c r="M137" s="30">
        <f>IFERROR(100/'Skjema total MA'!I137*K137,0)</f>
        <v>1.4580265972510182E-2</v>
      </c>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818" priority="10">
      <formula>kvartal &lt; 4</formula>
    </cfRule>
  </conditionalFormatting>
  <conditionalFormatting sqref="A80:A85">
    <cfRule type="expression" dxfId="817" priority="9">
      <formula>kvartal &lt; 4</formula>
    </cfRule>
  </conditionalFormatting>
  <conditionalFormatting sqref="A90:A95">
    <cfRule type="expression" dxfId="816" priority="6">
      <formula>kvartal &lt; 4</formula>
    </cfRule>
  </conditionalFormatting>
  <conditionalFormatting sqref="A101:A106">
    <cfRule type="expression" dxfId="815" priority="5">
      <formula>kvartal &lt; 4</formula>
    </cfRule>
  </conditionalFormatting>
  <conditionalFormatting sqref="A50:C52">
    <cfRule type="expression" dxfId="814" priority="12">
      <formula>kvartal &lt; 4</formula>
    </cfRule>
  </conditionalFormatting>
  <conditionalFormatting sqref="A115:C115">
    <cfRule type="expression" dxfId="813" priority="4">
      <formula>kvartal &lt; 4</formula>
    </cfRule>
  </conditionalFormatting>
  <conditionalFormatting sqref="A123:C123">
    <cfRule type="expression" dxfId="812" priority="3">
      <formula>kvartal &lt; 4</formula>
    </cfRule>
  </conditionalFormatting>
  <conditionalFormatting sqref="B69:C69">
    <cfRule type="expression" dxfId="811" priority="99">
      <formula>kvartal &lt; 4</formula>
    </cfRule>
  </conditionalFormatting>
  <conditionalFormatting sqref="B72:C72">
    <cfRule type="expression" dxfId="810" priority="97">
      <formula>kvartal &lt; 4</formula>
    </cfRule>
  </conditionalFormatting>
  <conditionalFormatting sqref="B80:C80">
    <cfRule type="expression" dxfId="809" priority="95">
      <formula>kvartal &lt; 4</formula>
    </cfRule>
  </conditionalFormatting>
  <conditionalFormatting sqref="B83:C83">
    <cfRule type="expression" dxfId="808" priority="93">
      <formula>kvartal &lt; 4</formula>
    </cfRule>
  </conditionalFormatting>
  <conditionalFormatting sqref="B90:C90">
    <cfRule type="expression" dxfId="807" priority="83">
      <formula>kvartal &lt; 4</formula>
    </cfRule>
  </conditionalFormatting>
  <conditionalFormatting sqref="B93:C93">
    <cfRule type="expression" dxfId="806" priority="81">
      <formula>kvartal &lt; 4</formula>
    </cfRule>
  </conditionalFormatting>
  <conditionalFormatting sqref="B101:C101">
    <cfRule type="expression" dxfId="805" priority="79">
      <formula>kvartal &lt; 4</formula>
    </cfRule>
  </conditionalFormatting>
  <conditionalFormatting sqref="B104:C104">
    <cfRule type="expression" dxfId="804" priority="77">
      <formula>kvartal &lt; 4</formula>
    </cfRule>
  </conditionalFormatting>
  <conditionalFormatting sqref="F69:G74">
    <cfRule type="expression" dxfId="803" priority="54">
      <formula>kvartal &lt; 4</formula>
    </cfRule>
  </conditionalFormatting>
  <conditionalFormatting sqref="F80:G85">
    <cfRule type="expression" dxfId="802" priority="52">
      <formula>kvartal &lt; 4</formula>
    </cfRule>
  </conditionalFormatting>
  <conditionalFormatting sqref="F90:G95">
    <cfRule type="expression" dxfId="801" priority="44">
      <formula>kvartal &lt; 4</formula>
    </cfRule>
  </conditionalFormatting>
  <conditionalFormatting sqref="F101:G106">
    <cfRule type="expression" dxfId="800" priority="40">
      <formula>kvartal &lt; 4</formula>
    </cfRule>
  </conditionalFormatting>
  <conditionalFormatting sqref="F115:G115">
    <cfRule type="expression" dxfId="799" priority="57">
      <formula>kvartal &lt; 4</formula>
    </cfRule>
  </conditionalFormatting>
  <conditionalFormatting sqref="F123:G123">
    <cfRule type="expression" dxfId="798" priority="56">
      <formula>kvartal &lt; 4</formula>
    </cfRule>
  </conditionalFormatting>
  <conditionalFormatting sqref="J69:K71 J73:K73">
    <cfRule type="expression" dxfId="797" priority="39">
      <formula>kvartal &lt; 4</formula>
    </cfRule>
  </conditionalFormatting>
  <conditionalFormatting sqref="J80:K82 J84:K84">
    <cfRule type="expression" dxfId="796" priority="37">
      <formula>kvartal &lt; 4</formula>
    </cfRule>
  </conditionalFormatting>
  <conditionalFormatting sqref="J90:K92 J94:K94">
    <cfRule type="expression" dxfId="795" priority="34">
      <formula>kvartal &lt; 4</formula>
    </cfRule>
  </conditionalFormatting>
  <conditionalFormatting sqref="J101:K103 J105:K105">
    <cfRule type="expression" dxfId="794" priority="33">
      <formula>kvartal &lt; 4</formula>
    </cfRule>
  </conditionalFormatting>
  <conditionalFormatting sqref="J115:K115">
    <cfRule type="expression" dxfId="793" priority="32">
      <formula>kvartal &lt; 4</formula>
    </cfRule>
  </conditionalFormatting>
  <conditionalFormatting sqref="J123:K123">
    <cfRule type="expression" dxfId="792" priority="31">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121</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339"/>
      <c r="M8" s="23"/>
    </row>
    <row r="9" spans="1:14" ht="15.75" x14ac:dyDescent="0.2">
      <c r="A9" s="18" t="s">
        <v>24</v>
      </c>
      <c r="B9" s="219"/>
      <c r="C9" s="220"/>
      <c r="D9" s="121"/>
      <c r="E9" s="23"/>
      <c r="F9" s="223"/>
      <c r="G9" s="224"/>
      <c r="H9" s="121"/>
      <c r="I9" s="129"/>
      <c r="J9" s="178"/>
      <c r="K9" s="225"/>
      <c r="L9" s="339"/>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125"/>
      <c r="E38" s="21"/>
      <c r="F38" s="255"/>
      <c r="G38" s="256"/>
      <c r="H38" s="125"/>
      <c r="I38" s="345"/>
      <c r="J38" s="180"/>
      <c r="K38" s="180"/>
      <c r="L38" s="339"/>
      <c r="M38" s="21"/>
    </row>
    <row r="39" spans="1:13" ht="15.75" x14ac:dyDescent="0.2">
      <c r="A39" s="15" t="s">
        <v>396</v>
      </c>
      <c r="B39" s="214"/>
      <c r="C39" s="251"/>
      <c r="D39" s="123"/>
      <c r="E39" s="30"/>
      <c r="F39" s="258"/>
      <c r="G39" s="259"/>
      <c r="H39" s="123"/>
      <c r="I39" s="30"/>
      <c r="J39" s="180"/>
      <c r="K39" s="180"/>
      <c r="L39" s="340"/>
      <c r="M39" s="30"/>
    </row>
    <row r="40" spans="1:13" ht="15.75" x14ac:dyDescent="0.25">
      <c r="A40" s="35"/>
      <c r="B40" s="197"/>
      <c r="C40" s="197"/>
      <c r="D40" s="795"/>
      <c r="E40" s="795"/>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8896</v>
      </c>
      <c r="C47" s="247">
        <v>9397</v>
      </c>
      <c r="D47" s="338">
        <f t="shared" ref="D47:D48" si="0">IF(B47=0, "    ---- ", IF(ABS(ROUND(100/B47*C47-100,1))&lt;999,ROUND(100/B47*C47-100,1),IF(ROUND(100/B47*C47-100,1)&gt;999,999,-999)))</f>
        <v>5.6</v>
      </c>
      <c r="E47" s="8">
        <f>IFERROR(100/'Skjema total MA'!C47*C47,0)</f>
        <v>0.14281423520957429</v>
      </c>
      <c r="F47" s="109"/>
      <c r="G47" s="27"/>
      <c r="H47" s="117"/>
      <c r="I47" s="117"/>
      <c r="J47" s="31"/>
      <c r="K47" s="31"/>
      <c r="L47" s="117"/>
      <c r="M47" s="117"/>
    </row>
    <row r="48" spans="1:13" ht="15.75" x14ac:dyDescent="0.2">
      <c r="A48" s="18" t="s">
        <v>397</v>
      </c>
      <c r="B48" s="219">
        <v>8896</v>
      </c>
      <c r="C48" s="220">
        <v>9397</v>
      </c>
      <c r="D48" s="198">
        <f t="shared" si="0"/>
        <v>5.6</v>
      </c>
      <c r="E48" s="23">
        <f>IFERROR(100/'Skjema total MA'!C48*C48,0)</f>
        <v>0.25340355634917799</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791" priority="10">
      <formula>kvartal &lt; 4</formula>
    </cfRule>
  </conditionalFormatting>
  <conditionalFormatting sqref="A80:A85">
    <cfRule type="expression" dxfId="790" priority="9">
      <formula>kvartal &lt; 4</formula>
    </cfRule>
  </conditionalFormatting>
  <conditionalFormatting sqref="A90:A95">
    <cfRule type="expression" dxfId="789" priority="6">
      <formula>kvartal &lt; 4</formula>
    </cfRule>
  </conditionalFormatting>
  <conditionalFormatting sqref="A101:A106">
    <cfRule type="expression" dxfId="788" priority="5">
      <formula>kvartal &lt; 4</formula>
    </cfRule>
  </conditionalFormatting>
  <conditionalFormatting sqref="A50:C52">
    <cfRule type="expression" dxfId="787" priority="12">
      <formula>kvartal &lt; 4</formula>
    </cfRule>
  </conditionalFormatting>
  <conditionalFormatting sqref="A115:C115">
    <cfRule type="expression" dxfId="786" priority="4">
      <formula>kvartal &lt; 4</formula>
    </cfRule>
  </conditionalFormatting>
  <conditionalFormatting sqref="A123:C123">
    <cfRule type="expression" dxfId="785" priority="3">
      <formula>kvartal &lt; 4</formula>
    </cfRule>
  </conditionalFormatting>
  <conditionalFormatting sqref="B69:C69">
    <cfRule type="expression" dxfId="784" priority="99">
      <formula>kvartal &lt; 4</formula>
    </cfRule>
  </conditionalFormatting>
  <conditionalFormatting sqref="B72:C72">
    <cfRule type="expression" dxfId="783" priority="97">
      <formula>kvartal &lt; 4</formula>
    </cfRule>
  </conditionalFormatting>
  <conditionalFormatting sqref="B80:C80">
    <cfRule type="expression" dxfId="782" priority="95">
      <formula>kvartal &lt; 4</formula>
    </cfRule>
  </conditionalFormatting>
  <conditionalFormatting sqref="B83:C83">
    <cfRule type="expression" dxfId="781" priority="93">
      <formula>kvartal &lt; 4</formula>
    </cfRule>
  </conditionalFormatting>
  <conditionalFormatting sqref="B90:C90">
    <cfRule type="expression" dxfId="780" priority="83">
      <formula>kvartal &lt; 4</formula>
    </cfRule>
  </conditionalFormatting>
  <conditionalFormatting sqref="B93:C93">
    <cfRule type="expression" dxfId="779" priority="81">
      <formula>kvartal &lt; 4</formula>
    </cfRule>
  </conditionalFormatting>
  <conditionalFormatting sqref="B101:C101">
    <cfRule type="expression" dxfId="778" priority="79">
      <formula>kvartal &lt; 4</formula>
    </cfRule>
  </conditionalFormatting>
  <conditionalFormatting sqref="B104:C104">
    <cfRule type="expression" dxfId="777" priority="77">
      <formula>kvartal &lt; 4</formula>
    </cfRule>
  </conditionalFormatting>
  <conditionalFormatting sqref="F69:G74">
    <cfRule type="expression" dxfId="776" priority="54">
      <formula>kvartal &lt; 4</formula>
    </cfRule>
  </conditionalFormatting>
  <conditionalFormatting sqref="F80:G85">
    <cfRule type="expression" dxfId="775" priority="52">
      <formula>kvartal &lt; 4</formula>
    </cfRule>
  </conditionalFormatting>
  <conditionalFormatting sqref="F90:G95">
    <cfRule type="expression" dxfId="774" priority="44">
      <formula>kvartal &lt; 4</formula>
    </cfRule>
  </conditionalFormatting>
  <conditionalFormatting sqref="F101:G106">
    <cfRule type="expression" dxfId="773" priority="40">
      <formula>kvartal &lt; 4</formula>
    </cfRule>
  </conditionalFormatting>
  <conditionalFormatting sqref="F115:G115">
    <cfRule type="expression" dxfId="772" priority="57">
      <formula>kvartal &lt; 4</formula>
    </cfRule>
  </conditionalFormatting>
  <conditionalFormatting sqref="F123:G123">
    <cfRule type="expression" dxfId="771" priority="56">
      <formula>kvartal &lt; 4</formula>
    </cfRule>
  </conditionalFormatting>
  <conditionalFormatting sqref="J69:K74">
    <cfRule type="expression" dxfId="770" priority="38">
      <formula>kvartal &lt; 4</formula>
    </cfRule>
  </conditionalFormatting>
  <conditionalFormatting sqref="J80:K85">
    <cfRule type="expression" dxfId="769" priority="37">
      <formula>kvartal &lt; 4</formula>
    </cfRule>
  </conditionalFormatting>
  <conditionalFormatting sqref="J90:K95">
    <cfRule type="expression" dxfId="768" priority="34">
      <formula>kvartal &lt; 4</formula>
    </cfRule>
  </conditionalFormatting>
  <conditionalFormatting sqref="J101:K106">
    <cfRule type="expression" dxfId="767" priority="33">
      <formula>kvartal &lt; 4</formula>
    </cfRule>
  </conditionalFormatting>
  <conditionalFormatting sqref="J115:K115">
    <cfRule type="expression" dxfId="766" priority="32">
      <formula>kvartal &lt; 4</formula>
    </cfRule>
  </conditionalFormatting>
  <conditionalFormatting sqref="J123:K123">
    <cfRule type="expression" dxfId="765" priority="31">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91</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c r="C7" s="243"/>
      <c r="D7" s="278"/>
      <c r="E7" s="8"/>
      <c r="F7" s="242"/>
      <c r="G7" s="243"/>
      <c r="H7" s="278"/>
      <c r="I7" s="118"/>
      <c r="J7" s="244"/>
      <c r="K7" s="245"/>
      <c r="L7" s="338"/>
      <c r="M7" s="8"/>
    </row>
    <row r="8" spans="1:14" ht="15.75" x14ac:dyDescent="0.2">
      <c r="A8" s="18" t="s">
        <v>25</v>
      </c>
      <c r="B8" s="219"/>
      <c r="C8" s="220"/>
      <c r="D8" s="121"/>
      <c r="E8" s="23"/>
      <c r="F8" s="223"/>
      <c r="G8" s="224"/>
      <c r="H8" s="121"/>
      <c r="I8" s="129"/>
      <c r="J8" s="178"/>
      <c r="K8" s="225"/>
      <c r="L8" s="198"/>
      <c r="M8" s="23"/>
    </row>
    <row r="9" spans="1:14" ht="15.75" x14ac:dyDescent="0.2">
      <c r="A9" s="18" t="s">
        <v>24</v>
      </c>
      <c r="B9" s="219"/>
      <c r="C9" s="220"/>
      <c r="D9" s="121"/>
      <c r="E9" s="23"/>
      <c r="F9" s="223"/>
      <c r="G9" s="224"/>
      <c r="H9" s="121"/>
      <c r="I9" s="129"/>
      <c r="J9" s="178"/>
      <c r="K9" s="225"/>
      <c r="L9" s="198"/>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343"/>
      <c r="E38" s="21"/>
      <c r="F38" s="255"/>
      <c r="G38" s="256"/>
      <c r="H38" s="125"/>
      <c r="I38" s="345"/>
      <c r="J38" s="180"/>
      <c r="K38" s="180"/>
      <c r="L38" s="339"/>
      <c r="M38" s="21"/>
    </row>
    <row r="39" spans="1:13" ht="15.75" x14ac:dyDescent="0.2">
      <c r="A39" s="15" t="s">
        <v>396</v>
      </c>
      <c r="B39" s="214"/>
      <c r="C39" s="251"/>
      <c r="D39" s="344"/>
      <c r="E39" s="30"/>
      <c r="F39" s="258"/>
      <c r="G39" s="259"/>
      <c r="H39" s="123"/>
      <c r="I39" s="30"/>
      <c r="J39" s="180"/>
      <c r="K39" s="180"/>
      <c r="L39" s="340"/>
      <c r="M39" s="30"/>
    </row>
    <row r="40" spans="1:13" ht="15.75" x14ac:dyDescent="0.25">
      <c r="A40" s="35"/>
      <c r="B40" s="197"/>
      <c r="C40" s="197"/>
      <c r="D40" s="795"/>
      <c r="E40" s="794"/>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809012.68200000003</v>
      </c>
      <c r="C47" s="247">
        <v>876213.18599999999</v>
      </c>
      <c r="D47" s="338">
        <f t="shared" ref="D47:D57" si="0">IF(B47=0, "    ---- ", IF(ABS(ROUND(100/B47*C47-100,1))&lt;999,ROUND(100/B47*C47-100,1),IF(ROUND(100/B47*C47-100,1)&gt;999,999,-999)))</f>
        <v>8.3000000000000007</v>
      </c>
      <c r="E47" s="8">
        <f>IFERROR(100/'Skjema total MA'!C47*C47,0)</f>
        <v>13.316560182945032</v>
      </c>
      <c r="F47" s="109"/>
      <c r="G47" s="27"/>
      <c r="H47" s="117"/>
      <c r="I47" s="117"/>
      <c r="J47" s="31"/>
      <c r="K47" s="31"/>
      <c r="L47" s="117"/>
      <c r="M47" s="117"/>
    </row>
    <row r="48" spans="1:13" ht="15.75" x14ac:dyDescent="0.2">
      <c r="A48" s="18" t="s">
        <v>397</v>
      </c>
      <c r="B48" s="219">
        <v>242910.64799999999</v>
      </c>
      <c r="C48" s="220">
        <v>243870.345</v>
      </c>
      <c r="D48" s="198">
        <f t="shared" si="0"/>
        <v>0.4</v>
      </c>
      <c r="E48" s="23">
        <f>IFERROR(100/'Skjema total MA'!C48*C48,0)</f>
        <v>6.5763129414814276</v>
      </c>
      <c r="F48" s="109"/>
      <c r="G48" s="27"/>
      <c r="H48" s="109"/>
      <c r="I48" s="109"/>
      <c r="J48" s="27"/>
      <c r="K48" s="27"/>
      <c r="L48" s="117"/>
      <c r="M48" s="117"/>
    </row>
    <row r="49" spans="1:13" ht="15.75" x14ac:dyDescent="0.2">
      <c r="A49" s="18" t="s">
        <v>398</v>
      </c>
      <c r="B49" s="36">
        <v>566102.03399999999</v>
      </c>
      <c r="C49" s="225">
        <v>632342.84100000001</v>
      </c>
      <c r="D49" s="198">
        <f>IF(B49=0, "    ---- ", IF(ABS(ROUND(100/B49*C49-100,1))&lt;999,ROUND(100/B49*C49-100,1),IF(ROUND(100/B49*C49-100,1)&gt;999,999,-999)))</f>
        <v>11.7</v>
      </c>
      <c r="E49" s="23">
        <f>IFERROR(100/'Skjema total MA'!C49*C49,0)</f>
        <v>22.020865851825242</v>
      </c>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v>552779.1</v>
      </c>
      <c r="C51" s="229">
        <v>619441.06799999997</v>
      </c>
      <c r="D51" s="198">
        <f t="shared" ref="D51:D52" si="1">IF(B51=0, "    ---- ", IF(ABS(ROUND(100/B51*C51-100,1))&lt;999,ROUND(100/B51*C51-100,1),IF(ROUND(100/B51*C51-100,1)&gt;999,999,-999)))</f>
        <v>12.1</v>
      </c>
      <c r="E51" s="23">
        <f>IFERROR(100/'Skjema total MA'!C51*C51,0)</f>
        <v>21.892686244077034</v>
      </c>
      <c r="F51" s="109"/>
      <c r="G51" s="27"/>
      <c r="H51" s="109"/>
      <c r="I51" s="109"/>
      <c r="J51" s="27"/>
      <c r="K51" s="27"/>
      <c r="L51" s="117"/>
      <c r="M51" s="117"/>
    </row>
    <row r="52" spans="1:13" x14ac:dyDescent="0.2">
      <c r="A52" s="234" t="s">
        <v>8</v>
      </c>
      <c r="B52" s="228">
        <v>13322.933999999999</v>
      </c>
      <c r="C52" s="229">
        <v>12901.772999999999</v>
      </c>
      <c r="D52" s="198">
        <f t="shared" si="1"/>
        <v>-3.2</v>
      </c>
      <c r="E52" s="23">
        <f>IFERROR(100/'Skjema total MA'!C52*C52,0)</f>
        <v>30.622990978985776</v>
      </c>
      <c r="F52" s="109"/>
      <c r="G52" s="27"/>
      <c r="H52" s="109"/>
      <c r="I52" s="109"/>
      <c r="J52" s="27"/>
      <c r="K52" s="27"/>
      <c r="L52" s="117"/>
      <c r="M52" s="117"/>
    </row>
    <row r="53" spans="1:13" ht="15.75" x14ac:dyDescent="0.2">
      <c r="A53" s="10" t="s">
        <v>399</v>
      </c>
      <c r="B53" s="246">
        <v>34911</v>
      </c>
      <c r="C53" s="247">
        <v>23480</v>
      </c>
      <c r="D53" s="339">
        <f t="shared" si="0"/>
        <v>-32.700000000000003</v>
      </c>
      <c r="E53" s="8">
        <f>IFERROR(100/'Skjema total MA'!C53*C53,0)</f>
        <v>10.714937567357504</v>
      </c>
      <c r="F53" s="109"/>
      <c r="G53" s="27"/>
      <c r="H53" s="109"/>
      <c r="I53" s="109"/>
      <c r="J53" s="27"/>
      <c r="K53" s="27"/>
      <c r="L53" s="117"/>
      <c r="M53" s="117"/>
    </row>
    <row r="54" spans="1:13" ht="15.75" x14ac:dyDescent="0.2">
      <c r="A54" s="18" t="s">
        <v>397</v>
      </c>
      <c r="B54" s="219">
        <v>34911</v>
      </c>
      <c r="C54" s="220">
        <v>23480</v>
      </c>
      <c r="D54" s="198">
        <f t="shared" si="0"/>
        <v>-32.700000000000003</v>
      </c>
      <c r="E54" s="23">
        <f>IFERROR(100/'Skjema total MA'!C54*C54,0)</f>
        <v>10.763515832155287</v>
      </c>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v>18177</v>
      </c>
      <c r="C56" s="247">
        <v>23595</v>
      </c>
      <c r="D56" s="339">
        <f t="shared" si="0"/>
        <v>29.8</v>
      </c>
      <c r="E56" s="8">
        <f>IFERROR(100/'Skjema total MA'!C56*C56,0)</f>
        <v>9.867367112702329</v>
      </c>
      <c r="F56" s="109"/>
      <c r="G56" s="27"/>
      <c r="H56" s="109"/>
      <c r="I56" s="109"/>
      <c r="J56" s="27"/>
      <c r="K56" s="27"/>
      <c r="L56" s="117"/>
      <c r="M56" s="117"/>
    </row>
    <row r="57" spans="1:13" ht="15.75" x14ac:dyDescent="0.2">
      <c r="A57" s="18" t="s">
        <v>397</v>
      </c>
      <c r="B57" s="219">
        <v>18177</v>
      </c>
      <c r="C57" s="220">
        <v>23595</v>
      </c>
      <c r="D57" s="198">
        <f t="shared" si="0"/>
        <v>29.8</v>
      </c>
      <c r="E57" s="23">
        <f>IFERROR(100/'Skjema total MA'!C57*C57,0)</f>
        <v>9.867367112702329</v>
      </c>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A69:A74">
    <cfRule type="expression" dxfId="764" priority="10">
      <formula>kvartal &lt; 4</formula>
    </cfRule>
  </conditionalFormatting>
  <conditionalFormatting sqref="A80:A85">
    <cfRule type="expression" dxfId="763" priority="9">
      <formula>kvartal &lt; 4</formula>
    </cfRule>
  </conditionalFormatting>
  <conditionalFormatting sqref="A90:A95">
    <cfRule type="expression" dxfId="762" priority="6">
      <formula>kvartal &lt; 4</formula>
    </cfRule>
  </conditionalFormatting>
  <conditionalFormatting sqref="A101:A106">
    <cfRule type="expression" dxfId="761" priority="5">
      <formula>kvartal &lt; 4</formula>
    </cfRule>
  </conditionalFormatting>
  <conditionalFormatting sqref="A50:C52">
    <cfRule type="expression" dxfId="760" priority="12">
      <formula>kvartal &lt; 4</formula>
    </cfRule>
  </conditionalFormatting>
  <conditionalFormatting sqref="A115:C115">
    <cfRule type="expression" dxfId="759" priority="4">
      <formula>kvartal &lt; 4</formula>
    </cfRule>
  </conditionalFormatting>
  <conditionalFormatting sqref="A123:C123">
    <cfRule type="expression" dxfId="758" priority="3">
      <formula>kvartal &lt; 4</formula>
    </cfRule>
  </conditionalFormatting>
  <conditionalFormatting sqref="B69:C69">
    <cfRule type="expression" dxfId="757" priority="84">
      <formula>kvartal &lt; 4</formula>
    </cfRule>
  </conditionalFormatting>
  <conditionalFormatting sqref="B72:C72">
    <cfRule type="expression" dxfId="756" priority="82">
      <formula>kvartal &lt; 4</formula>
    </cfRule>
  </conditionalFormatting>
  <conditionalFormatting sqref="B80:C80">
    <cfRule type="expression" dxfId="755" priority="80">
      <formula>kvartal &lt; 4</formula>
    </cfRule>
  </conditionalFormatting>
  <conditionalFormatting sqref="B83:C83">
    <cfRule type="expression" dxfId="754" priority="78">
      <formula>kvartal &lt; 4</formula>
    </cfRule>
  </conditionalFormatting>
  <conditionalFormatting sqref="B90:C90">
    <cfRule type="expression" dxfId="753" priority="68">
      <formula>kvartal &lt; 4</formula>
    </cfRule>
  </conditionalFormatting>
  <conditionalFormatting sqref="B93:C93">
    <cfRule type="expression" dxfId="752" priority="66">
      <formula>kvartal &lt; 4</formula>
    </cfRule>
  </conditionalFormatting>
  <conditionalFormatting sqref="B101:C101">
    <cfRule type="expression" dxfId="751" priority="64">
      <formula>kvartal &lt; 4</formula>
    </cfRule>
  </conditionalFormatting>
  <conditionalFormatting sqref="B104:C104">
    <cfRule type="expression" dxfId="750" priority="62">
      <formula>kvartal &lt; 4</formula>
    </cfRule>
  </conditionalFormatting>
  <conditionalFormatting sqref="F69:G74">
    <cfRule type="expression" dxfId="749" priority="39">
      <formula>kvartal &lt; 4</formula>
    </cfRule>
  </conditionalFormatting>
  <conditionalFormatting sqref="F80:G85">
    <cfRule type="expression" dxfId="748" priority="37">
      <formula>kvartal &lt; 4</formula>
    </cfRule>
  </conditionalFormatting>
  <conditionalFormatting sqref="F90:G95">
    <cfRule type="expression" dxfId="747" priority="29">
      <formula>kvartal &lt; 4</formula>
    </cfRule>
  </conditionalFormatting>
  <conditionalFormatting sqref="F101:G106">
    <cfRule type="expression" dxfId="746" priority="25">
      <formula>kvartal &lt; 4</formula>
    </cfRule>
  </conditionalFormatting>
  <conditionalFormatting sqref="F115:G115">
    <cfRule type="expression" dxfId="745" priority="42">
      <formula>kvartal &lt; 4</formula>
    </cfRule>
  </conditionalFormatting>
  <conditionalFormatting sqref="F123:G123">
    <cfRule type="expression" dxfId="744" priority="41">
      <formula>kvartal &lt; 4</formula>
    </cfRule>
  </conditionalFormatting>
  <conditionalFormatting sqref="J69:K74">
    <cfRule type="expression" dxfId="743" priority="23">
      <formula>kvartal &lt; 4</formula>
    </cfRule>
  </conditionalFormatting>
  <conditionalFormatting sqref="J80:K85">
    <cfRule type="expression" dxfId="742" priority="22">
      <formula>kvartal &lt; 4</formula>
    </cfRule>
  </conditionalFormatting>
  <conditionalFormatting sqref="J90:K95">
    <cfRule type="expression" dxfId="741" priority="19">
      <formula>kvartal &lt; 4</formula>
    </cfRule>
  </conditionalFormatting>
  <conditionalFormatting sqref="J101:K106">
    <cfRule type="expression" dxfId="740" priority="18">
      <formula>kvartal &lt; 4</formula>
    </cfRule>
  </conditionalFormatting>
  <conditionalFormatting sqref="J115:K115">
    <cfRule type="expression" dxfId="739" priority="17">
      <formula>kvartal &lt; 4</formula>
    </cfRule>
  </conditionalFormatting>
  <conditionalFormatting sqref="J123:K123">
    <cfRule type="expression" dxfId="738" priority="16">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sheetPr codeName="Ark28"/>
  <dimension ref="A1:N144"/>
  <sheetViews>
    <sheetView showGridLines="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418</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1167.568</v>
      </c>
      <c r="C7" s="243">
        <v>1087</v>
      </c>
      <c r="D7" s="278">
        <f>IF(B7=0, "    ---- ", IF(ABS(ROUND(100/B7*C7-100,1))&lt;999,ROUND(100/B7*C7-100,1),IF(ROUND(100/B7*C7-100,1)&gt;999,999,-999)))</f>
        <v>-6.9</v>
      </c>
      <c r="E7" s="8">
        <f>IFERROR(100/'Skjema total MA'!C7*C7,0)</f>
        <v>1.9677775606276742E-2</v>
      </c>
      <c r="F7" s="242"/>
      <c r="G7" s="243"/>
      <c r="H7" s="278"/>
      <c r="I7" s="118"/>
      <c r="J7" s="244">
        <f t="shared" ref="J7:K8" si="0">SUM(B7,F7)</f>
        <v>1167.568</v>
      </c>
      <c r="K7" s="245">
        <f t="shared" si="0"/>
        <v>1087</v>
      </c>
      <c r="L7" s="338">
        <f>IF(J7=0, "    ---- ", IF(ABS(ROUND(100/J7*K7-100,1))&lt;999,ROUND(100/J7*K7-100,1),IF(ROUND(100/J7*K7-100,1)&gt;999,999,-999)))</f>
        <v>-6.9</v>
      </c>
      <c r="M7" s="8">
        <f>IFERROR(100/'Skjema total MA'!I7*K7,0)</f>
        <v>5.5073219077118657E-3</v>
      </c>
    </row>
    <row r="8" spans="1:14" ht="15.75" x14ac:dyDescent="0.2">
      <c r="A8" s="18" t="s">
        <v>25</v>
      </c>
      <c r="B8" s="219">
        <v>1167.568</v>
      </c>
      <c r="C8" s="220">
        <v>1087</v>
      </c>
      <c r="D8" s="121">
        <f t="shared" ref="D8" si="1">IF(B8=0, "    ---- ", IF(ABS(ROUND(100/B8*C8-100,1))&lt;999,ROUND(100/B8*C8-100,1),IF(ROUND(100/B8*C8-100,1)&gt;999,999,-999)))</f>
        <v>-6.9</v>
      </c>
      <c r="E8" s="23">
        <f>IFERROR(100/'Skjema total MA'!C8*C8,0)</f>
        <v>2.9634750712980069E-2</v>
      </c>
      <c r="F8" s="223"/>
      <c r="G8" s="224"/>
      <c r="H8" s="121"/>
      <c r="I8" s="129"/>
      <c r="J8" s="178">
        <f t="shared" si="0"/>
        <v>1167.568</v>
      </c>
      <c r="K8" s="225">
        <f t="shared" si="0"/>
        <v>1087</v>
      </c>
      <c r="L8" s="121">
        <f t="shared" ref="L8" si="2">IF(J8=0, "    ---- ", IF(ABS(ROUND(100/J8*K8-100,1))&lt;999,ROUND(100/J8*K8-100,1),IF(ROUND(100/J8*K8-100,1)&gt;999,999,-999)))</f>
        <v>-6.9</v>
      </c>
      <c r="M8" s="23">
        <f>IFERROR(100/'Skjema total MA'!I8*K8,0)</f>
        <v>2.9634750712980069E-2</v>
      </c>
    </row>
    <row r="9" spans="1:14" ht="15.75" x14ac:dyDescent="0.2">
      <c r="A9" s="18" t="s">
        <v>24</v>
      </c>
      <c r="B9" s="219"/>
      <c r="C9" s="220"/>
      <c r="D9" s="121"/>
      <c r="E9" s="23"/>
      <c r="F9" s="223"/>
      <c r="G9" s="224"/>
      <c r="H9" s="121"/>
      <c r="I9" s="129"/>
      <c r="J9" s="178"/>
      <c r="K9" s="225"/>
      <c r="L9" s="121"/>
      <c r="M9" s="23"/>
    </row>
    <row r="10" spans="1:14" ht="15.75" x14ac:dyDescent="0.2">
      <c r="A10" s="10" t="s">
        <v>386</v>
      </c>
      <c r="B10" s="246"/>
      <c r="C10" s="247"/>
      <c r="D10" s="125"/>
      <c r="E10" s="8"/>
      <c r="F10" s="246"/>
      <c r="G10" s="247"/>
      <c r="H10" s="125"/>
      <c r="I10" s="118"/>
      <c r="J10" s="244"/>
      <c r="K10" s="245"/>
      <c r="L10" s="339"/>
      <c r="M10" s="8"/>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c r="C22" s="246"/>
      <c r="D22" s="278"/>
      <c r="E22" s="8"/>
      <c r="F22" s="254"/>
      <c r="G22" s="254"/>
      <c r="H22" s="278"/>
      <c r="I22" s="8"/>
      <c r="J22" s="252"/>
      <c r="K22" s="252"/>
      <c r="L22" s="338"/>
      <c r="M22" s="21"/>
    </row>
    <row r="23" spans="1:13" ht="15.75" x14ac:dyDescent="0.2">
      <c r="A23" s="379" t="s">
        <v>389</v>
      </c>
      <c r="B23" s="219"/>
      <c r="C23" s="219"/>
      <c r="D23" s="121"/>
      <c r="E23" s="8"/>
      <c r="F23" s="228"/>
      <c r="G23" s="228"/>
      <c r="H23" s="121"/>
      <c r="I23" s="331"/>
      <c r="J23" s="228"/>
      <c r="K23" s="228"/>
      <c r="L23" s="121"/>
      <c r="M23" s="20"/>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c r="C28" s="225"/>
      <c r="D28" s="121"/>
      <c r="E28" s="8"/>
      <c r="F28" s="178"/>
      <c r="G28" s="225"/>
      <c r="H28" s="121"/>
      <c r="I28" s="23"/>
      <c r="J28" s="36"/>
      <c r="K28" s="36"/>
      <c r="L28" s="198"/>
      <c r="M28" s="20"/>
    </row>
    <row r="29" spans="1:13" ht="15.75" x14ac:dyDescent="0.2">
      <c r="A29" s="10" t="s">
        <v>386</v>
      </c>
      <c r="B29" s="180"/>
      <c r="C29" s="180"/>
      <c r="D29" s="125"/>
      <c r="E29" s="8"/>
      <c r="F29" s="244"/>
      <c r="G29" s="244"/>
      <c r="H29" s="125"/>
      <c r="I29" s="8"/>
      <c r="J29" s="180"/>
      <c r="K29" s="180"/>
      <c r="L29" s="339"/>
      <c r="M29" s="21"/>
    </row>
    <row r="30" spans="1:13" ht="15.75" x14ac:dyDescent="0.2">
      <c r="A30" s="379" t="s">
        <v>389</v>
      </c>
      <c r="B30" s="219"/>
      <c r="C30" s="219"/>
      <c r="D30" s="121"/>
      <c r="E30" s="8"/>
      <c r="F30" s="228"/>
      <c r="G30" s="228"/>
      <c r="H30" s="121"/>
      <c r="I30" s="331"/>
      <c r="J30" s="228"/>
      <c r="K30" s="228"/>
      <c r="L30" s="121"/>
      <c r="M30" s="20"/>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c r="D36" s="125"/>
      <c r="E36" s="8"/>
      <c r="F36" s="255"/>
      <c r="G36" s="256"/>
      <c r="H36" s="125"/>
      <c r="I36" s="345"/>
      <c r="J36" s="180"/>
      <c r="K36" s="180"/>
      <c r="L36" s="339"/>
      <c r="M36" s="21"/>
    </row>
    <row r="37" spans="1:13" ht="15.75" x14ac:dyDescent="0.2">
      <c r="A37" s="9" t="s">
        <v>394</v>
      </c>
      <c r="B37" s="180"/>
      <c r="C37" s="245"/>
      <c r="D37" s="125"/>
      <c r="E37" s="8"/>
      <c r="F37" s="255"/>
      <c r="G37" s="257"/>
      <c r="H37" s="125"/>
      <c r="I37" s="345"/>
      <c r="J37" s="180"/>
      <c r="K37" s="180"/>
      <c r="L37" s="339"/>
      <c r="M37" s="21"/>
    </row>
    <row r="38" spans="1:13" ht="15.75" x14ac:dyDescent="0.2">
      <c r="A38" s="9" t="s">
        <v>395</v>
      </c>
      <c r="B38" s="180"/>
      <c r="C38" s="245"/>
      <c r="D38" s="343"/>
      <c r="E38" s="21"/>
      <c r="F38" s="255"/>
      <c r="G38" s="256"/>
      <c r="H38" s="125"/>
      <c r="I38" s="345"/>
      <c r="J38" s="180"/>
      <c r="K38" s="180"/>
      <c r="L38" s="339"/>
      <c r="M38" s="21"/>
    </row>
    <row r="39" spans="1:13" ht="15.75" x14ac:dyDescent="0.2">
      <c r="A39" s="15" t="s">
        <v>396</v>
      </c>
      <c r="B39" s="214"/>
      <c r="C39" s="251"/>
      <c r="D39" s="344"/>
      <c r="E39" s="30"/>
      <c r="F39" s="258"/>
      <c r="G39" s="259"/>
      <c r="H39" s="123"/>
      <c r="I39" s="30"/>
      <c r="J39" s="180"/>
      <c r="K39" s="180"/>
      <c r="L39" s="340"/>
      <c r="M39" s="30"/>
    </row>
    <row r="40" spans="1:13" ht="15.75" x14ac:dyDescent="0.25">
      <c r="A40" s="35"/>
      <c r="B40" s="197"/>
      <c r="C40" s="197"/>
      <c r="D40" s="795"/>
      <c r="E40" s="794"/>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536.86099999999999</v>
      </c>
      <c r="C47" s="247">
        <v>618</v>
      </c>
      <c r="D47" s="338">
        <f t="shared" ref="D47:D48" si="3">IF(B47=0, "    ---- ", IF(ABS(ROUND(100/B47*C47-100,1))&lt;999,ROUND(100/B47*C47-100,1),IF(ROUND(100/B47*C47-100,1)&gt;999,999,-999)))</f>
        <v>15.1</v>
      </c>
      <c r="E47" s="8">
        <f>IFERROR(100/'Skjema total MA'!C47*C47,0)</f>
        <v>9.3922738490493686E-3</v>
      </c>
      <c r="F47" s="109"/>
      <c r="G47" s="27"/>
      <c r="H47" s="117"/>
      <c r="I47" s="117"/>
      <c r="J47" s="31"/>
      <c r="K47" s="31"/>
      <c r="L47" s="117"/>
      <c r="M47" s="117"/>
    </row>
    <row r="48" spans="1:13" ht="15.75" x14ac:dyDescent="0.2">
      <c r="A48" s="18" t="s">
        <v>397</v>
      </c>
      <c r="B48" s="219">
        <v>536.86099999999999</v>
      </c>
      <c r="C48" s="220">
        <v>618</v>
      </c>
      <c r="D48" s="198">
        <f t="shared" si="3"/>
        <v>15.1</v>
      </c>
      <c r="E48" s="23">
        <f>IFERROR(100/'Skjema total MA'!C48*C48,0)</f>
        <v>1.6665254636989677E-2</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c r="C66" s="281"/>
      <c r="D66" s="278"/>
      <c r="E66" s="8"/>
      <c r="F66" s="280"/>
      <c r="G66" s="280"/>
      <c r="H66" s="278"/>
      <c r="I66" s="8"/>
      <c r="J66" s="245"/>
      <c r="K66" s="252"/>
      <c r="L66" s="339"/>
      <c r="M66" s="8"/>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c r="C76" s="109"/>
      <c r="D76" s="121"/>
      <c r="E76" s="23"/>
      <c r="F76" s="178"/>
      <c r="G76" s="109"/>
      <c r="H76" s="121"/>
      <c r="I76" s="23"/>
      <c r="J76" s="225"/>
      <c r="K76" s="36"/>
      <c r="L76" s="198"/>
      <c r="M76" s="23"/>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c r="C87" s="281"/>
      <c r="D87" s="125"/>
      <c r="E87" s="8"/>
      <c r="F87" s="280"/>
      <c r="G87" s="280"/>
      <c r="H87" s="125"/>
      <c r="I87" s="8"/>
      <c r="J87" s="245"/>
      <c r="K87" s="180"/>
      <c r="L87" s="339"/>
      <c r="M87" s="8"/>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c r="C97" s="109"/>
      <c r="D97" s="121"/>
      <c r="E97" s="23"/>
      <c r="F97" s="178"/>
      <c r="G97" s="109"/>
      <c r="H97" s="121"/>
      <c r="I97" s="23"/>
      <c r="J97" s="225"/>
      <c r="K97" s="36"/>
      <c r="L97" s="198"/>
      <c r="M97" s="23"/>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c r="C111" s="117"/>
      <c r="D111" s="125"/>
      <c r="E111" s="8"/>
      <c r="F111" s="244"/>
      <c r="G111" s="117"/>
      <c r="H111" s="125"/>
      <c r="I111" s="8"/>
      <c r="J111" s="245"/>
      <c r="K111" s="180"/>
      <c r="L111" s="339"/>
      <c r="M111" s="8"/>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c r="C114" s="109"/>
      <c r="D114" s="121"/>
      <c r="E114" s="23"/>
      <c r="F114" s="178"/>
      <c r="G114" s="109"/>
      <c r="H114" s="121"/>
      <c r="I114" s="23"/>
      <c r="J114" s="225"/>
      <c r="K114" s="36"/>
      <c r="L114" s="198"/>
      <c r="M114" s="23"/>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c r="C119" s="117"/>
      <c r="D119" s="125"/>
      <c r="E119" s="8"/>
      <c r="F119" s="244"/>
      <c r="G119" s="117"/>
      <c r="H119" s="125"/>
      <c r="I119" s="8"/>
      <c r="J119" s="245"/>
      <c r="K119" s="180"/>
      <c r="L119" s="339"/>
      <c r="M119" s="8"/>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c r="C122" s="109"/>
      <c r="D122" s="121"/>
      <c r="E122" s="23"/>
      <c r="F122" s="178"/>
      <c r="G122" s="109"/>
      <c r="H122" s="121"/>
      <c r="I122" s="23"/>
      <c r="J122" s="225"/>
      <c r="K122" s="36"/>
      <c r="L122" s="198"/>
      <c r="M122" s="23"/>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69:A74">
    <cfRule type="expression" dxfId="737" priority="6">
      <formula>kvartal &lt; 4</formula>
    </cfRule>
  </conditionalFormatting>
  <conditionalFormatting sqref="A80:A85">
    <cfRule type="expression" dxfId="736" priority="5">
      <formula>kvartal &lt; 4</formula>
    </cfRule>
  </conditionalFormatting>
  <conditionalFormatting sqref="A90:A95">
    <cfRule type="expression" dxfId="735" priority="4">
      <formula>kvartal &lt; 4</formula>
    </cfRule>
  </conditionalFormatting>
  <conditionalFormatting sqref="A101:A106">
    <cfRule type="expression" dxfId="734" priority="3">
      <formula>kvartal &lt; 4</formula>
    </cfRule>
  </conditionalFormatting>
  <conditionalFormatting sqref="A50:C52">
    <cfRule type="expression" dxfId="733" priority="7">
      <formula>kvartal &lt; 4</formula>
    </cfRule>
  </conditionalFormatting>
  <conditionalFormatting sqref="A115:C115">
    <cfRule type="expression" dxfId="732" priority="2">
      <formula>kvartal &lt; 4</formula>
    </cfRule>
  </conditionalFormatting>
  <conditionalFormatting sqref="A123:C123">
    <cfRule type="expression" dxfId="731" priority="1">
      <formula>kvartal &lt; 4</formula>
    </cfRule>
  </conditionalFormatting>
  <conditionalFormatting sqref="B69:C69">
    <cfRule type="expression" dxfId="730" priority="57">
      <formula>kvartal &lt; 4</formula>
    </cfRule>
  </conditionalFormatting>
  <conditionalFormatting sqref="B72:C72">
    <cfRule type="expression" dxfId="729" priority="55">
      <formula>kvartal &lt; 4</formula>
    </cfRule>
  </conditionalFormatting>
  <conditionalFormatting sqref="B80:C80">
    <cfRule type="expression" dxfId="728" priority="53">
      <formula>kvartal &lt; 4</formula>
    </cfRule>
  </conditionalFormatting>
  <conditionalFormatting sqref="B83:C83">
    <cfRule type="expression" dxfId="727" priority="51">
      <formula>kvartal &lt; 4</formula>
    </cfRule>
  </conditionalFormatting>
  <conditionalFormatting sqref="B90:C90">
    <cfRule type="expression" dxfId="726" priority="49">
      <formula>kvartal &lt; 4</formula>
    </cfRule>
  </conditionalFormatting>
  <conditionalFormatting sqref="B93:C93">
    <cfRule type="expression" dxfId="725" priority="47">
      <formula>kvartal &lt; 4</formula>
    </cfRule>
  </conditionalFormatting>
  <conditionalFormatting sqref="B101:C101">
    <cfRule type="expression" dxfId="724" priority="45">
      <formula>kvartal &lt; 4</formula>
    </cfRule>
  </conditionalFormatting>
  <conditionalFormatting sqref="B104:C104">
    <cfRule type="expression" dxfId="723" priority="43">
      <formula>kvartal &lt; 4</formula>
    </cfRule>
  </conditionalFormatting>
  <conditionalFormatting sqref="F69:G74">
    <cfRule type="expression" dxfId="722" priority="24">
      <formula>kvartal &lt; 4</formula>
    </cfRule>
  </conditionalFormatting>
  <conditionalFormatting sqref="F80:G85">
    <cfRule type="expression" dxfId="721" priority="22">
      <formula>kvartal &lt; 4</formula>
    </cfRule>
  </conditionalFormatting>
  <conditionalFormatting sqref="F90:G95">
    <cfRule type="expression" dxfId="720" priority="19">
      <formula>kvartal &lt; 4</formula>
    </cfRule>
  </conditionalFormatting>
  <conditionalFormatting sqref="F101:G106">
    <cfRule type="expression" dxfId="719" priority="15">
      <formula>kvartal &lt; 4</formula>
    </cfRule>
  </conditionalFormatting>
  <conditionalFormatting sqref="F115:G115">
    <cfRule type="expression" dxfId="718" priority="27">
      <formula>kvartal &lt; 4</formula>
    </cfRule>
  </conditionalFormatting>
  <conditionalFormatting sqref="F123:G123">
    <cfRule type="expression" dxfId="717" priority="26">
      <formula>kvartal &lt; 4</formula>
    </cfRule>
  </conditionalFormatting>
  <conditionalFormatting sqref="J69:K74">
    <cfRule type="expression" dxfId="716" priority="13">
      <formula>kvartal &lt; 4</formula>
    </cfRule>
  </conditionalFormatting>
  <conditionalFormatting sqref="J80:K85">
    <cfRule type="expression" dxfId="715" priority="12">
      <formula>kvartal &lt; 4</formula>
    </cfRule>
  </conditionalFormatting>
  <conditionalFormatting sqref="J90:K95">
    <cfRule type="expression" dxfId="714" priority="11">
      <formula>kvartal &lt; 4</formula>
    </cfRule>
  </conditionalFormatting>
  <conditionalFormatting sqref="J101:K106">
    <cfRule type="expression" dxfId="713" priority="10">
      <formula>kvartal &lt; 4</formula>
    </cfRule>
  </conditionalFormatting>
  <conditionalFormatting sqref="J115:K115">
    <cfRule type="expression" dxfId="712" priority="9">
      <formula>kvartal &lt; 4</formula>
    </cfRule>
  </conditionalFormatting>
  <conditionalFormatting sqref="J123:K123">
    <cfRule type="expression" dxfId="711" priority="8">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sheetPr codeName="Ark33"/>
  <dimension ref="A1:N144"/>
  <sheetViews>
    <sheetView showGridLines="0" workbookViewId="0">
      <selection activeCell="C1" sqref="C1"/>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6384" width="11.42578125" style="1"/>
  </cols>
  <sheetData>
    <row r="1" spans="1:14" x14ac:dyDescent="0.2">
      <c r="A1" s="126" t="s">
        <v>124</v>
      </c>
      <c r="B1" s="766"/>
      <c r="C1" s="192" t="s">
        <v>433</v>
      </c>
    </row>
    <row r="2" spans="1:14" ht="15.75" x14ac:dyDescent="0.25">
      <c r="A2" s="110" t="s">
        <v>28</v>
      </c>
      <c r="B2" s="794"/>
      <c r="C2" s="794"/>
      <c r="D2" s="794"/>
      <c r="E2" s="236"/>
      <c r="F2" s="794"/>
      <c r="G2" s="794"/>
      <c r="H2" s="794"/>
      <c r="I2" s="236"/>
      <c r="J2" s="794"/>
      <c r="K2" s="794"/>
      <c r="L2" s="794"/>
      <c r="M2" s="236"/>
    </row>
    <row r="3" spans="1:14" ht="15.75" x14ac:dyDescent="0.25">
      <c r="A3" s="120"/>
      <c r="B3" s="236"/>
      <c r="C3" s="236"/>
      <c r="D3" s="236"/>
      <c r="E3" s="236"/>
      <c r="F3" s="236"/>
      <c r="G3" s="236"/>
      <c r="H3" s="236"/>
      <c r="I3" s="236"/>
      <c r="J3" s="236"/>
      <c r="K3" s="236"/>
      <c r="L3" s="236"/>
      <c r="M3" s="236"/>
    </row>
    <row r="4" spans="1:14" x14ac:dyDescent="0.2">
      <c r="A4" s="108"/>
      <c r="B4" s="790" t="s">
        <v>0</v>
      </c>
      <c r="C4" s="791"/>
      <c r="D4" s="791"/>
      <c r="E4" s="238"/>
      <c r="F4" s="790" t="s">
        <v>1</v>
      </c>
      <c r="G4" s="791"/>
      <c r="H4" s="791"/>
      <c r="I4" s="240"/>
      <c r="J4" s="790" t="s">
        <v>2</v>
      </c>
      <c r="K4" s="791"/>
      <c r="L4" s="791"/>
      <c r="M4" s="240"/>
    </row>
    <row r="5" spans="1:14" x14ac:dyDescent="0.2">
      <c r="A5" s="116"/>
      <c r="B5" s="17">
        <v>45291</v>
      </c>
      <c r="C5" s="17">
        <v>45657</v>
      </c>
      <c r="D5" s="189" t="s">
        <v>3</v>
      </c>
      <c r="E5" s="241" t="s">
        <v>29</v>
      </c>
      <c r="F5" s="17">
        <v>45291</v>
      </c>
      <c r="G5" s="17">
        <v>45657</v>
      </c>
      <c r="H5" s="189" t="s">
        <v>3</v>
      </c>
      <c r="I5" s="241" t="s">
        <v>29</v>
      </c>
      <c r="J5" s="17">
        <v>45291</v>
      </c>
      <c r="K5" s="17">
        <v>45657</v>
      </c>
      <c r="L5" s="189" t="s">
        <v>3</v>
      </c>
      <c r="M5" s="241" t="s">
        <v>29</v>
      </c>
    </row>
    <row r="6" spans="1:14" x14ac:dyDescent="0.2">
      <c r="A6" s="767"/>
      <c r="B6" s="115"/>
      <c r="C6" s="115"/>
      <c r="D6" s="190" t="s">
        <v>4</v>
      </c>
      <c r="E6" s="115" t="s">
        <v>30</v>
      </c>
      <c r="F6" s="119"/>
      <c r="G6" s="119"/>
      <c r="H6" s="189" t="s">
        <v>4</v>
      </c>
      <c r="I6" s="115" t="s">
        <v>30</v>
      </c>
      <c r="J6" s="119"/>
      <c r="K6" s="119"/>
      <c r="L6" s="189" t="s">
        <v>4</v>
      </c>
      <c r="M6" s="115" t="s">
        <v>30</v>
      </c>
    </row>
    <row r="7" spans="1:14" ht="15.75" x14ac:dyDescent="0.2">
      <c r="A7" s="11" t="s">
        <v>23</v>
      </c>
      <c r="B7" s="242">
        <v>7639</v>
      </c>
      <c r="C7" s="243">
        <v>12531</v>
      </c>
      <c r="D7" s="278">
        <f>IF(B7=0, "    ---- ", IF(ABS(ROUND(100/B7*C7-100,1))&lt;999,ROUND(100/B7*C7-100,1),IF(ROUND(100/B7*C7-100,1)&gt;999,999,-999)))</f>
        <v>64</v>
      </c>
      <c r="E7" s="8">
        <f>IFERROR(100/'Skjema total MA'!C7*C7,0)</f>
        <v>0.22684655577024274</v>
      </c>
      <c r="F7" s="242"/>
      <c r="G7" s="243"/>
      <c r="H7" s="278"/>
      <c r="I7" s="118"/>
      <c r="J7" s="244">
        <f t="shared" ref="J7:K10" si="0">SUM(B7,F7)</f>
        <v>7639</v>
      </c>
      <c r="K7" s="245">
        <f t="shared" si="0"/>
        <v>12531</v>
      </c>
      <c r="L7" s="338">
        <f>IF(J7=0, "    ---- ", IF(ABS(ROUND(100/J7*K7-100,1))&lt;999,ROUND(100/J7*K7-100,1),IF(ROUND(100/J7*K7-100,1)&gt;999,999,-999)))</f>
        <v>64</v>
      </c>
      <c r="M7" s="8">
        <f>IFERROR(100/'Skjema total MA'!I7*K7,0)</f>
        <v>6.3488731210245994E-2</v>
      </c>
    </row>
    <row r="8" spans="1:14" ht="15.75" x14ac:dyDescent="0.2">
      <c r="A8" s="18" t="s">
        <v>25</v>
      </c>
      <c r="B8" s="219">
        <v>3978</v>
      </c>
      <c r="C8" s="220">
        <v>6782</v>
      </c>
      <c r="D8" s="121">
        <f t="shared" ref="D8:D10" si="1">IF(B8=0, "    ---- ", IF(ABS(ROUND(100/B8*C8-100,1))&lt;999,ROUND(100/B8*C8-100,1),IF(ROUND(100/B8*C8-100,1)&gt;999,999,-999)))</f>
        <v>70.5</v>
      </c>
      <c r="E8" s="23">
        <f>IFERROR(100/'Skjema total MA'!C8*C8,0)</f>
        <v>0.18489685311447177</v>
      </c>
      <c r="F8" s="223"/>
      <c r="G8" s="224"/>
      <c r="H8" s="121"/>
      <c r="I8" s="129"/>
      <c r="J8" s="178">
        <f t="shared" si="0"/>
        <v>3978</v>
      </c>
      <c r="K8" s="225">
        <f t="shared" si="0"/>
        <v>6782</v>
      </c>
      <c r="L8" s="121">
        <f t="shared" ref="L8:L10" si="2">IF(J8=0, "    ---- ", IF(ABS(ROUND(100/J8*K8-100,1))&lt;999,ROUND(100/J8*K8-100,1),IF(ROUND(100/J8*K8-100,1)&gt;999,999,-999)))</f>
        <v>70.5</v>
      </c>
      <c r="M8" s="23">
        <f>IFERROR(100/'Skjema total MA'!I8*K8,0)</f>
        <v>0.18489685311447177</v>
      </c>
    </row>
    <row r="9" spans="1:14" ht="15.75" x14ac:dyDescent="0.2">
      <c r="A9" s="18" t="s">
        <v>24</v>
      </c>
      <c r="B9" s="219">
        <v>1739</v>
      </c>
      <c r="C9" s="220">
        <v>2564</v>
      </c>
      <c r="D9" s="121">
        <f t="shared" si="1"/>
        <v>47.4</v>
      </c>
      <c r="E9" s="23">
        <f>IFERROR(100/'Skjema total MA'!C9*C9,0)</f>
        <v>0.23511979501142888</v>
      </c>
      <c r="F9" s="223"/>
      <c r="G9" s="224"/>
      <c r="H9" s="121"/>
      <c r="I9" s="129"/>
      <c r="J9" s="178">
        <f t="shared" si="0"/>
        <v>1739</v>
      </c>
      <c r="K9" s="225">
        <f t="shared" si="0"/>
        <v>2564</v>
      </c>
      <c r="L9" s="121">
        <f t="shared" si="2"/>
        <v>47.4</v>
      </c>
      <c r="M9" s="23">
        <f>IFERROR(100/'Skjema total MA'!I9*K9,0)</f>
        <v>0.23511979501142888</v>
      </c>
    </row>
    <row r="10" spans="1:14" ht="15.75" x14ac:dyDescent="0.2">
      <c r="A10" s="10" t="s">
        <v>386</v>
      </c>
      <c r="B10" s="246">
        <v>3043</v>
      </c>
      <c r="C10" s="247">
        <v>3683</v>
      </c>
      <c r="D10" s="125">
        <f t="shared" si="1"/>
        <v>21</v>
      </c>
      <c r="E10" s="8">
        <f>IFERROR(100/'Skjema total MA'!C10*C10,0)</f>
        <v>2.4074816197261852E-2</v>
      </c>
      <c r="F10" s="246"/>
      <c r="G10" s="247"/>
      <c r="H10" s="125"/>
      <c r="I10" s="118"/>
      <c r="J10" s="244">
        <f t="shared" si="0"/>
        <v>3043</v>
      </c>
      <c r="K10" s="245">
        <f t="shared" si="0"/>
        <v>3683</v>
      </c>
      <c r="L10" s="339">
        <f t="shared" si="2"/>
        <v>21</v>
      </c>
      <c r="M10" s="8">
        <f>IFERROR(100/'Skjema total MA'!I10*K10,0)</f>
        <v>3.1464445182755501E-3</v>
      </c>
    </row>
    <row r="11" spans="1:14" s="35" customFormat="1" ht="15.75" x14ac:dyDescent="0.2">
      <c r="A11" s="10" t="s">
        <v>387</v>
      </c>
      <c r="B11" s="246"/>
      <c r="C11" s="247"/>
      <c r="D11" s="125"/>
      <c r="E11" s="8"/>
      <c r="F11" s="246"/>
      <c r="G11" s="247"/>
      <c r="H11" s="125"/>
      <c r="I11" s="118"/>
      <c r="J11" s="244"/>
      <c r="K11" s="245"/>
      <c r="L11" s="339"/>
      <c r="M11" s="8"/>
      <c r="N11" s="107"/>
    </row>
    <row r="12" spans="1:14" s="35" customFormat="1" ht="15.75" x14ac:dyDescent="0.2">
      <c r="A12" s="33" t="s">
        <v>388</v>
      </c>
      <c r="B12" s="248"/>
      <c r="C12" s="249"/>
      <c r="D12" s="123"/>
      <c r="E12" s="30"/>
      <c r="F12" s="248"/>
      <c r="G12" s="249"/>
      <c r="H12" s="123"/>
      <c r="I12" s="123"/>
      <c r="J12" s="250"/>
      <c r="K12" s="251"/>
      <c r="L12" s="340"/>
      <c r="M12" s="30"/>
      <c r="N12" s="107"/>
    </row>
    <row r="13" spans="1:14" s="35" customFormat="1" x14ac:dyDescent="0.2">
      <c r="A13" s="107"/>
      <c r="B13" s="109"/>
      <c r="C13" s="27"/>
      <c r="D13" s="117"/>
      <c r="E13" s="117"/>
      <c r="F13" s="109"/>
      <c r="G13" s="27"/>
      <c r="H13" s="117"/>
      <c r="I13" s="117"/>
      <c r="J13" s="38"/>
      <c r="K13" s="38"/>
      <c r="L13" s="117"/>
      <c r="M13" s="117"/>
      <c r="N13" s="107"/>
    </row>
    <row r="14" spans="1:14" x14ac:dyDescent="0.2">
      <c r="A14" s="113" t="s">
        <v>244</v>
      </c>
    </row>
    <row r="16" spans="1:14" ht="15.75" x14ac:dyDescent="0.25">
      <c r="A16" s="114"/>
      <c r="C16" s="106"/>
      <c r="D16" s="106"/>
      <c r="E16" s="106"/>
      <c r="F16" s="106"/>
      <c r="G16" s="106"/>
      <c r="H16" s="106"/>
      <c r="I16" s="106"/>
      <c r="J16" s="106"/>
      <c r="K16" s="106"/>
      <c r="L16" s="106"/>
      <c r="M16" s="106"/>
    </row>
    <row r="17" spans="1:13" ht="15.75" x14ac:dyDescent="0.25">
      <c r="A17" s="110" t="s">
        <v>241</v>
      </c>
      <c r="B17" s="106"/>
      <c r="C17" s="106"/>
      <c r="D17" s="112"/>
      <c r="E17" s="112"/>
      <c r="F17" s="106"/>
      <c r="G17" s="106"/>
      <c r="H17" s="106"/>
      <c r="I17" s="106"/>
      <c r="J17" s="106"/>
      <c r="K17" s="106"/>
      <c r="L17" s="106"/>
      <c r="M17" s="106"/>
    </row>
    <row r="18" spans="1:13" ht="15.75" x14ac:dyDescent="0.25">
      <c r="B18" s="793"/>
      <c r="C18" s="793"/>
      <c r="D18" s="793"/>
      <c r="E18" s="236"/>
      <c r="F18" s="793"/>
      <c r="G18" s="793"/>
      <c r="H18" s="793"/>
      <c r="I18" s="236"/>
      <c r="J18" s="793"/>
      <c r="K18" s="793"/>
      <c r="L18" s="793"/>
      <c r="M18" s="236"/>
    </row>
    <row r="19" spans="1:13" x14ac:dyDescent="0.2">
      <c r="A19" s="108"/>
      <c r="B19" s="790" t="s">
        <v>0</v>
      </c>
      <c r="C19" s="791"/>
      <c r="D19" s="791"/>
      <c r="E19" s="238"/>
      <c r="F19" s="790" t="s">
        <v>1</v>
      </c>
      <c r="G19" s="791"/>
      <c r="H19" s="791"/>
      <c r="I19" s="240"/>
      <c r="J19" s="790" t="s">
        <v>2</v>
      </c>
      <c r="K19" s="791"/>
      <c r="L19" s="791"/>
      <c r="M19" s="240"/>
    </row>
    <row r="20" spans="1:13" x14ac:dyDescent="0.2">
      <c r="A20" s="105" t="s">
        <v>5</v>
      </c>
      <c r="B20" s="17">
        <v>45291</v>
      </c>
      <c r="C20" s="17">
        <v>45657</v>
      </c>
      <c r="D20" s="189" t="s">
        <v>3</v>
      </c>
      <c r="E20" s="241" t="s">
        <v>29</v>
      </c>
      <c r="F20" s="17">
        <v>45291</v>
      </c>
      <c r="G20" s="17">
        <v>45657</v>
      </c>
      <c r="H20" s="189" t="s">
        <v>3</v>
      </c>
      <c r="I20" s="241" t="s">
        <v>29</v>
      </c>
      <c r="J20" s="17">
        <v>45291</v>
      </c>
      <c r="K20" s="17">
        <v>45657</v>
      </c>
      <c r="L20" s="189" t="s">
        <v>3</v>
      </c>
      <c r="M20" s="241" t="s">
        <v>29</v>
      </c>
    </row>
    <row r="21" spans="1:13" x14ac:dyDescent="0.2">
      <c r="A21" s="768"/>
      <c r="B21" s="115"/>
      <c r="C21" s="115"/>
      <c r="D21" s="190" t="s">
        <v>4</v>
      </c>
      <c r="E21" s="115" t="s">
        <v>30</v>
      </c>
      <c r="F21" s="119"/>
      <c r="G21" s="119"/>
      <c r="H21" s="189" t="s">
        <v>4</v>
      </c>
      <c r="I21" s="115" t="s">
        <v>30</v>
      </c>
      <c r="J21" s="119"/>
      <c r="K21" s="119"/>
      <c r="L21" s="115" t="s">
        <v>4</v>
      </c>
      <c r="M21" s="115" t="s">
        <v>30</v>
      </c>
    </row>
    <row r="22" spans="1:13" ht="15.75" x14ac:dyDescent="0.2">
      <c r="A22" s="11" t="s">
        <v>23</v>
      </c>
      <c r="B22" s="246">
        <v>1239</v>
      </c>
      <c r="C22" s="246">
        <v>2944</v>
      </c>
      <c r="D22" s="278">
        <f t="shared" ref="D22:D37" si="3">IF(B22=0, "    ---- ", IF(ABS(ROUND(100/B22*C22-100,1))&lt;999,ROUND(100/B22*C22-100,1),IF(ROUND(100/B22*C22-100,1)&gt;999,999,-999)))</f>
        <v>137.6</v>
      </c>
      <c r="E22" s="8">
        <f>IFERROR(100/'Skjema total MA'!C22*C22,0)</f>
        <v>0.12088436412564581</v>
      </c>
      <c r="F22" s="254"/>
      <c r="G22" s="254"/>
      <c r="H22" s="278"/>
      <c r="I22" s="8"/>
      <c r="J22" s="252">
        <f t="shared" ref="J22:K37" si="4">SUM(B22,F22)</f>
        <v>1239</v>
      </c>
      <c r="K22" s="252">
        <f t="shared" si="4"/>
        <v>2944</v>
      </c>
      <c r="L22" s="338">
        <f t="shared" ref="L22:L30" si="5">IF(J22=0, "    ---- ", IF(ABS(ROUND(100/J22*K22-100,1))&lt;999,ROUND(100/J22*K22-100,1),IF(ROUND(100/J22*K22-100,1)&gt;999,999,-999)))</f>
        <v>137.6</v>
      </c>
      <c r="M22" s="21">
        <f>IFERROR(100/'Skjema total MA'!I22*K22,0)</f>
        <v>8.5196818534785557E-2</v>
      </c>
    </row>
    <row r="23" spans="1:13" ht="15.75" x14ac:dyDescent="0.2">
      <c r="A23" s="379" t="s">
        <v>389</v>
      </c>
      <c r="B23" s="219"/>
      <c r="C23" s="219">
        <v>2944</v>
      </c>
      <c r="D23" s="121" t="str">
        <f t="shared" si="3"/>
        <v xml:space="preserve">    ---- </v>
      </c>
      <c r="E23" s="8">
        <f>IFERROR(100/'Skjema total MA'!C23*C23,0)</f>
        <v>0.20351825908023016</v>
      </c>
      <c r="F23" s="228"/>
      <c r="G23" s="228"/>
      <c r="H23" s="121"/>
      <c r="I23" s="331"/>
      <c r="J23" s="228"/>
      <c r="K23" s="228">
        <f t="shared" si="4"/>
        <v>2944</v>
      </c>
      <c r="L23" s="121" t="str">
        <f t="shared" si="5"/>
        <v xml:space="preserve">    ---- </v>
      </c>
      <c r="M23" s="20">
        <f>IFERROR(100/'Skjema total MA'!I23*K23,0)</f>
        <v>0.19701169982687636</v>
      </c>
    </row>
    <row r="24" spans="1:13" ht="15.75" x14ac:dyDescent="0.2">
      <c r="A24" s="379" t="s">
        <v>390</v>
      </c>
      <c r="B24" s="219"/>
      <c r="C24" s="219"/>
      <c r="D24" s="121"/>
      <c r="E24" s="8"/>
      <c r="F24" s="228"/>
      <c r="G24" s="228"/>
      <c r="H24" s="121"/>
      <c r="I24" s="331"/>
      <c r="J24" s="228"/>
      <c r="K24" s="228"/>
      <c r="L24" s="121"/>
      <c r="M24" s="20"/>
    </row>
    <row r="25" spans="1:13" ht="15.75" x14ac:dyDescent="0.2">
      <c r="A25" s="379" t="s">
        <v>391</v>
      </c>
      <c r="B25" s="219"/>
      <c r="C25" s="219"/>
      <c r="D25" s="121"/>
      <c r="E25" s="8"/>
      <c r="F25" s="228"/>
      <c r="G25" s="228"/>
      <c r="H25" s="121"/>
      <c r="I25" s="331"/>
      <c r="J25" s="228"/>
      <c r="K25" s="228"/>
      <c r="L25" s="121"/>
      <c r="M25" s="20"/>
    </row>
    <row r="26" spans="1:13" ht="15.75" x14ac:dyDescent="0.2">
      <c r="A26" s="379" t="s">
        <v>392</v>
      </c>
      <c r="B26" s="219"/>
      <c r="C26" s="219"/>
      <c r="D26" s="121"/>
      <c r="E26" s="8"/>
      <c r="F26" s="228"/>
      <c r="G26" s="228"/>
      <c r="H26" s="121"/>
      <c r="I26" s="331"/>
      <c r="J26" s="228"/>
      <c r="K26" s="228"/>
      <c r="L26" s="121"/>
      <c r="M26" s="20"/>
    </row>
    <row r="27" spans="1:13" x14ac:dyDescent="0.2">
      <c r="A27" s="379" t="s">
        <v>11</v>
      </c>
      <c r="B27" s="219"/>
      <c r="C27" s="219"/>
      <c r="D27" s="121"/>
      <c r="E27" s="8"/>
      <c r="F27" s="228"/>
      <c r="G27" s="228"/>
      <c r="H27" s="121"/>
      <c r="I27" s="331"/>
      <c r="J27" s="228"/>
      <c r="K27" s="228"/>
      <c r="L27" s="121"/>
      <c r="M27" s="20"/>
    </row>
    <row r="28" spans="1:13" ht="15.75" x14ac:dyDescent="0.2">
      <c r="A28" s="39" t="s">
        <v>245</v>
      </c>
      <c r="B28" s="36">
        <v>1239</v>
      </c>
      <c r="C28" s="225">
        <v>1974</v>
      </c>
      <c r="D28" s="121">
        <f t="shared" si="3"/>
        <v>59.3</v>
      </c>
      <c r="E28" s="8">
        <f>IFERROR(100/'Skjema total MA'!C28*C28,0)</f>
        <v>6.9067107089383947E-2</v>
      </c>
      <c r="F28" s="178"/>
      <c r="G28" s="225"/>
      <c r="H28" s="121"/>
      <c r="I28" s="23"/>
      <c r="J28" s="36">
        <f t="shared" si="4"/>
        <v>1239</v>
      </c>
      <c r="K28" s="36">
        <f t="shared" si="4"/>
        <v>1974</v>
      </c>
      <c r="L28" s="198">
        <f t="shared" si="5"/>
        <v>59.3</v>
      </c>
      <c r="M28" s="20">
        <f>IFERROR(100/'Skjema total MA'!I28*K28,0)</f>
        <v>6.9067107089383947E-2</v>
      </c>
    </row>
    <row r="29" spans="1:13" ht="15.75" x14ac:dyDescent="0.2">
      <c r="A29" s="10" t="s">
        <v>386</v>
      </c>
      <c r="B29" s="180">
        <v>1531</v>
      </c>
      <c r="C29" s="180">
        <v>9156</v>
      </c>
      <c r="D29" s="125">
        <f t="shared" si="3"/>
        <v>498</v>
      </c>
      <c r="E29" s="8">
        <f>IFERROR(100/'Skjema total MA'!C29*C29,0)</f>
        <v>2.1028423034892406E-2</v>
      </c>
      <c r="F29" s="244"/>
      <c r="G29" s="244"/>
      <c r="H29" s="125"/>
      <c r="I29" s="8"/>
      <c r="J29" s="180">
        <f t="shared" si="4"/>
        <v>1531</v>
      </c>
      <c r="K29" s="180">
        <f t="shared" si="4"/>
        <v>9156</v>
      </c>
      <c r="L29" s="339">
        <f t="shared" si="5"/>
        <v>498</v>
      </c>
      <c r="M29" s="21">
        <f>IFERROR(100/'Skjema total MA'!I29*K29,0)</f>
        <v>1.2503119206058094E-2</v>
      </c>
    </row>
    <row r="30" spans="1:13" ht="15.75" x14ac:dyDescent="0.2">
      <c r="A30" s="379" t="s">
        <v>389</v>
      </c>
      <c r="B30" s="219"/>
      <c r="C30" s="219">
        <v>9156</v>
      </c>
      <c r="D30" s="121" t="str">
        <f t="shared" si="3"/>
        <v xml:space="preserve">    ---- </v>
      </c>
      <c r="E30" s="8">
        <f>IFERROR(100/'Skjema total MA'!C30*C30,0)</f>
        <v>5.1002386856342008E-2</v>
      </c>
      <c r="F30" s="228"/>
      <c r="G30" s="228"/>
      <c r="H30" s="121"/>
      <c r="I30" s="331"/>
      <c r="J30" s="228"/>
      <c r="K30" s="228">
        <f t="shared" si="4"/>
        <v>9156</v>
      </c>
      <c r="L30" s="121" t="str">
        <f t="shared" si="5"/>
        <v xml:space="preserve">    ---- </v>
      </c>
      <c r="M30" s="20">
        <f>IFERROR(100/'Skjema total MA'!I30*K30,0)</f>
        <v>4.2128873289267746E-2</v>
      </c>
    </row>
    <row r="31" spans="1:13" ht="15.75" x14ac:dyDescent="0.2">
      <c r="A31" s="379" t="s">
        <v>390</v>
      </c>
      <c r="B31" s="219"/>
      <c r="C31" s="219"/>
      <c r="D31" s="121"/>
      <c r="E31" s="8"/>
      <c r="F31" s="228"/>
      <c r="G31" s="228"/>
      <c r="H31" s="121"/>
      <c r="I31" s="331"/>
      <c r="J31" s="228"/>
      <c r="K31" s="228"/>
      <c r="L31" s="121"/>
      <c r="M31" s="20"/>
    </row>
    <row r="32" spans="1:13" ht="15.75" x14ac:dyDescent="0.2">
      <c r="A32" s="379" t="s">
        <v>391</v>
      </c>
      <c r="B32" s="219"/>
      <c r="C32" s="219"/>
      <c r="D32" s="121"/>
      <c r="E32" s="8"/>
      <c r="F32" s="228"/>
      <c r="G32" s="228"/>
      <c r="H32" s="121"/>
      <c r="I32" s="331"/>
      <c r="J32" s="228"/>
      <c r="K32" s="228"/>
      <c r="L32" s="121"/>
      <c r="M32" s="20"/>
    </row>
    <row r="33" spans="1:13" ht="15.75" x14ac:dyDescent="0.2">
      <c r="A33" s="379" t="s">
        <v>392</v>
      </c>
      <c r="B33" s="219"/>
      <c r="C33" s="219"/>
      <c r="D33" s="121"/>
      <c r="E33" s="8"/>
      <c r="F33" s="228"/>
      <c r="G33" s="228"/>
      <c r="H33" s="121"/>
      <c r="I33" s="331"/>
      <c r="J33" s="228"/>
      <c r="K33" s="228"/>
      <c r="L33" s="121"/>
      <c r="M33" s="20"/>
    </row>
    <row r="34" spans="1:13" ht="15.75" x14ac:dyDescent="0.2">
      <c r="A34" s="10" t="s">
        <v>387</v>
      </c>
      <c r="B34" s="180"/>
      <c r="C34" s="245"/>
      <c r="D34" s="125"/>
      <c r="E34" s="8"/>
      <c r="F34" s="244"/>
      <c r="G34" s="245"/>
      <c r="H34" s="125"/>
      <c r="I34" s="8"/>
      <c r="J34" s="180"/>
      <c r="K34" s="180"/>
      <c r="L34" s="339"/>
      <c r="M34" s="21"/>
    </row>
    <row r="35" spans="1:13" ht="15.75" x14ac:dyDescent="0.2">
      <c r="A35" s="10" t="s">
        <v>388</v>
      </c>
      <c r="B35" s="180"/>
      <c r="C35" s="245"/>
      <c r="D35" s="125"/>
      <c r="E35" s="8"/>
      <c r="F35" s="244"/>
      <c r="G35" s="245"/>
      <c r="H35" s="125"/>
      <c r="I35" s="8"/>
      <c r="J35" s="180"/>
      <c r="K35" s="180"/>
      <c r="L35" s="339"/>
      <c r="M35" s="21"/>
    </row>
    <row r="36" spans="1:13" ht="15.75" x14ac:dyDescent="0.2">
      <c r="A36" s="9" t="s">
        <v>253</v>
      </c>
      <c r="B36" s="180"/>
      <c r="C36" s="245">
        <v>4228</v>
      </c>
      <c r="D36" s="125" t="str">
        <f t="shared" si="3"/>
        <v xml:space="preserve">    ---- </v>
      </c>
      <c r="E36" s="8">
        <f>IFERROR(100/'Skjema total MA'!C36*C36,0)</f>
        <v>46.462932349508947</v>
      </c>
      <c r="F36" s="255"/>
      <c r="G36" s="256"/>
      <c r="H36" s="125"/>
      <c r="I36" s="345"/>
      <c r="J36" s="180"/>
      <c r="K36" s="180">
        <f t="shared" si="4"/>
        <v>4228</v>
      </c>
      <c r="L36" s="339"/>
      <c r="M36" s="21">
        <f>IFERROR(100/'Skjema total MA'!I36*K36,0)</f>
        <v>46.462932349508947</v>
      </c>
    </row>
    <row r="37" spans="1:13" ht="15.75" x14ac:dyDescent="0.2">
      <c r="A37" s="9" t="s">
        <v>394</v>
      </c>
      <c r="B37" s="180"/>
      <c r="C37" s="245">
        <v>3595</v>
      </c>
      <c r="D37" s="125" t="str">
        <f t="shared" si="3"/>
        <v xml:space="preserve">    ---- </v>
      </c>
      <c r="E37" s="8">
        <f>IFERROR(100/'Skjema total MA'!C37*C37,0)</f>
        <v>0.14385000847554028</v>
      </c>
      <c r="F37" s="255"/>
      <c r="G37" s="257"/>
      <c r="H37" s="125"/>
      <c r="I37" s="345"/>
      <c r="J37" s="180"/>
      <c r="K37" s="180">
        <f t="shared" si="4"/>
        <v>3595</v>
      </c>
      <c r="L37" s="339"/>
      <c r="M37" s="21">
        <f>IFERROR(100/'Skjema total MA'!I37*K37,0)</f>
        <v>0.14385000847554028</v>
      </c>
    </row>
    <row r="38" spans="1:13" ht="15.75" x14ac:dyDescent="0.2">
      <c r="A38" s="9" t="s">
        <v>395</v>
      </c>
      <c r="B38" s="180"/>
      <c r="C38" s="245"/>
      <c r="D38" s="343"/>
      <c r="E38" s="21"/>
      <c r="F38" s="255"/>
      <c r="G38" s="256"/>
      <c r="H38" s="125"/>
      <c r="I38" s="345"/>
      <c r="J38" s="180"/>
      <c r="K38" s="180"/>
      <c r="L38" s="339"/>
      <c r="M38" s="21"/>
    </row>
    <row r="39" spans="1:13" ht="15.75" x14ac:dyDescent="0.2">
      <c r="A39" s="15" t="s">
        <v>396</v>
      </c>
      <c r="B39" s="214"/>
      <c r="C39" s="251"/>
      <c r="D39" s="344"/>
      <c r="E39" s="30"/>
      <c r="F39" s="258"/>
      <c r="G39" s="259"/>
      <c r="H39" s="123"/>
      <c r="I39" s="30"/>
      <c r="J39" s="180"/>
      <c r="K39" s="180"/>
      <c r="L39" s="340"/>
      <c r="M39" s="30"/>
    </row>
    <row r="40" spans="1:13" ht="15.75" x14ac:dyDescent="0.25">
      <c r="A40" s="35"/>
      <c r="B40" s="197"/>
      <c r="C40" s="197"/>
      <c r="D40" s="795"/>
      <c r="E40" s="794"/>
      <c r="F40" s="795"/>
      <c r="G40" s="795"/>
      <c r="H40" s="795"/>
      <c r="I40" s="795"/>
      <c r="J40" s="795"/>
      <c r="K40" s="795"/>
      <c r="L40" s="795"/>
      <c r="M40" s="236"/>
    </row>
    <row r="41" spans="1:13" x14ac:dyDescent="0.2">
      <c r="A41" s="114"/>
    </row>
    <row r="42" spans="1:13" ht="15.75" x14ac:dyDescent="0.25">
      <c r="A42" s="110" t="s">
        <v>242</v>
      </c>
      <c r="B42" s="794"/>
      <c r="C42" s="794"/>
      <c r="D42" s="794"/>
      <c r="E42" s="236"/>
      <c r="F42" s="794"/>
      <c r="G42" s="794"/>
      <c r="H42" s="794"/>
      <c r="I42" s="236"/>
      <c r="J42" s="794"/>
      <c r="K42" s="794"/>
      <c r="L42" s="794"/>
      <c r="M42" s="236"/>
    </row>
    <row r="43" spans="1:13" ht="15.75" x14ac:dyDescent="0.25">
      <c r="A43" s="120"/>
      <c r="B43" s="239"/>
      <c r="C43" s="239"/>
      <c r="D43" s="239"/>
      <c r="E43" s="239"/>
      <c r="F43" s="236"/>
      <c r="G43" s="236"/>
      <c r="H43" s="236"/>
      <c r="I43" s="236"/>
      <c r="J43" s="236"/>
      <c r="K43" s="236"/>
      <c r="L43" s="236"/>
      <c r="M43" s="236"/>
    </row>
    <row r="44" spans="1:13" ht="15.75" x14ac:dyDescent="0.25">
      <c r="A44" s="191"/>
      <c r="B44" s="790" t="s">
        <v>0</v>
      </c>
      <c r="C44" s="791"/>
      <c r="D44" s="791"/>
      <c r="E44" s="187"/>
      <c r="F44" s="236"/>
      <c r="G44" s="236"/>
      <c r="H44" s="236"/>
      <c r="I44" s="236"/>
      <c r="J44" s="236"/>
      <c r="K44" s="236"/>
      <c r="L44" s="236"/>
      <c r="M44" s="236"/>
    </row>
    <row r="45" spans="1:13" x14ac:dyDescent="0.2">
      <c r="A45" s="105"/>
      <c r="B45" s="17">
        <v>45291</v>
      </c>
      <c r="C45" s="17">
        <v>45657</v>
      </c>
      <c r="D45" s="189" t="s">
        <v>3</v>
      </c>
      <c r="E45" s="241" t="s">
        <v>29</v>
      </c>
      <c r="F45" s="128"/>
      <c r="G45" s="128"/>
      <c r="H45" s="127"/>
      <c r="I45" s="127"/>
      <c r="J45" s="128"/>
      <c r="K45" s="128"/>
      <c r="L45" s="127"/>
      <c r="M45" s="127"/>
    </row>
    <row r="46" spans="1:13" x14ac:dyDescent="0.2">
      <c r="A46" s="768"/>
      <c r="B46" s="188"/>
      <c r="C46" s="188"/>
      <c r="D46" s="189" t="s">
        <v>4</v>
      </c>
      <c r="E46" s="115" t="s">
        <v>30</v>
      </c>
      <c r="F46" s="127"/>
      <c r="G46" s="127"/>
      <c r="H46" s="127"/>
      <c r="I46" s="127"/>
      <c r="J46" s="127"/>
      <c r="K46" s="127"/>
      <c r="L46" s="127"/>
      <c r="M46" s="127"/>
    </row>
    <row r="47" spans="1:13" ht="15.75" x14ac:dyDescent="0.2">
      <c r="A47" s="11" t="s">
        <v>23</v>
      </c>
      <c r="B47" s="246">
        <v>1174</v>
      </c>
      <c r="C47" s="247">
        <v>19703</v>
      </c>
      <c r="D47" s="338">
        <f t="shared" ref="D47:D48" si="6">IF(B47=0, "    ---- ", IF(ABS(ROUND(100/B47*C47-100,1))&lt;999,ROUND(100/B47*C47-100,1),IF(ROUND(100/B47*C47-100,1)&gt;999,999,-999)))</f>
        <v>999</v>
      </c>
      <c r="E47" s="8">
        <f>IFERROR(100/'Skjema total MA'!C47*C47,0)</f>
        <v>0.29944331981847849</v>
      </c>
      <c r="F47" s="109"/>
      <c r="G47" s="27"/>
      <c r="H47" s="117"/>
      <c r="I47" s="117"/>
      <c r="J47" s="31"/>
      <c r="K47" s="31"/>
      <c r="L47" s="117"/>
      <c r="M47" s="117"/>
    </row>
    <row r="48" spans="1:13" ht="15.75" x14ac:dyDescent="0.2">
      <c r="A48" s="18" t="s">
        <v>397</v>
      </c>
      <c r="B48" s="219">
        <v>1174</v>
      </c>
      <c r="C48" s="220">
        <v>19703</v>
      </c>
      <c r="D48" s="198">
        <f t="shared" si="6"/>
        <v>999</v>
      </c>
      <c r="E48" s="23">
        <f>IFERROR(100/'Skjema total MA'!C48*C48,0)</f>
        <v>0.53131959888771463</v>
      </c>
      <c r="F48" s="109"/>
      <c r="G48" s="27"/>
      <c r="H48" s="109"/>
      <c r="I48" s="109"/>
      <c r="J48" s="27"/>
      <c r="K48" s="27"/>
      <c r="L48" s="117"/>
      <c r="M48" s="117"/>
    </row>
    <row r="49" spans="1:13" ht="15.75" x14ac:dyDescent="0.2">
      <c r="A49" s="18" t="s">
        <v>398</v>
      </c>
      <c r="B49" s="36"/>
      <c r="C49" s="225"/>
      <c r="D49" s="198"/>
      <c r="E49" s="23"/>
      <c r="F49" s="109"/>
      <c r="G49" s="27"/>
      <c r="H49" s="109"/>
      <c r="I49" s="109"/>
      <c r="J49" s="31"/>
      <c r="K49" s="31"/>
      <c r="L49" s="117"/>
      <c r="M49" s="117"/>
    </row>
    <row r="50" spans="1:13" x14ac:dyDescent="0.2">
      <c r="A50" s="234" t="s">
        <v>6</v>
      </c>
      <c r="B50" s="228"/>
      <c r="C50" s="229"/>
      <c r="D50" s="198"/>
      <c r="E50" s="20"/>
      <c r="F50" s="109"/>
      <c r="G50" s="27"/>
      <c r="H50" s="109"/>
      <c r="I50" s="109"/>
      <c r="J50" s="27"/>
      <c r="K50" s="27"/>
      <c r="L50" s="117"/>
      <c r="M50" s="117"/>
    </row>
    <row r="51" spans="1:13" x14ac:dyDescent="0.2">
      <c r="A51" s="234" t="s">
        <v>7</v>
      </c>
      <c r="B51" s="228"/>
      <c r="C51" s="229"/>
      <c r="D51" s="198"/>
      <c r="E51" s="20"/>
      <c r="F51" s="109"/>
      <c r="G51" s="27"/>
      <c r="H51" s="109"/>
      <c r="I51" s="109"/>
      <c r="J51" s="27"/>
      <c r="K51" s="27"/>
      <c r="L51" s="117"/>
      <c r="M51" s="117"/>
    </row>
    <row r="52" spans="1:13" x14ac:dyDescent="0.2">
      <c r="A52" s="234" t="s">
        <v>8</v>
      </c>
      <c r="B52" s="228"/>
      <c r="C52" s="229"/>
      <c r="D52" s="198"/>
      <c r="E52" s="20"/>
      <c r="F52" s="109"/>
      <c r="G52" s="27"/>
      <c r="H52" s="109"/>
      <c r="I52" s="109"/>
      <c r="J52" s="27"/>
      <c r="K52" s="27"/>
      <c r="L52" s="117"/>
      <c r="M52" s="117"/>
    </row>
    <row r="53" spans="1:13" ht="15.75" x14ac:dyDescent="0.2">
      <c r="A53" s="10" t="s">
        <v>399</v>
      </c>
      <c r="B53" s="246"/>
      <c r="C53" s="247"/>
      <c r="D53" s="339"/>
      <c r="E53" s="8"/>
      <c r="F53" s="109"/>
      <c r="G53" s="27"/>
      <c r="H53" s="109"/>
      <c r="I53" s="109"/>
      <c r="J53" s="27"/>
      <c r="K53" s="27"/>
      <c r="L53" s="117"/>
      <c r="M53" s="117"/>
    </row>
    <row r="54" spans="1:13" ht="15.75" x14ac:dyDescent="0.2">
      <c r="A54" s="18" t="s">
        <v>397</v>
      </c>
      <c r="B54" s="219"/>
      <c r="C54" s="220"/>
      <c r="D54" s="198"/>
      <c r="E54" s="23"/>
      <c r="F54" s="109"/>
      <c r="G54" s="27"/>
      <c r="H54" s="109"/>
      <c r="I54" s="109"/>
      <c r="J54" s="27"/>
      <c r="K54" s="27"/>
      <c r="L54" s="117"/>
      <c r="M54" s="117"/>
    </row>
    <row r="55" spans="1:13" ht="15.75" x14ac:dyDescent="0.2">
      <c r="A55" s="18" t="s">
        <v>398</v>
      </c>
      <c r="B55" s="219"/>
      <c r="C55" s="220"/>
      <c r="D55" s="198"/>
      <c r="E55" s="23"/>
      <c r="F55" s="109"/>
      <c r="G55" s="27"/>
      <c r="H55" s="109"/>
      <c r="I55" s="109"/>
      <c r="J55" s="27"/>
      <c r="K55" s="27"/>
      <c r="L55" s="117"/>
      <c r="M55" s="117"/>
    </row>
    <row r="56" spans="1:13" ht="15.75" x14ac:dyDescent="0.2">
      <c r="A56" s="10" t="s">
        <v>400</v>
      </c>
      <c r="B56" s="246"/>
      <c r="C56" s="247"/>
      <c r="D56" s="339"/>
      <c r="E56" s="8"/>
      <c r="F56" s="109"/>
      <c r="G56" s="27"/>
      <c r="H56" s="109"/>
      <c r="I56" s="109"/>
      <c r="J56" s="27"/>
      <c r="K56" s="27"/>
      <c r="L56" s="117"/>
      <c r="M56" s="117"/>
    </row>
    <row r="57" spans="1:13" ht="15.75" x14ac:dyDescent="0.2">
      <c r="A57" s="18" t="s">
        <v>397</v>
      </c>
      <c r="B57" s="219"/>
      <c r="C57" s="220"/>
      <c r="D57" s="198"/>
      <c r="E57" s="23"/>
      <c r="F57" s="109"/>
      <c r="G57" s="27"/>
      <c r="H57" s="109"/>
      <c r="I57" s="109"/>
      <c r="J57" s="27"/>
      <c r="K57" s="27"/>
      <c r="L57" s="117"/>
      <c r="M57" s="117"/>
    </row>
    <row r="58" spans="1:13" ht="15.75" x14ac:dyDescent="0.2">
      <c r="A58" s="7" t="s">
        <v>398</v>
      </c>
      <c r="B58" s="221"/>
      <c r="C58" s="222"/>
      <c r="D58" s="199"/>
      <c r="E58" s="19"/>
      <c r="F58" s="109"/>
      <c r="G58" s="27"/>
      <c r="H58" s="109"/>
      <c r="I58" s="109"/>
      <c r="J58" s="27"/>
      <c r="K58" s="27"/>
      <c r="L58" s="117"/>
      <c r="M58" s="117"/>
    </row>
    <row r="59" spans="1:13" ht="15.75" x14ac:dyDescent="0.25">
      <c r="A59" s="114"/>
      <c r="B59" s="106"/>
      <c r="C59" s="106"/>
      <c r="D59" s="106"/>
      <c r="E59" s="106"/>
      <c r="F59" s="106"/>
      <c r="G59" s="106"/>
      <c r="H59" s="106"/>
      <c r="I59" s="106"/>
      <c r="J59" s="106"/>
      <c r="K59" s="106"/>
      <c r="L59" s="106"/>
      <c r="M59" s="106"/>
    </row>
    <row r="60" spans="1:13" x14ac:dyDescent="0.2">
      <c r="A60" s="114"/>
    </row>
    <row r="61" spans="1:13" ht="15.75" x14ac:dyDescent="0.25">
      <c r="A61" s="110" t="s">
        <v>243</v>
      </c>
    </row>
    <row r="62" spans="1:13" ht="15.75" x14ac:dyDescent="0.25">
      <c r="B62" s="793"/>
      <c r="C62" s="793"/>
      <c r="D62" s="793"/>
      <c r="E62" s="236"/>
      <c r="F62" s="793"/>
      <c r="G62" s="793"/>
      <c r="H62" s="793"/>
      <c r="I62" s="236"/>
      <c r="J62" s="793"/>
      <c r="K62" s="793"/>
      <c r="L62" s="793"/>
      <c r="M62" s="236"/>
    </row>
    <row r="63" spans="1:13" x14ac:dyDescent="0.2">
      <c r="A63" s="108"/>
      <c r="B63" s="790" t="s">
        <v>0</v>
      </c>
      <c r="C63" s="791"/>
      <c r="D63" s="792"/>
      <c r="E63" s="237"/>
      <c r="F63" s="791" t="s">
        <v>1</v>
      </c>
      <c r="G63" s="791"/>
      <c r="H63" s="791"/>
      <c r="I63" s="240"/>
      <c r="J63" s="790" t="s">
        <v>2</v>
      </c>
      <c r="K63" s="791"/>
      <c r="L63" s="791"/>
      <c r="M63" s="240"/>
    </row>
    <row r="64" spans="1:13" x14ac:dyDescent="0.2">
      <c r="A64" s="105"/>
      <c r="B64" s="17">
        <v>45291</v>
      </c>
      <c r="C64" s="17">
        <v>45657</v>
      </c>
      <c r="D64" s="189" t="s">
        <v>3</v>
      </c>
      <c r="E64" s="241" t="s">
        <v>29</v>
      </c>
      <c r="F64" s="17">
        <v>45291</v>
      </c>
      <c r="G64" s="17">
        <v>45657</v>
      </c>
      <c r="H64" s="189" t="s">
        <v>3</v>
      </c>
      <c r="I64" s="241" t="s">
        <v>29</v>
      </c>
      <c r="J64" s="17">
        <v>45291</v>
      </c>
      <c r="K64" s="17">
        <v>45657</v>
      </c>
      <c r="L64" s="189" t="s">
        <v>3</v>
      </c>
      <c r="M64" s="241" t="s">
        <v>29</v>
      </c>
    </row>
    <row r="65" spans="1:13" x14ac:dyDescent="0.2">
      <c r="A65" s="768"/>
      <c r="B65" s="115"/>
      <c r="C65" s="115"/>
      <c r="D65" s="190" t="s">
        <v>4</v>
      </c>
      <c r="E65" s="115" t="s">
        <v>30</v>
      </c>
      <c r="F65" s="119"/>
      <c r="G65" s="119"/>
      <c r="H65" s="189" t="s">
        <v>4</v>
      </c>
      <c r="I65" s="115" t="s">
        <v>30</v>
      </c>
      <c r="J65" s="119"/>
      <c r="K65" s="154"/>
      <c r="L65" s="115" t="s">
        <v>4</v>
      </c>
      <c r="M65" s="115" t="s">
        <v>30</v>
      </c>
    </row>
    <row r="66" spans="1:13" ht="15.75" x14ac:dyDescent="0.2">
      <c r="A66" s="11" t="s">
        <v>23</v>
      </c>
      <c r="B66" s="281">
        <v>14242</v>
      </c>
      <c r="C66" s="281">
        <v>24403</v>
      </c>
      <c r="D66" s="278">
        <f t="shared" ref="D66:D122" si="7">IF(B66=0, "    ---- ", IF(ABS(ROUND(100/B66*C66-100,1))&lt;999,ROUND(100/B66*C66-100,1),IF(ROUND(100/B66*C66-100,1)&gt;999,999,-999)))</f>
        <v>71.3</v>
      </c>
      <c r="E66" s="8">
        <f>IFERROR(100/'Skjema total MA'!C66*C66,0)</f>
        <v>0.27676337379185006</v>
      </c>
      <c r="F66" s="280"/>
      <c r="G66" s="280"/>
      <c r="H66" s="278"/>
      <c r="I66" s="8"/>
      <c r="J66" s="245">
        <f t="shared" ref="J66:K76" si="8">SUM(B66,F66)</f>
        <v>14242</v>
      </c>
      <c r="K66" s="252">
        <f t="shared" si="8"/>
        <v>24403</v>
      </c>
      <c r="L66" s="339">
        <f t="shared" ref="L66:L122" si="9">IF(J66=0, "    ---- ", IF(ABS(ROUND(100/J66*K66-100,1))&lt;999,ROUND(100/J66*K66-100,1),IF(ROUND(100/J66*K66-100,1)&gt;999,999,-999)))</f>
        <v>71.3</v>
      </c>
      <c r="M66" s="8">
        <f>IFERROR(100/'Skjema total MA'!I66*K66,0)</f>
        <v>3.8407318778757707E-2</v>
      </c>
    </row>
    <row r="67" spans="1:13" x14ac:dyDescent="0.2">
      <c r="A67" s="39" t="s">
        <v>9</v>
      </c>
      <c r="B67" s="36"/>
      <c r="C67" s="109"/>
      <c r="D67" s="121"/>
      <c r="E67" s="23"/>
      <c r="F67" s="178"/>
      <c r="G67" s="109"/>
      <c r="H67" s="121"/>
      <c r="I67" s="23"/>
      <c r="J67" s="225"/>
      <c r="K67" s="36"/>
      <c r="L67" s="198"/>
      <c r="M67" s="23"/>
    </row>
    <row r="68" spans="1:13" x14ac:dyDescent="0.2">
      <c r="A68" s="18" t="s">
        <v>10</v>
      </c>
      <c r="B68" s="230"/>
      <c r="C68" s="231"/>
      <c r="D68" s="121"/>
      <c r="E68" s="23"/>
      <c r="F68" s="230"/>
      <c r="G68" s="231"/>
      <c r="H68" s="121"/>
      <c r="I68" s="23"/>
      <c r="J68" s="225"/>
      <c r="K68" s="36"/>
      <c r="L68" s="198"/>
      <c r="M68" s="23"/>
    </row>
    <row r="69" spans="1:13" ht="15.75" x14ac:dyDescent="0.2">
      <c r="A69" s="234" t="s">
        <v>401</v>
      </c>
      <c r="B69" s="219"/>
      <c r="C69" s="219"/>
      <c r="D69" s="121"/>
      <c r="E69" s="331"/>
      <c r="F69" s="219"/>
      <c r="G69" s="219"/>
      <c r="H69" s="121"/>
      <c r="I69" s="331"/>
      <c r="J69" s="228"/>
      <c r="K69" s="228"/>
      <c r="L69" s="121"/>
      <c r="M69" s="20"/>
    </row>
    <row r="70" spans="1:13" x14ac:dyDescent="0.2">
      <c r="A70" s="234" t="s">
        <v>12</v>
      </c>
      <c r="B70" s="232"/>
      <c r="C70" s="233"/>
      <c r="D70" s="121"/>
      <c r="E70" s="331"/>
      <c r="F70" s="219"/>
      <c r="G70" s="219"/>
      <c r="H70" s="121"/>
      <c r="I70" s="331"/>
      <c r="J70" s="228"/>
      <c r="K70" s="228"/>
      <c r="L70" s="121"/>
      <c r="M70" s="20"/>
    </row>
    <row r="71" spans="1:13" x14ac:dyDescent="0.2">
      <c r="A71" s="234" t="s">
        <v>13</v>
      </c>
      <c r="B71" s="179"/>
      <c r="C71" s="227"/>
      <c r="D71" s="121"/>
      <c r="E71" s="331"/>
      <c r="F71" s="219"/>
      <c r="G71" s="219"/>
      <c r="H71" s="121"/>
      <c r="I71" s="331"/>
      <c r="J71" s="228"/>
      <c r="K71" s="228"/>
      <c r="L71" s="121"/>
      <c r="M71" s="20"/>
    </row>
    <row r="72" spans="1:13" ht="15.75" x14ac:dyDescent="0.2">
      <c r="A72" s="234" t="s">
        <v>402</v>
      </c>
      <c r="B72" s="219"/>
      <c r="C72" s="219"/>
      <c r="D72" s="121"/>
      <c r="E72" s="331"/>
      <c r="F72" s="219"/>
      <c r="G72" s="219"/>
      <c r="H72" s="121"/>
      <c r="I72" s="331"/>
      <c r="J72" s="228"/>
      <c r="K72" s="228"/>
      <c r="L72" s="121"/>
      <c r="M72" s="20"/>
    </row>
    <row r="73" spans="1:13" x14ac:dyDescent="0.2">
      <c r="A73" s="234" t="s">
        <v>12</v>
      </c>
      <c r="B73" s="179"/>
      <c r="C73" s="227"/>
      <c r="D73" s="121"/>
      <c r="E73" s="331"/>
      <c r="F73" s="219"/>
      <c r="G73" s="219"/>
      <c r="H73" s="121"/>
      <c r="I73" s="331"/>
      <c r="J73" s="228"/>
      <c r="K73" s="228"/>
      <c r="L73" s="121"/>
      <c r="M73" s="20"/>
    </row>
    <row r="74" spans="1:13" x14ac:dyDescent="0.2">
      <c r="A74" s="234" t="s">
        <v>13</v>
      </c>
      <c r="B74" s="179"/>
      <c r="C74" s="227"/>
      <c r="D74" s="121"/>
      <c r="E74" s="331"/>
      <c r="F74" s="219"/>
      <c r="G74" s="219"/>
      <c r="H74" s="121"/>
      <c r="I74" s="331"/>
      <c r="J74" s="228"/>
      <c r="K74" s="228"/>
      <c r="L74" s="121"/>
      <c r="M74" s="20"/>
    </row>
    <row r="75" spans="1:13" x14ac:dyDescent="0.2">
      <c r="A75" s="18" t="s">
        <v>308</v>
      </c>
      <c r="B75" s="178"/>
      <c r="C75" s="109"/>
      <c r="D75" s="121"/>
      <c r="E75" s="23"/>
      <c r="F75" s="178"/>
      <c r="G75" s="109"/>
      <c r="H75" s="121"/>
      <c r="I75" s="23"/>
      <c r="J75" s="225"/>
      <c r="K75" s="36"/>
      <c r="L75" s="198"/>
      <c r="M75" s="23"/>
    </row>
    <row r="76" spans="1:13" x14ac:dyDescent="0.2">
      <c r="A76" s="18" t="s">
        <v>307</v>
      </c>
      <c r="B76" s="178">
        <v>14242</v>
      </c>
      <c r="C76" s="109">
        <v>24403</v>
      </c>
      <c r="D76" s="121">
        <f t="shared" si="7"/>
        <v>71.3</v>
      </c>
      <c r="E76" s="23">
        <f>IFERROR(100/'Skjema total MA'!C77*C76,0)</f>
        <v>0.52122878822708085</v>
      </c>
      <c r="F76" s="178"/>
      <c r="G76" s="109"/>
      <c r="H76" s="121"/>
      <c r="I76" s="23"/>
      <c r="J76" s="225">
        <f t="shared" si="8"/>
        <v>14242</v>
      </c>
      <c r="K76" s="36">
        <f t="shared" si="8"/>
        <v>24403</v>
      </c>
      <c r="L76" s="198">
        <f t="shared" si="9"/>
        <v>71.3</v>
      </c>
      <c r="M76" s="23">
        <f>IFERROR(100/'Skjema total MA'!I77*K76,0)</f>
        <v>4.2600300622384929E-2</v>
      </c>
    </row>
    <row r="77" spans="1:13" ht="15.75" x14ac:dyDescent="0.2">
      <c r="A77" s="18" t="s">
        <v>403</v>
      </c>
      <c r="B77" s="178"/>
      <c r="C77" s="178"/>
      <c r="D77" s="121"/>
      <c r="E77" s="23"/>
      <c r="F77" s="178"/>
      <c r="G77" s="109"/>
      <c r="H77" s="121"/>
      <c r="I77" s="23"/>
      <c r="J77" s="225"/>
      <c r="K77" s="36"/>
      <c r="L77" s="198"/>
      <c r="M77" s="23"/>
    </row>
    <row r="78" spans="1:13" x14ac:dyDescent="0.2">
      <c r="A78" s="18" t="s">
        <v>9</v>
      </c>
      <c r="B78" s="178"/>
      <c r="C78" s="109"/>
      <c r="D78" s="121"/>
      <c r="E78" s="23"/>
      <c r="F78" s="178"/>
      <c r="G78" s="109"/>
      <c r="H78" s="121"/>
      <c r="I78" s="23"/>
      <c r="J78" s="225"/>
      <c r="K78" s="36"/>
      <c r="L78" s="198"/>
      <c r="M78" s="23"/>
    </row>
    <row r="79" spans="1:13" x14ac:dyDescent="0.2">
      <c r="A79" s="18" t="s">
        <v>429</v>
      </c>
      <c r="B79" s="230"/>
      <c r="C79" s="231"/>
      <c r="D79" s="121"/>
      <c r="E79" s="23"/>
      <c r="F79" s="230"/>
      <c r="G79" s="231"/>
      <c r="H79" s="121"/>
      <c r="I79" s="23"/>
      <c r="J79" s="225"/>
      <c r="K79" s="36"/>
      <c r="L79" s="198"/>
      <c r="M79" s="23"/>
    </row>
    <row r="80" spans="1:13" ht="15.75" x14ac:dyDescent="0.2">
      <c r="A80" s="234" t="s">
        <v>401</v>
      </c>
      <c r="B80" s="219"/>
      <c r="C80" s="219"/>
      <c r="D80" s="121"/>
      <c r="E80" s="331"/>
      <c r="F80" s="219"/>
      <c r="G80" s="219"/>
      <c r="H80" s="121"/>
      <c r="I80" s="331"/>
      <c r="J80" s="228"/>
      <c r="K80" s="228"/>
      <c r="L80" s="121"/>
      <c r="M80" s="20"/>
    </row>
    <row r="81" spans="1:13" x14ac:dyDescent="0.2">
      <c r="A81" s="234" t="s">
        <v>12</v>
      </c>
      <c r="B81" s="179"/>
      <c r="C81" s="227"/>
      <c r="D81" s="121"/>
      <c r="E81" s="331"/>
      <c r="F81" s="219"/>
      <c r="G81" s="219"/>
      <c r="H81" s="121"/>
      <c r="I81" s="331"/>
      <c r="J81" s="228"/>
      <c r="K81" s="228"/>
      <c r="L81" s="121"/>
      <c r="M81" s="20"/>
    </row>
    <row r="82" spans="1:13" x14ac:dyDescent="0.2">
      <c r="A82" s="234" t="s">
        <v>13</v>
      </c>
      <c r="B82" s="179"/>
      <c r="C82" s="227"/>
      <c r="D82" s="121"/>
      <c r="E82" s="331"/>
      <c r="F82" s="219"/>
      <c r="G82" s="219"/>
      <c r="H82" s="121"/>
      <c r="I82" s="331"/>
      <c r="J82" s="228"/>
      <c r="K82" s="228"/>
      <c r="L82" s="121"/>
      <c r="M82" s="20"/>
    </row>
    <row r="83" spans="1:13" ht="15.75" x14ac:dyDescent="0.2">
      <c r="A83" s="234" t="s">
        <v>402</v>
      </c>
      <c r="B83" s="219"/>
      <c r="C83" s="219"/>
      <c r="D83" s="121"/>
      <c r="E83" s="331"/>
      <c r="F83" s="219"/>
      <c r="G83" s="219"/>
      <c r="H83" s="121"/>
      <c r="I83" s="331"/>
      <c r="J83" s="228"/>
      <c r="K83" s="228"/>
      <c r="L83" s="121"/>
      <c r="M83" s="20"/>
    </row>
    <row r="84" spans="1:13" x14ac:dyDescent="0.2">
      <c r="A84" s="234" t="s">
        <v>12</v>
      </c>
      <c r="B84" s="179"/>
      <c r="C84" s="227"/>
      <c r="D84" s="121"/>
      <c r="E84" s="331"/>
      <c r="F84" s="219"/>
      <c r="G84" s="219"/>
      <c r="H84" s="121"/>
      <c r="I84" s="331"/>
      <c r="J84" s="228"/>
      <c r="K84" s="228"/>
      <c r="L84" s="121"/>
      <c r="M84" s="20"/>
    </row>
    <row r="85" spans="1:13" x14ac:dyDescent="0.2">
      <c r="A85" s="234" t="s">
        <v>13</v>
      </c>
      <c r="B85" s="179"/>
      <c r="C85" s="227"/>
      <c r="D85" s="121"/>
      <c r="E85" s="331"/>
      <c r="F85" s="219"/>
      <c r="G85" s="219"/>
      <c r="H85" s="121"/>
      <c r="I85" s="331"/>
      <c r="J85" s="228"/>
      <c r="K85" s="228"/>
      <c r="L85" s="121"/>
      <c r="M85" s="20"/>
    </row>
    <row r="86" spans="1:13" ht="15.75" x14ac:dyDescent="0.2">
      <c r="A86" s="18" t="s">
        <v>404</v>
      </c>
      <c r="B86" s="178"/>
      <c r="C86" s="109"/>
      <c r="D86" s="121"/>
      <c r="E86" s="23"/>
      <c r="F86" s="178"/>
      <c r="G86" s="109"/>
      <c r="H86" s="121"/>
      <c r="I86" s="23"/>
      <c r="J86" s="225"/>
      <c r="K86" s="36"/>
      <c r="L86" s="198"/>
      <c r="M86" s="23"/>
    </row>
    <row r="87" spans="1:13" ht="15.75" x14ac:dyDescent="0.2">
      <c r="A87" s="10" t="s">
        <v>386</v>
      </c>
      <c r="B87" s="281">
        <v>22797</v>
      </c>
      <c r="C87" s="281">
        <v>37386</v>
      </c>
      <c r="D87" s="125">
        <f t="shared" si="7"/>
        <v>64</v>
      </c>
      <c r="E87" s="8">
        <f>IFERROR(100/'Skjema total MA'!C87*C87,0)</f>
        <v>9.2096311696584204E-3</v>
      </c>
      <c r="F87" s="280"/>
      <c r="G87" s="280"/>
      <c r="H87" s="125"/>
      <c r="I87" s="8"/>
      <c r="J87" s="245">
        <f t="shared" ref="J87:K111" si="10">SUM(B87,F87)</f>
        <v>22797</v>
      </c>
      <c r="K87" s="180">
        <f t="shared" si="10"/>
        <v>37386</v>
      </c>
      <c r="L87" s="339">
        <f t="shared" si="9"/>
        <v>64</v>
      </c>
      <c r="M87" s="8">
        <f>IFERROR(100/'Skjema total MA'!I87*K87,0)</f>
        <v>3.4898777186226568E-3</v>
      </c>
    </row>
    <row r="88" spans="1:13" x14ac:dyDescent="0.2">
      <c r="A88" s="18" t="s">
        <v>9</v>
      </c>
      <c r="B88" s="178"/>
      <c r="C88" s="109"/>
      <c r="D88" s="121"/>
      <c r="E88" s="23"/>
      <c r="F88" s="178"/>
      <c r="G88" s="109"/>
      <c r="H88" s="121"/>
      <c r="I88" s="23"/>
      <c r="J88" s="225"/>
      <c r="K88" s="36"/>
      <c r="L88" s="198"/>
      <c r="M88" s="23"/>
    </row>
    <row r="89" spans="1:13" x14ac:dyDescent="0.2">
      <c r="A89" s="18" t="s">
        <v>10</v>
      </c>
      <c r="B89" s="178"/>
      <c r="C89" s="109"/>
      <c r="D89" s="121"/>
      <c r="E89" s="23"/>
      <c r="F89" s="178"/>
      <c r="G89" s="109"/>
      <c r="H89" s="121"/>
      <c r="I89" s="23"/>
      <c r="J89" s="225"/>
      <c r="K89" s="36"/>
      <c r="L89" s="198"/>
      <c r="M89" s="23"/>
    </row>
    <row r="90" spans="1:13" ht="15.75" x14ac:dyDescent="0.2">
      <c r="A90" s="234" t="s">
        <v>401</v>
      </c>
      <c r="B90" s="219"/>
      <c r="C90" s="219"/>
      <c r="D90" s="121"/>
      <c r="E90" s="331"/>
      <c r="F90" s="219"/>
      <c r="G90" s="219"/>
      <c r="H90" s="121"/>
      <c r="I90" s="331"/>
      <c r="J90" s="228"/>
      <c r="K90" s="228"/>
      <c r="L90" s="121"/>
      <c r="M90" s="20"/>
    </row>
    <row r="91" spans="1:13" x14ac:dyDescent="0.2">
      <c r="A91" s="234" t="s">
        <v>12</v>
      </c>
      <c r="B91" s="179"/>
      <c r="C91" s="227"/>
      <c r="D91" s="121"/>
      <c r="E91" s="331"/>
      <c r="F91" s="219"/>
      <c r="G91" s="219"/>
      <c r="H91" s="121"/>
      <c r="I91" s="331"/>
      <c r="J91" s="228"/>
      <c r="K91" s="228"/>
      <c r="L91" s="121"/>
      <c r="M91" s="20"/>
    </row>
    <row r="92" spans="1:13" x14ac:dyDescent="0.2">
      <c r="A92" s="234" t="s">
        <v>13</v>
      </c>
      <c r="B92" s="179"/>
      <c r="C92" s="227"/>
      <c r="D92" s="121"/>
      <c r="E92" s="331"/>
      <c r="F92" s="219"/>
      <c r="G92" s="219"/>
      <c r="H92" s="121"/>
      <c r="I92" s="331"/>
      <c r="J92" s="228"/>
      <c r="K92" s="228"/>
      <c r="L92" s="121"/>
      <c r="M92" s="20"/>
    </row>
    <row r="93" spans="1:13" ht="15.75" x14ac:dyDescent="0.2">
      <c r="A93" s="234" t="s">
        <v>402</v>
      </c>
      <c r="B93" s="219"/>
      <c r="C93" s="219"/>
      <c r="D93" s="121"/>
      <c r="E93" s="331"/>
      <c r="F93" s="219"/>
      <c r="G93" s="219"/>
      <c r="H93" s="121"/>
      <c r="I93" s="331"/>
      <c r="J93" s="228"/>
      <c r="K93" s="228"/>
      <c r="L93" s="121"/>
      <c r="M93" s="20"/>
    </row>
    <row r="94" spans="1:13" x14ac:dyDescent="0.2">
      <c r="A94" s="234" t="s">
        <v>12</v>
      </c>
      <c r="B94" s="179"/>
      <c r="C94" s="227"/>
      <c r="D94" s="121"/>
      <c r="E94" s="331"/>
      <c r="F94" s="219"/>
      <c r="G94" s="219"/>
      <c r="H94" s="121"/>
      <c r="I94" s="331"/>
      <c r="J94" s="228"/>
      <c r="K94" s="228"/>
      <c r="L94" s="121"/>
      <c r="M94" s="20"/>
    </row>
    <row r="95" spans="1:13" x14ac:dyDescent="0.2">
      <c r="A95" s="234" t="s">
        <v>13</v>
      </c>
      <c r="B95" s="179"/>
      <c r="C95" s="227"/>
      <c r="D95" s="121"/>
      <c r="E95" s="331"/>
      <c r="F95" s="219"/>
      <c r="G95" s="219"/>
      <c r="H95" s="121"/>
      <c r="I95" s="331"/>
      <c r="J95" s="228"/>
      <c r="K95" s="228"/>
      <c r="L95" s="121"/>
      <c r="M95" s="20"/>
    </row>
    <row r="96" spans="1:13" x14ac:dyDescent="0.2">
      <c r="A96" s="18" t="s">
        <v>306</v>
      </c>
      <c r="B96" s="178"/>
      <c r="C96" s="109"/>
      <c r="D96" s="121"/>
      <c r="E96" s="23"/>
      <c r="F96" s="178"/>
      <c r="G96" s="109"/>
      <c r="H96" s="121"/>
      <c r="I96" s="23"/>
      <c r="J96" s="225"/>
      <c r="K96" s="36"/>
      <c r="L96" s="198"/>
      <c r="M96" s="23"/>
    </row>
    <row r="97" spans="1:13" x14ac:dyDescent="0.2">
      <c r="A97" s="18" t="s">
        <v>305</v>
      </c>
      <c r="B97" s="178">
        <v>22797</v>
      </c>
      <c r="C97" s="109">
        <v>37386</v>
      </c>
      <c r="D97" s="121">
        <f t="shared" si="7"/>
        <v>64</v>
      </c>
      <c r="E97" s="23">
        <f>IFERROR(100/'Skjema total MA'!C98*C97,0)</f>
        <v>9.7759212895836139E-3</v>
      </c>
      <c r="F97" s="178"/>
      <c r="G97" s="109"/>
      <c r="H97" s="121"/>
      <c r="I97" s="23"/>
      <c r="J97" s="225">
        <f t="shared" si="10"/>
        <v>22797</v>
      </c>
      <c r="K97" s="36">
        <f t="shared" si="10"/>
        <v>37386</v>
      </c>
      <c r="L97" s="198">
        <f t="shared" si="9"/>
        <v>64</v>
      </c>
      <c r="M97" s="23">
        <f>IFERROR(100/'Skjema total MA'!I98*K97,0)</f>
        <v>3.6051210169405399E-3</v>
      </c>
    </row>
    <row r="98" spans="1:13" ht="15.75" x14ac:dyDescent="0.2">
      <c r="A98" s="18" t="s">
        <v>403</v>
      </c>
      <c r="B98" s="178"/>
      <c r="C98" s="178"/>
      <c r="D98" s="121"/>
      <c r="E98" s="23"/>
      <c r="F98" s="230"/>
      <c r="G98" s="230"/>
      <c r="H98" s="121"/>
      <c r="I98" s="23"/>
      <c r="J98" s="225"/>
      <c r="K98" s="36"/>
      <c r="L98" s="198"/>
      <c r="M98" s="23"/>
    </row>
    <row r="99" spans="1:13" x14ac:dyDescent="0.2">
      <c r="A99" s="18" t="s">
        <v>9</v>
      </c>
      <c r="B99" s="230"/>
      <c r="C99" s="231"/>
      <c r="D99" s="121"/>
      <c r="E99" s="23"/>
      <c r="F99" s="178"/>
      <c r="G99" s="109"/>
      <c r="H99" s="121"/>
      <c r="I99" s="23"/>
      <c r="J99" s="225"/>
      <c r="K99" s="36"/>
      <c r="L99" s="198"/>
      <c r="M99" s="23"/>
    </row>
    <row r="100" spans="1:13" x14ac:dyDescent="0.2">
      <c r="A100" s="18" t="s">
        <v>429</v>
      </c>
      <c r="B100" s="230"/>
      <c r="C100" s="231"/>
      <c r="D100" s="121"/>
      <c r="E100" s="23"/>
      <c r="F100" s="178"/>
      <c r="G100" s="178"/>
      <c r="H100" s="121"/>
      <c r="I100" s="23"/>
      <c r="J100" s="225"/>
      <c r="K100" s="36"/>
      <c r="L100" s="198"/>
      <c r="M100" s="23"/>
    </row>
    <row r="101" spans="1:13" ht="15.75" x14ac:dyDescent="0.2">
      <c r="A101" s="234" t="s">
        <v>401</v>
      </c>
      <c r="B101" s="219"/>
      <c r="C101" s="219"/>
      <c r="D101" s="121"/>
      <c r="E101" s="331"/>
      <c r="F101" s="219"/>
      <c r="G101" s="219"/>
      <c r="H101" s="121"/>
      <c r="I101" s="331"/>
      <c r="J101" s="228"/>
      <c r="K101" s="228"/>
      <c r="L101" s="121"/>
      <c r="M101" s="20"/>
    </row>
    <row r="102" spans="1:13" x14ac:dyDescent="0.2">
      <c r="A102" s="234" t="s">
        <v>12</v>
      </c>
      <c r="B102" s="179"/>
      <c r="C102" s="227"/>
      <c r="D102" s="121"/>
      <c r="E102" s="331"/>
      <c r="F102" s="219"/>
      <c r="G102" s="219"/>
      <c r="H102" s="121"/>
      <c r="I102" s="331"/>
      <c r="J102" s="228"/>
      <c r="K102" s="228"/>
      <c r="L102" s="121"/>
      <c r="M102" s="20"/>
    </row>
    <row r="103" spans="1:13" x14ac:dyDescent="0.2">
      <c r="A103" s="234" t="s">
        <v>13</v>
      </c>
      <c r="B103" s="179"/>
      <c r="C103" s="227"/>
      <c r="D103" s="121"/>
      <c r="E103" s="331"/>
      <c r="F103" s="219"/>
      <c r="G103" s="219"/>
      <c r="H103" s="121"/>
      <c r="I103" s="331"/>
      <c r="J103" s="228"/>
      <c r="K103" s="228"/>
      <c r="L103" s="121"/>
      <c r="M103" s="20"/>
    </row>
    <row r="104" spans="1:13" ht="15.75" x14ac:dyDescent="0.2">
      <c r="A104" s="234" t="s">
        <v>402</v>
      </c>
      <c r="B104" s="219"/>
      <c r="C104" s="219"/>
      <c r="D104" s="121"/>
      <c r="E104" s="331"/>
      <c r="F104" s="219"/>
      <c r="G104" s="219"/>
      <c r="H104" s="121"/>
      <c r="I104" s="331"/>
      <c r="J104" s="228"/>
      <c r="K104" s="228"/>
      <c r="L104" s="121"/>
      <c r="M104" s="20"/>
    </row>
    <row r="105" spans="1:13" x14ac:dyDescent="0.2">
      <c r="A105" s="234" t="s">
        <v>12</v>
      </c>
      <c r="B105" s="179"/>
      <c r="C105" s="227"/>
      <c r="D105" s="121"/>
      <c r="E105" s="331"/>
      <c r="F105" s="219"/>
      <c r="G105" s="219"/>
      <c r="H105" s="121"/>
      <c r="I105" s="331"/>
      <c r="J105" s="228"/>
      <c r="K105" s="228"/>
      <c r="L105" s="121"/>
      <c r="M105" s="20"/>
    </row>
    <row r="106" spans="1:13" x14ac:dyDescent="0.2">
      <c r="A106" s="234" t="s">
        <v>13</v>
      </c>
      <c r="B106" s="179"/>
      <c r="C106" s="227"/>
      <c r="D106" s="121"/>
      <c r="E106" s="331"/>
      <c r="F106" s="219"/>
      <c r="G106" s="219"/>
      <c r="H106" s="121"/>
      <c r="I106" s="331"/>
      <c r="J106" s="228"/>
      <c r="K106" s="228"/>
      <c r="L106" s="121"/>
      <c r="M106" s="20"/>
    </row>
    <row r="107" spans="1:13" ht="15.75" x14ac:dyDescent="0.2">
      <c r="A107" s="18" t="s">
        <v>404</v>
      </c>
      <c r="B107" s="178"/>
      <c r="C107" s="109"/>
      <c r="D107" s="121"/>
      <c r="E107" s="23"/>
      <c r="F107" s="178"/>
      <c r="G107" s="109"/>
      <c r="H107" s="121"/>
      <c r="I107" s="23"/>
      <c r="J107" s="225"/>
      <c r="K107" s="36"/>
      <c r="L107" s="198"/>
      <c r="M107" s="23"/>
    </row>
    <row r="108" spans="1:13" ht="15.75" x14ac:dyDescent="0.2">
      <c r="A108" s="18" t="s">
        <v>405</v>
      </c>
      <c r="B108" s="178"/>
      <c r="C108" s="178"/>
      <c r="D108" s="121"/>
      <c r="E108" s="23"/>
      <c r="F108" s="178"/>
      <c r="G108" s="178"/>
      <c r="H108" s="121"/>
      <c r="I108" s="23"/>
      <c r="J108" s="225"/>
      <c r="K108" s="36"/>
      <c r="L108" s="198"/>
      <c r="M108" s="23"/>
    </row>
    <row r="109" spans="1:13" ht="15.75" x14ac:dyDescent="0.2">
      <c r="A109" s="18" t="s">
        <v>437</v>
      </c>
      <c r="B109" s="178"/>
      <c r="C109" s="178"/>
      <c r="D109" s="121"/>
      <c r="E109" s="23"/>
      <c r="F109" s="178"/>
      <c r="G109" s="178"/>
      <c r="H109" s="121"/>
      <c r="I109" s="23"/>
      <c r="J109" s="225"/>
      <c r="K109" s="36"/>
      <c r="L109" s="198"/>
      <c r="M109" s="23"/>
    </row>
    <row r="110" spans="1:13" ht="15.75" x14ac:dyDescent="0.2">
      <c r="A110" s="18" t="s">
        <v>406</v>
      </c>
      <c r="B110" s="178"/>
      <c r="C110" s="178"/>
      <c r="D110" s="121"/>
      <c r="E110" s="23"/>
      <c r="F110" s="178"/>
      <c r="G110" s="178"/>
      <c r="H110" s="121"/>
      <c r="I110" s="23"/>
      <c r="J110" s="225"/>
      <c r="K110" s="36"/>
      <c r="L110" s="198"/>
      <c r="M110" s="23"/>
    </row>
    <row r="111" spans="1:13" ht="15.75" x14ac:dyDescent="0.2">
      <c r="A111" s="10" t="s">
        <v>387</v>
      </c>
      <c r="B111" s="244">
        <v>17044</v>
      </c>
      <c r="C111" s="117">
        <v>7914</v>
      </c>
      <c r="D111" s="125">
        <f t="shared" si="7"/>
        <v>-53.6</v>
      </c>
      <c r="E111" s="8">
        <f>IFERROR(100/'Skjema total MA'!C111*C111,0)</f>
        <v>1.4026644248240487</v>
      </c>
      <c r="F111" s="244"/>
      <c r="G111" s="117"/>
      <c r="H111" s="125"/>
      <c r="I111" s="8"/>
      <c r="J111" s="245">
        <f t="shared" si="10"/>
        <v>17044</v>
      </c>
      <c r="K111" s="180">
        <f t="shared" si="10"/>
        <v>7914</v>
      </c>
      <c r="L111" s="339">
        <f t="shared" si="9"/>
        <v>-53.6</v>
      </c>
      <c r="M111" s="8">
        <f>IFERROR(100/'Skjema total MA'!I111*K111,0)</f>
        <v>1.5406559204444963E-2</v>
      </c>
    </row>
    <row r="112" spans="1:13" x14ac:dyDescent="0.2">
      <c r="A112" s="18" t="s">
        <v>9</v>
      </c>
      <c r="B112" s="178"/>
      <c r="C112" s="109"/>
      <c r="D112" s="121"/>
      <c r="E112" s="23"/>
      <c r="F112" s="178"/>
      <c r="G112" s="109"/>
      <c r="H112" s="121"/>
      <c r="I112" s="23"/>
      <c r="J112" s="225"/>
      <c r="K112" s="36"/>
      <c r="L112" s="198"/>
      <c r="M112" s="23"/>
    </row>
    <row r="113" spans="1:13" x14ac:dyDescent="0.2">
      <c r="A113" s="18" t="s">
        <v>10</v>
      </c>
      <c r="B113" s="178"/>
      <c r="C113" s="109"/>
      <c r="D113" s="121"/>
      <c r="E113" s="23"/>
      <c r="F113" s="178"/>
      <c r="G113" s="109"/>
      <c r="H113" s="121"/>
      <c r="I113" s="23"/>
      <c r="J113" s="225"/>
      <c r="K113" s="36"/>
      <c r="L113" s="198"/>
      <c r="M113" s="23"/>
    </row>
    <row r="114" spans="1:13" x14ac:dyDescent="0.2">
      <c r="A114" s="18" t="s">
        <v>26</v>
      </c>
      <c r="B114" s="178">
        <v>17044</v>
      </c>
      <c r="C114" s="109">
        <v>7914</v>
      </c>
      <c r="D114" s="121">
        <f t="shared" si="7"/>
        <v>-53.6</v>
      </c>
      <c r="E114" s="23">
        <f>IFERROR(100/'Skjema total MA'!C114*C114,0)</f>
        <v>5.159016454461927</v>
      </c>
      <c r="F114" s="178"/>
      <c r="G114" s="109"/>
      <c r="H114" s="121"/>
      <c r="I114" s="23"/>
      <c r="J114" s="225">
        <f t="shared" ref="J114:K122" si="11">SUM(B114,F114)</f>
        <v>17044</v>
      </c>
      <c r="K114" s="36">
        <f t="shared" si="11"/>
        <v>7914</v>
      </c>
      <c r="L114" s="198">
        <f t="shared" si="9"/>
        <v>-53.6</v>
      </c>
      <c r="M114" s="23">
        <f>IFERROR(100/'Skjema total MA'!I114*K114,0)</f>
        <v>4.9477377603150705</v>
      </c>
    </row>
    <row r="115" spans="1:13" x14ac:dyDescent="0.2">
      <c r="A115" s="234" t="s">
        <v>15</v>
      </c>
      <c r="B115" s="219"/>
      <c r="C115" s="219"/>
      <c r="D115" s="121"/>
      <c r="E115" s="331"/>
      <c r="F115" s="219"/>
      <c r="G115" s="219"/>
      <c r="H115" s="121"/>
      <c r="I115" s="331"/>
      <c r="J115" s="228"/>
      <c r="K115" s="228"/>
      <c r="L115" s="121"/>
      <c r="M115" s="20"/>
    </row>
    <row r="116" spans="1:13" ht="15.75" x14ac:dyDescent="0.2">
      <c r="A116" s="18" t="s">
        <v>407</v>
      </c>
      <c r="B116" s="178"/>
      <c r="C116" s="178"/>
      <c r="D116" s="121"/>
      <c r="E116" s="23"/>
      <c r="F116" s="178"/>
      <c r="G116" s="178"/>
      <c r="H116" s="121"/>
      <c r="I116" s="23"/>
      <c r="J116" s="225"/>
      <c r="K116" s="36"/>
      <c r="L116" s="198"/>
      <c r="M116" s="23"/>
    </row>
    <row r="117" spans="1:13" ht="15.75" x14ac:dyDescent="0.2">
      <c r="A117" s="18" t="s">
        <v>437</v>
      </c>
      <c r="B117" s="178"/>
      <c r="C117" s="178"/>
      <c r="D117" s="121"/>
      <c r="E117" s="23"/>
      <c r="F117" s="178"/>
      <c r="G117" s="178"/>
      <c r="H117" s="121"/>
      <c r="I117" s="23"/>
      <c r="J117" s="225"/>
      <c r="K117" s="36"/>
      <c r="L117" s="198"/>
      <c r="M117" s="23"/>
    </row>
    <row r="118" spans="1:13" ht="15.75" x14ac:dyDescent="0.2">
      <c r="A118" s="18" t="s">
        <v>406</v>
      </c>
      <c r="B118" s="178"/>
      <c r="C118" s="178"/>
      <c r="D118" s="121"/>
      <c r="E118" s="23"/>
      <c r="F118" s="178"/>
      <c r="G118" s="178"/>
      <c r="H118" s="121"/>
      <c r="I118" s="23"/>
      <c r="J118" s="225"/>
      <c r="K118" s="36"/>
      <c r="L118" s="198"/>
      <c r="M118" s="23"/>
    </row>
    <row r="119" spans="1:13" ht="15.75" x14ac:dyDescent="0.2">
      <c r="A119" s="10" t="s">
        <v>388</v>
      </c>
      <c r="B119" s="244">
        <v>555</v>
      </c>
      <c r="C119" s="117">
        <v>4198</v>
      </c>
      <c r="D119" s="125">
        <f t="shared" si="7"/>
        <v>656.4</v>
      </c>
      <c r="E119" s="8">
        <f>IFERROR(100/'Skjema total MA'!C119*C119,0)</f>
        <v>1.3538218415774357</v>
      </c>
      <c r="F119" s="244"/>
      <c r="G119" s="117"/>
      <c r="H119" s="125"/>
      <c r="I119" s="8"/>
      <c r="J119" s="245">
        <f t="shared" si="11"/>
        <v>555</v>
      </c>
      <c r="K119" s="180">
        <f t="shared" si="11"/>
        <v>4198</v>
      </c>
      <c r="L119" s="339">
        <f t="shared" si="9"/>
        <v>656.4</v>
      </c>
      <c r="M119" s="8">
        <f>IFERROR(100/'Skjema total MA'!I119*K119,0)</f>
        <v>7.4606526618941531E-3</v>
      </c>
    </row>
    <row r="120" spans="1:13" x14ac:dyDescent="0.2">
      <c r="A120" s="18" t="s">
        <v>9</v>
      </c>
      <c r="B120" s="178"/>
      <c r="C120" s="109"/>
      <c r="D120" s="121"/>
      <c r="E120" s="23"/>
      <c r="F120" s="178"/>
      <c r="G120" s="109"/>
      <c r="H120" s="121"/>
      <c r="I120" s="23"/>
      <c r="J120" s="225"/>
      <c r="K120" s="36"/>
      <c r="L120" s="198"/>
      <c r="M120" s="23"/>
    </row>
    <row r="121" spans="1:13" x14ac:dyDescent="0.2">
      <c r="A121" s="18" t="s">
        <v>10</v>
      </c>
      <c r="B121" s="178"/>
      <c r="C121" s="109"/>
      <c r="D121" s="121"/>
      <c r="E121" s="23"/>
      <c r="F121" s="178"/>
      <c r="G121" s="109"/>
      <c r="H121" s="121"/>
      <c r="I121" s="23"/>
      <c r="J121" s="225"/>
      <c r="K121" s="36"/>
      <c r="L121" s="198"/>
      <c r="M121" s="23"/>
    </row>
    <row r="122" spans="1:13" x14ac:dyDescent="0.2">
      <c r="A122" s="18" t="s">
        <v>26</v>
      </c>
      <c r="B122" s="178">
        <v>555</v>
      </c>
      <c r="C122" s="109">
        <v>4198</v>
      </c>
      <c r="D122" s="121">
        <f t="shared" si="7"/>
        <v>656.4</v>
      </c>
      <c r="E122" s="23">
        <f>IFERROR(100/'Skjema total MA'!C122*C122,0)</f>
        <v>3.2100572795792526</v>
      </c>
      <c r="F122" s="178"/>
      <c r="G122" s="109"/>
      <c r="H122" s="121"/>
      <c r="I122" s="23"/>
      <c r="J122" s="225">
        <f t="shared" si="11"/>
        <v>555</v>
      </c>
      <c r="K122" s="36">
        <f t="shared" si="11"/>
        <v>4198</v>
      </c>
      <c r="L122" s="198">
        <f t="shared" si="9"/>
        <v>656.4</v>
      </c>
      <c r="M122" s="23">
        <f>IFERROR(100/'Skjema total MA'!I122*K122,0)</f>
        <v>3.2100572795792526</v>
      </c>
    </row>
    <row r="123" spans="1:13" x14ac:dyDescent="0.2">
      <c r="A123" s="234" t="s">
        <v>14</v>
      </c>
      <c r="B123" s="219"/>
      <c r="C123" s="219"/>
      <c r="D123" s="121"/>
      <c r="E123" s="331"/>
      <c r="F123" s="219"/>
      <c r="G123" s="219"/>
      <c r="H123" s="121"/>
      <c r="I123" s="331"/>
      <c r="J123" s="228"/>
      <c r="K123" s="228"/>
      <c r="L123" s="121"/>
      <c r="M123" s="20"/>
    </row>
    <row r="124" spans="1:13" ht="15.75" x14ac:dyDescent="0.2">
      <c r="A124" s="18" t="s">
        <v>412</v>
      </c>
      <c r="B124" s="178"/>
      <c r="C124" s="178"/>
      <c r="D124" s="121"/>
      <c r="E124" s="23"/>
      <c r="F124" s="178"/>
      <c r="G124" s="178"/>
      <c r="H124" s="121"/>
      <c r="I124" s="23"/>
      <c r="J124" s="225"/>
      <c r="K124" s="36"/>
      <c r="L124" s="198"/>
      <c r="M124" s="23"/>
    </row>
    <row r="125" spans="1:13" ht="15.75" x14ac:dyDescent="0.2">
      <c r="A125" s="18" t="s">
        <v>437</v>
      </c>
      <c r="B125" s="178"/>
      <c r="C125" s="178"/>
      <c r="D125" s="121"/>
      <c r="E125" s="23"/>
      <c r="F125" s="178"/>
      <c r="G125" s="178"/>
      <c r="H125" s="121"/>
      <c r="I125" s="23"/>
      <c r="J125" s="225"/>
      <c r="K125" s="36"/>
      <c r="L125" s="198"/>
      <c r="M125" s="23"/>
    </row>
    <row r="126" spans="1:13" ht="15.75" x14ac:dyDescent="0.2">
      <c r="A126" s="7" t="s">
        <v>406</v>
      </c>
      <c r="B126" s="37"/>
      <c r="C126" s="37"/>
      <c r="D126" s="122"/>
      <c r="E126" s="332"/>
      <c r="F126" s="37"/>
      <c r="G126" s="37"/>
      <c r="H126" s="122"/>
      <c r="I126" s="19"/>
      <c r="J126" s="226"/>
      <c r="K126" s="37"/>
      <c r="L126" s="199"/>
      <c r="M126" s="19"/>
    </row>
    <row r="127" spans="1:13" x14ac:dyDescent="0.2">
      <c r="A127" s="114"/>
    </row>
    <row r="129" spans="1:14" ht="15.75" x14ac:dyDescent="0.25">
      <c r="A129" s="110" t="s">
        <v>27</v>
      </c>
    </row>
    <row r="130" spans="1:14" ht="15.75" x14ac:dyDescent="0.25">
      <c r="B130" s="793"/>
      <c r="C130" s="793"/>
      <c r="D130" s="793"/>
      <c r="E130" s="236"/>
      <c r="F130" s="793"/>
      <c r="G130" s="793"/>
      <c r="H130" s="793"/>
      <c r="I130" s="236"/>
      <c r="J130" s="793"/>
      <c r="K130" s="793"/>
      <c r="L130" s="793"/>
      <c r="M130" s="236"/>
    </row>
    <row r="131" spans="1:14" x14ac:dyDescent="0.2">
      <c r="A131" s="108"/>
      <c r="B131" s="790" t="s">
        <v>0</v>
      </c>
      <c r="C131" s="791"/>
      <c r="D131" s="791"/>
      <c r="E131" s="238"/>
      <c r="F131" s="790" t="s">
        <v>1</v>
      </c>
      <c r="G131" s="791"/>
      <c r="H131" s="791"/>
      <c r="I131" s="240"/>
      <c r="J131" s="790" t="s">
        <v>2</v>
      </c>
      <c r="K131" s="791"/>
      <c r="L131" s="791"/>
      <c r="M131" s="240"/>
    </row>
    <row r="132" spans="1:14" x14ac:dyDescent="0.2">
      <c r="A132" s="105"/>
      <c r="B132" s="17">
        <v>45291</v>
      </c>
      <c r="C132" s="17">
        <v>45657</v>
      </c>
      <c r="D132" s="189" t="s">
        <v>3</v>
      </c>
      <c r="E132" s="241" t="s">
        <v>29</v>
      </c>
      <c r="F132" s="17">
        <v>45291</v>
      </c>
      <c r="G132" s="17">
        <v>45657</v>
      </c>
      <c r="H132" s="189" t="s">
        <v>3</v>
      </c>
      <c r="I132" s="241" t="s">
        <v>29</v>
      </c>
      <c r="J132" s="17">
        <v>45291</v>
      </c>
      <c r="K132" s="17">
        <v>45657</v>
      </c>
      <c r="L132" s="189" t="s">
        <v>3</v>
      </c>
      <c r="M132" s="241" t="s">
        <v>29</v>
      </c>
    </row>
    <row r="133" spans="1:14" x14ac:dyDescent="0.2">
      <c r="A133" s="768"/>
      <c r="B133" s="115"/>
      <c r="C133" s="115"/>
      <c r="D133" s="190" t="s">
        <v>4</v>
      </c>
      <c r="E133" s="115" t="s">
        <v>30</v>
      </c>
      <c r="F133" s="119"/>
      <c r="G133" s="119"/>
      <c r="H133" s="154" t="s">
        <v>4</v>
      </c>
      <c r="I133" s="115" t="s">
        <v>30</v>
      </c>
      <c r="J133" s="115"/>
      <c r="K133" s="115"/>
      <c r="L133" s="111" t="s">
        <v>4</v>
      </c>
      <c r="M133" s="115" t="s">
        <v>30</v>
      </c>
    </row>
    <row r="134" spans="1:14" ht="15.75" x14ac:dyDescent="0.2">
      <c r="A134" s="11" t="s">
        <v>408</v>
      </c>
      <c r="B134" s="180"/>
      <c r="C134" s="245"/>
      <c r="D134" s="278"/>
      <c r="E134" s="8"/>
      <c r="F134" s="252"/>
      <c r="G134" s="253"/>
      <c r="H134" s="342"/>
      <c r="I134" s="21"/>
      <c r="J134" s="254"/>
      <c r="K134" s="254"/>
      <c r="L134" s="338"/>
      <c r="M134" s="8"/>
    </row>
    <row r="135" spans="1:14" ht="15.75" x14ac:dyDescent="0.2">
      <c r="A135" s="10" t="s">
        <v>413</v>
      </c>
      <c r="B135" s="180"/>
      <c r="C135" s="245"/>
      <c r="D135" s="125"/>
      <c r="E135" s="8"/>
      <c r="F135" s="180"/>
      <c r="G135" s="245"/>
      <c r="H135" s="343"/>
      <c r="I135" s="21"/>
      <c r="J135" s="244"/>
      <c r="K135" s="244"/>
      <c r="L135" s="339"/>
      <c r="M135" s="8"/>
    </row>
    <row r="136" spans="1:14" ht="15.75" x14ac:dyDescent="0.2">
      <c r="A136" s="10" t="s">
        <v>410</v>
      </c>
      <c r="B136" s="180"/>
      <c r="C136" s="245"/>
      <c r="D136" s="125"/>
      <c r="E136" s="8"/>
      <c r="F136" s="180"/>
      <c r="G136" s="245"/>
      <c r="H136" s="343"/>
      <c r="I136" s="21"/>
      <c r="J136" s="244"/>
      <c r="K136" s="244"/>
      <c r="L136" s="339"/>
      <c r="M136" s="8"/>
    </row>
    <row r="137" spans="1:14" ht="15.75" x14ac:dyDescent="0.2">
      <c r="A137" s="33" t="s">
        <v>411</v>
      </c>
      <c r="B137" s="214"/>
      <c r="C137" s="251"/>
      <c r="D137" s="123"/>
      <c r="E137" s="6"/>
      <c r="F137" s="214"/>
      <c r="G137" s="251"/>
      <c r="H137" s="344"/>
      <c r="I137" s="30"/>
      <c r="J137" s="250"/>
      <c r="K137" s="250"/>
      <c r="L137" s="340"/>
      <c r="M137" s="30"/>
    </row>
    <row r="138" spans="1:14" x14ac:dyDescent="0.2">
      <c r="A138" s="107"/>
      <c r="B138" s="27"/>
      <c r="C138" s="27"/>
      <c r="D138" s="117"/>
      <c r="E138" s="117"/>
      <c r="F138" s="27"/>
      <c r="G138" s="27"/>
      <c r="H138" s="117"/>
      <c r="I138" s="117"/>
      <c r="J138" s="27"/>
      <c r="K138" s="27"/>
      <c r="L138" s="117"/>
      <c r="M138" s="117"/>
    </row>
    <row r="139" spans="1:14" x14ac:dyDescent="0.2">
      <c r="A139" s="107"/>
      <c r="B139" s="27"/>
      <c r="C139" s="27"/>
      <c r="D139" s="117"/>
      <c r="E139" s="117"/>
      <c r="F139" s="27"/>
      <c r="G139" s="27"/>
      <c r="H139" s="117"/>
      <c r="I139" s="117"/>
      <c r="J139" s="27"/>
      <c r="K139" s="27"/>
      <c r="L139" s="117"/>
      <c r="M139" s="117"/>
    </row>
    <row r="140" spans="1:14" x14ac:dyDescent="0.2">
      <c r="A140" s="107"/>
      <c r="B140" s="27"/>
      <c r="C140" s="27"/>
      <c r="D140" s="117"/>
      <c r="E140" s="117"/>
      <c r="F140" s="27"/>
      <c r="G140" s="27"/>
      <c r="H140" s="117"/>
      <c r="I140" s="117"/>
      <c r="J140" s="27"/>
      <c r="K140" s="27"/>
      <c r="L140" s="117"/>
      <c r="M140" s="117"/>
    </row>
    <row r="142" spans="1:14" ht="15.75" x14ac:dyDescent="0.25">
      <c r="B142" s="106"/>
      <c r="C142" s="106"/>
      <c r="D142" s="106"/>
      <c r="E142" s="106"/>
      <c r="F142" s="106"/>
      <c r="G142" s="106"/>
      <c r="H142" s="106"/>
      <c r="I142" s="106"/>
      <c r="J142" s="106"/>
      <c r="K142" s="106"/>
      <c r="L142" s="106"/>
      <c r="M142" s="106"/>
      <c r="N142" s="106"/>
    </row>
    <row r="143" spans="1:14" ht="15.75" x14ac:dyDescent="0.25">
      <c r="B143" s="106"/>
      <c r="C143" s="106"/>
      <c r="D143" s="106"/>
      <c r="E143" s="106"/>
      <c r="F143" s="106"/>
      <c r="G143" s="106"/>
      <c r="H143" s="106"/>
      <c r="I143" s="106"/>
      <c r="J143" s="106"/>
      <c r="K143" s="106"/>
      <c r="L143" s="106"/>
      <c r="M143" s="106"/>
      <c r="N143" s="106"/>
    </row>
    <row r="144" spans="1:14" ht="15.75" x14ac:dyDescent="0.25">
      <c r="B144" s="106"/>
      <c r="C144" s="106"/>
      <c r="D144" s="106"/>
      <c r="E144" s="106"/>
      <c r="F144" s="106"/>
      <c r="G144" s="106"/>
      <c r="H144" s="106"/>
      <c r="I144" s="106"/>
      <c r="J144" s="106"/>
      <c r="K144" s="106"/>
      <c r="L144" s="106"/>
      <c r="M144" s="106"/>
      <c r="N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69:A74">
    <cfRule type="expression" dxfId="710" priority="6">
      <formula>kvartal &lt; 4</formula>
    </cfRule>
  </conditionalFormatting>
  <conditionalFormatting sqref="A80:A85">
    <cfRule type="expression" dxfId="709" priority="5">
      <formula>kvartal &lt; 4</formula>
    </cfRule>
  </conditionalFormatting>
  <conditionalFormatting sqref="A90:A95">
    <cfRule type="expression" dxfId="708" priority="4">
      <formula>kvartal &lt; 4</formula>
    </cfRule>
  </conditionalFormatting>
  <conditionalFormatting sqref="A101:A106">
    <cfRule type="expression" dxfId="707" priority="3">
      <formula>kvartal &lt; 4</formula>
    </cfRule>
  </conditionalFormatting>
  <conditionalFormatting sqref="A50:C52">
    <cfRule type="expression" dxfId="706" priority="7">
      <formula>kvartal &lt; 4</formula>
    </cfRule>
  </conditionalFormatting>
  <conditionalFormatting sqref="A115:C115">
    <cfRule type="expression" dxfId="705" priority="2">
      <formula>kvartal &lt; 4</formula>
    </cfRule>
  </conditionalFormatting>
  <conditionalFormatting sqref="A123:C123">
    <cfRule type="expression" dxfId="704" priority="1">
      <formula>kvartal &lt; 4</formula>
    </cfRule>
  </conditionalFormatting>
  <conditionalFormatting sqref="B69:C69">
    <cfRule type="expression" dxfId="703" priority="57">
      <formula>kvartal &lt; 4</formula>
    </cfRule>
  </conditionalFormatting>
  <conditionalFormatting sqref="B72:C72">
    <cfRule type="expression" dxfId="702" priority="55">
      <formula>kvartal &lt; 4</formula>
    </cfRule>
  </conditionalFormatting>
  <conditionalFormatting sqref="B80:C80">
    <cfRule type="expression" dxfId="701" priority="53">
      <formula>kvartal &lt; 4</formula>
    </cfRule>
  </conditionalFormatting>
  <conditionalFormatting sqref="B83:C83">
    <cfRule type="expression" dxfId="700" priority="51">
      <formula>kvartal &lt; 4</formula>
    </cfRule>
  </conditionalFormatting>
  <conditionalFormatting sqref="B90:C90">
    <cfRule type="expression" dxfId="699" priority="49">
      <formula>kvartal &lt; 4</formula>
    </cfRule>
  </conditionalFormatting>
  <conditionalFormatting sqref="B93:C93">
    <cfRule type="expression" dxfId="698" priority="47">
      <formula>kvartal &lt; 4</formula>
    </cfRule>
  </conditionalFormatting>
  <conditionalFormatting sqref="B101:C101">
    <cfRule type="expression" dxfId="697" priority="45">
      <formula>kvartal &lt; 4</formula>
    </cfRule>
  </conditionalFormatting>
  <conditionalFormatting sqref="B104:C104">
    <cfRule type="expression" dxfId="696" priority="43">
      <formula>kvartal &lt; 4</formula>
    </cfRule>
  </conditionalFormatting>
  <conditionalFormatting sqref="F69:G74">
    <cfRule type="expression" dxfId="695" priority="24">
      <formula>kvartal &lt; 4</formula>
    </cfRule>
  </conditionalFormatting>
  <conditionalFormatting sqref="F80:G85">
    <cfRule type="expression" dxfId="694" priority="22">
      <formula>kvartal &lt; 4</formula>
    </cfRule>
  </conditionalFormatting>
  <conditionalFormatting sqref="F90:G95">
    <cfRule type="expression" dxfId="693" priority="19">
      <formula>kvartal &lt; 4</formula>
    </cfRule>
  </conditionalFormatting>
  <conditionalFormatting sqref="F101:G106">
    <cfRule type="expression" dxfId="692" priority="15">
      <formula>kvartal &lt; 4</formula>
    </cfRule>
  </conditionalFormatting>
  <conditionalFormatting sqref="F115:G115">
    <cfRule type="expression" dxfId="691" priority="27">
      <formula>kvartal &lt; 4</formula>
    </cfRule>
  </conditionalFormatting>
  <conditionalFormatting sqref="F123:G123">
    <cfRule type="expression" dxfId="690" priority="26">
      <formula>kvartal &lt; 4</formula>
    </cfRule>
  </conditionalFormatting>
  <conditionalFormatting sqref="J69:K74">
    <cfRule type="expression" dxfId="689" priority="13">
      <formula>kvartal &lt; 4</formula>
    </cfRule>
  </conditionalFormatting>
  <conditionalFormatting sqref="J80:K85">
    <cfRule type="expression" dxfId="688" priority="12">
      <formula>kvartal &lt; 4</formula>
    </cfRule>
  </conditionalFormatting>
  <conditionalFormatting sqref="J90:K95">
    <cfRule type="expression" dxfId="687" priority="11">
      <formula>kvartal &lt; 4</formula>
    </cfRule>
  </conditionalFormatting>
  <conditionalFormatting sqref="J101:K106">
    <cfRule type="expression" dxfId="686" priority="10">
      <formula>kvartal &lt; 4</formula>
    </cfRule>
  </conditionalFormatting>
  <conditionalFormatting sqref="J115:K115">
    <cfRule type="expression" dxfId="685" priority="9">
      <formula>kvartal &lt; 4</formula>
    </cfRule>
  </conditionalFormatting>
  <conditionalFormatting sqref="J123:K123">
    <cfRule type="expression" dxfId="684" priority="8">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6044-2CB6-449D-AC95-3178BBB2285A}">
  <sheetPr codeName="Ark34"/>
  <dimension ref="A1:AM62"/>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123.5703125" style="361" customWidth="1"/>
    <col min="2" max="37" width="11.7109375" style="361" customWidth="1"/>
    <col min="38" max="16384" width="11.42578125" style="361"/>
  </cols>
  <sheetData>
    <row r="1" spans="1:37" ht="20.25" x14ac:dyDescent="0.3">
      <c r="A1" s="364" t="s">
        <v>254</v>
      </c>
      <c r="B1" s="365"/>
      <c r="C1" s="365"/>
      <c r="D1" s="365"/>
      <c r="E1" s="365"/>
      <c r="F1" s="365"/>
      <c r="G1" s="365"/>
      <c r="H1" s="365"/>
      <c r="I1" s="365"/>
      <c r="J1" s="365"/>
    </row>
    <row r="2" spans="1:37" ht="20.25" x14ac:dyDescent="0.3">
      <c r="A2" s="364" t="s">
        <v>227</v>
      </c>
      <c r="B2" s="507"/>
      <c r="C2" s="507"/>
      <c r="D2" s="508"/>
      <c r="E2" s="508"/>
      <c r="F2" s="509"/>
      <c r="G2" s="362"/>
      <c r="H2" s="362"/>
      <c r="I2" s="362"/>
      <c r="J2" s="362"/>
      <c r="K2" s="362"/>
      <c r="L2" s="362"/>
      <c r="M2" s="362"/>
      <c r="N2" s="362"/>
      <c r="O2" s="362"/>
      <c r="P2" s="362"/>
      <c r="Q2" s="362"/>
      <c r="R2" s="362"/>
      <c r="S2" s="362"/>
      <c r="T2" s="362"/>
      <c r="U2" s="362"/>
      <c r="V2" s="362"/>
      <c r="W2" s="362"/>
      <c r="X2" s="362"/>
      <c r="Y2" s="362"/>
      <c r="Z2" s="362"/>
      <c r="AA2" s="510"/>
      <c r="AB2" s="362"/>
      <c r="AC2" s="362"/>
      <c r="AD2" s="510"/>
      <c r="AE2" s="362"/>
      <c r="AF2" s="362"/>
      <c r="AG2" s="362"/>
      <c r="AH2" s="362"/>
      <c r="AI2" s="362"/>
      <c r="AJ2" s="362"/>
      <c r="AK2" s="362"/>
    </row>
    <row r="3" spans="1:37" ht="18.75" x14ac:dyDescent="0.3">
      <c r="A3" s="511" t="s">
        <v>255</v>
      </c>
      <c r="B3" s="512"/>
      <c r="C3" s="512"/>
      <c r="D3" s="512"/>
      <c r="E3" s="508"/>
      <c r="F3" s="745"/>
      <c r="G3" s="745"/>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37" ht="18.75" customHeight="1" x14ac:dyDescent="0.25">
      <c r="A4" s="513" t="s">
        <v>320</v>
      </c>
      <c r="B4" s="514"/>
      <c r="C4" s="515"/>
      <c r="D4" s="516"/>
      <c r="E4" s="514"/>
      <c r="F4" s="515"/>
      <c r="G4" s="516"/>
      <c r="H4" s="514"/>
      <c r="I4" s="515"/>
      <c r="J4" s="516"/>
      <c r="K4" s="367"/>
      <c r="L4" s="367"/>
      <c r="M4" s="367"/>
      <c r="N4" s="368"/>
      <c r="O4" s="367"/>
      <c r="P4" s="369"/>
      <c r="Q4" s="368"/>
      <c r="R4" s="367"/>
      <c r="S4" s="369"/>
      <c r="T4" s="368"/>
      <c r="U4" s="367"/>
      <c r="V4" s="369"/>
      <c r="W4" s="368"/>
      <c r="X4" s="367"/>
      <c r="Y4" s="369"/>
      <c r="Z4" s="368"/>
      <c r="AA4" s="367"/>
      <c r="AB4" s="369"/>
      <c r="AC4" s="368"/>
      <c r="AD4" s="367"/>
      <c r="AE4" s="369"/>
      <c r="AF4" s="517"/>
      <c r="AG4" s="518"/>
      <c r="AH4" s="519"/>
      <c r="AI4" s="368"/>
      <c r="AJ4" s="367"/>
      <c r="AK4" s="520"/>
    </row>
    <row r="5" spans="1:37" ht="18.75" customHeight="1" x14ac:dyDescent="0.3">
      <c r="A5" s="454" t="s">
        <v>94</v>
      </c>
      <c r="B5" s="796" t="s">
        <v>156</v>
      </c>
      <c r="C5" s="797"/>
      <c r="D5" s="798"/>
      <c r="E5" s="796"/>
      <c r="F5" s="797"/>
      <c r="G5" s="798"/>
      <c r="H5" s="796" t="s">
        <v>157</v>
      </c>
      <c r="I5" s="797"/>
      <c r="J5" s="798"/>
      <c r="K5" s="796" t="s">
        <v>158</v>
      </c>
      <c r="L5" s="797"/>
      <c r="M5" s="798"/>
      <c r="N5" s="796"/>
      <c r="O5" s="797"/>
      <c r="P5" s="798"/>
      <c r="Q5" s="678"/>
      <c r="R5" s="679"/>
      <c r="S5" s="680"/>
      <c r="T5" s="796" t="s">
        <v>160</v>
      </c>
      <c r="U5" s="797"/>
      <c r="V5" s="798"/>
      <c r="W5" s="796" t="s">
        <v>65</v>
      </c>
      <c r="X5" s="797"/>
      <c r="Y5" s="798"/>
      <c r="Z5" s="796" t="s">
        <v>68</v>
      </c>
      <c r="AA5" s="797"/>
      <c r="AB5" s="798"/>
      <c r="AC5" s="796" t="s">
        <v>434</v>
      </c>
      <c r="AD5" s="797"/>
      <c r="AE5" s="798"/>
      <c r="AF5" s="796" t="s">
        <v>2</v>
      </c>
      <c r="AG5" s="797"/>
      <c r="AH5" s="798"/>
      <c r="AI5" s="796" t="s">
        <v>256</v>
      </c>
      <c r="AJ5" s="797"/>
      <c r="AK5" s="798"/>
    </row>
    <row r="6" spans="1:37" ht="21" customHeight="1" x14ac:dyDescent="0.3">
      <c r="A6" s="455"/>
      <c r="B6" s="799" t="s">
        <v>162</v>
      </c>
      <c r="C6" s="800"/>
      <c r="D6" s="801"/>
      <c r="E6" s="799" t="s">
        <v>421</v>
      </c>
      <c r="F6" s="800"/>
      <c r="G6" s="801"/>
      <c r="H6" s="799" t="s">
        <v>162</v>
      </c>
      <c r="I6" s="800"/>
      <c r="J6" s="801"/>
      <c r="K6" s="799" t="s">
        <v>163</v>
      </c>
      <c r="L6" s="800"/>
      <c r="M6" s="801"/>
      <c r="N6" s="799" t="s">
        <v>61</v>
      </c>
      <c r="O6" s="800"/>
      <c r="P6" s="801"/>
      <c r="Q6" s="799" t="s">
        <v>63</v>
      </c>
      <c r="R6" s="800"/>
      <c r="S6" s="801"/>
      <c r="T6" s="799" t="s">
        <v>161</v>
      </c>
      <c r="U6" s="800"/>
      <c r="V6" s="801"/>
      <c r="W6" s="799" t="s">
        <v>430</v>
      </c>
      <c r="X6" s="800"/>
      <c r="Y6" s="801"/>
      <c r="Z6" s="799" t="s">
        <v>162</v>
      </c>
      <c r="AA6" s="800"/>
      <c r="AB6" s="801"/>
      <c r="AC6" s="799" t="s">
        <v>162</v>
      </c>
      <c r="AD6" s="800"/>
      <c r="AE6" s="801"/>
      <c r="AF6" s="799" t="s">
        <v>257</v>
      </c>
      <c r="AG6" s="800"/>
      <c r="AH6" s="801"/>
      <c r="AI6" s="799" t="s">
        <v>258</v>
      </c>
      <c r="AJ6" s="800"/>
      <c r="AK6" s="801"/>
    </row>
    <row r="7" spans="1:37" ht="18.75" customHeight="1" x14ac:dyDescent="0.3">
      <c r="A7" s="455"/>
      <c r="B7" s="455"/>
      <c r="C7" s="455"/>
      <c r="D7" s="456" t="s">
        <v>76</v>
      </c>
      <c r="E7" s="455"/>
      <c r="F7" s="455"/>
      <c r="G7" s="456" t="s">
        <v>76</v>
      </c>
      <c r="H7" s="455"/>
      <c r="I7" s="455"/>
      <c r="J7" s="456" t="s">
        <v>76</v>
      </c>
      <c r="K7" s="455"/>
      <c r="L7" s="455"/>
      <c r="M7" s="456" t="s">
        <v>76</v>
      </c>
      <c r="N7" s="455"/>
      <c r="O7" s="455"/>
      <c r="P7" s="456" t="s">
        <v>76</v>
      </c>
      <c r="Q7" s="455"/>
      <c r="R7" s="455"/>
      <c r="S7" s="456" t="s">
        <v>76</v>
      </c>
      <c r="T7" s="455"/>
      <c r="U7" s="455"/>
      <c r="V7" s="456" t="s">
        <v>76</v>
      </c>
      <c r="W7" s="455"/>
      <c r="X7" s="455"/>
      <c r="Y7" s="456" t="s">
        <v>76</v>
      </c>
      <c r="Z7" s="455"/>
      <c r="AA7" s="455"/>
      <c r="AB7" s="456" t="s">
        <v>76</v>
      </c>
      <c r="AC7" s="455"/>
      <c r="AD7" s="455"/>
      <c r="AE7" s="456" t="s">
        <v>76</v>
      </c>
      <c r="AF7" s="455"/>
      <c r="AG7" s="455"/>
      <c r="AH7" s="456" t="s">
        <v>76</v>
      </c>
      <c r="AI7" s="455"/>
      <c r="AJ7" s="455"/>
      <c r="AK7" s="456" t="s">
        <v>76</v>
      </c>
    </row>
    <row r="8" spans="1:37" ht="18.75" customHeight="1" x14ac:dyDescent="0.25">
      <c r="A8" s="457" t="s">
        <v>259</v>
      </c>
      <c r="B8" s="416">
        <v>2023</v>
      </c>
      <c r="C8" s="416">
        <v>2024</v>
      </c>
      <c r="D8" s="458" t="s">
        <v>78</v>
      </c>
      <c r="E8" s="416">
        <f>$B$8</f>
        <v>2023</v>
      </c>
      <c r="F8" s="416">
        <f>$C$8</f>
        <v>2024</v>
      </c>
      <c r="G8" s="458" t="s">
        <v>78</v>
      </c>
      <c r="H8" s="416">
        <f>$B$8</f>
        <v>2023</v>
      </c>
      <c r="I8" s="416">
        <f>$C$8</f>
        <v>2024</v>
      </c>
      <c r="J8" s="458" t="s">
        <v>78</v>
      </c>
      <c r="K8" s="416">
        <f>$B$8</f>
        <v>2023</v>
      </c>
      <c r="L8" s="416">
        <f>$C$8</f>
        <v>2024</v>
      </c>
      <c r="M8" s="458" t="s">
        <v>78</v>
      </c>
      <c r="N8" s="416">
        <f>$B$8</f>
        <v>2023</v>
      </c>
      <c r="O8" s="416">
        <f>$C$8</f>
        <v>2024</v>
      </c>
      <c r="P8" s="458" t="s">
        <v>78</v>
      </c>
      <c r="Q8" s="416">
        <f>$B$8</f>
        <v>2023</v>
      </c>
      <c r="R8" s="416">
        <f>$C$8</f>
        <v>2024</v>
      </c>
      <c r="S8" s="458" t="s">
        <v>78</v>
      </c>
      <c r="T8" s="416">
        <f>$B$8</f>
        <v>2023</v>
      </c>
      <c r="U8" s="416">
        <f>$C$8</f>
        <v>2024</v>
      </c>
      <c r="V8" s="458" t="s">
        <v>78</v>
      </c>
      <c r="W8" s="416">
        <f>$B$8</f>
        <v>2023</v>
      </c>
      <c r="X8" s="416">
        <f>$C$8</f>
        <v>2024</v>
      </c>
      <c r="Y8" s="458" t="s">
        <v>78</v>
      </c>
      <c r="Z8" s="416">
        <f>$B$8</f>
        <v>2023</v>
      </c>
      <c r="AA8" s="416">
        <f>$C$8</f>
        <v>2024</v>
      </c>
      <c r="AB8" s="458" t="s">
        <v>78</v>
      </c>
      <c r="AC8" s="416">
        <f>$B$8</f>
        <v>2023</v>
      </c>
      <c r="AD8" s="416">
        <f>$C$8</f>
        <v>2024</v>
      </c>
      <c r="AE8" s="458" t="s">
        <v>78</v>
      </c>
      <c r="AF8" s="416">
        <f>$B$8</f>
        <v>2023</v>
      </c>
      <c r="AG8" s="416">
        <f>$C$8</f>
        <v>2024</v>
      </c>
      <c r="AH8" s="458" t="s">
        <v>78</v>
      </c>
      <c r="AI8" s="416">
        <f>$B$8</f>
        <v>2023</v>
      </c>
      <c r="AJ8" s="416">
        <f>$C$8</f>
        <v>2024</v>
      </c>
      <c r="AK8" s="458" t="s">
        <v>78</v>
      </c>
    </row>
    <row r="9" spans="1:37" ht="18.75" customHeight="1" x14ac:dyDescent="0.3">
      <c r="A9" s="455" t="s">
        <v>260</v>
      </c>
      <c r="B9" s="681"/>
      <c r="C9" s="713"/>
      <c r="D9" s="383"/>
      <c r="E9" s="681"/>
      <c r="F9" s="381"/>
      <c r="G9" s="383"/>
      <c r="H9" s="681"/>
      <c r="I9" s="381"/>
      <c r="J9" s="383"/>
      <c r="K9" s="681"/>
      <c r="L9" s="381"/>
      <c r="M9" s="381"/>
      <c r="N9" s="668"/>
      <c r="O9" s="383"/>
      <c r="P9" s="383"/>
      <c r="Q9" s="681"/>
      <c r="R9" s="381"/>
      <c r="S9" s="383"/>
      <c r="T9" s="668"/>
      <c r="U9" s="383"/>
      <c r="V9" s="383"/>
      <c r="W9" s="681"/>
      <c r="X9" s="381"/>
      <c r="Y9" s="383"/>
      <c r="Z9" s="681"/>
      <c r="AA9" s="381"/>
      <c r="AB9" s="383"/>
      <c r="AC9" s="681"/>
      <c r="AD9" s="381"/>
      <c r="AE9" s="383"/>
      <c r="AF9" s="383"/>
      <c r="AG9" s="383"/>
      <c r="AH9" s="383"/>
      <c r="AI9" s="459"/>
      <c r="AJ9" s="459"/>
      <c r="AK9" s="459"/>
    </row>
    <row r="10" spans="1:37" s="362" customFormat="1" ht="18.75" customHeight="1" x14ac:dyDescent="0.3">
      <c r="A10" s="453" t="s">
        <v>443</v>
      </c>
      <c r="B10" s="460"/>
      <c r="C10" s="714"/>
      <c r="D10" s="271"/>
      <c r="E10" s="460"/>
      <c r="F10" s="347"/>
      <c r="G10" s="271"/>
      <c r="H10" s="460"/>
      <c r="I10" s="347"/>
      <c r="J10" s="271"/>
      <c r="K10" s="460"/>
      <c r="L10" s="347"/>
      <c r="M10" s="347"/>
      <c r="N10" s="461"/>
      <c r="O10" s="271"/>
      <c r="P10" s="271"/>
      <c r="Q10" s="460"/>
      <c r="R10" s="347"/>
      <c r="S10" s="271"/>
      <c r="T10" s="461"/>
      <c r="U10" s="271"/>
      <c r="V10" s="271"/>
      <c r="W10" s="460"/>
      <c r="X10" s="347"/>
      <c r="Y10" s="271"/>
      <c r="Z10" s="460"/>
      <c r="AA10" s="347"/>
      <c r="AB10" s="271"/>
      <c r="AC10" s="460"/>
      <c r="AD10" s="347"/>
      <c r="AE10" s="271"/>
      <c r="AF10" s="271"/>
      <c r="AG10" s="271"/>
      <c r="AH10" s="271"/>
      <c r="AI10" s="462"/>
      <c r="AJ10" s="462"/>
      <c r="AK10" s="462"/>
    </row>
    <row r="11" spans="1:37" s="362" customFormat="1" ht="18.75" customHeight="1" x14ac:dyDescent="0.3">
      <c r="A11" s="453" t="s">
        <v>261</v>
      </c>
      <c r="B11" s="461">
        <v>19580.545442160001</v>
      </c>
      <c r="C11" s="715">
        <v>21733.897000000001</v>
      </c>
      <c r="D11" s="271">
        <f t="shared" ref="D11:D17" si="0">IF(B11=0, "    ---- ", IF(ABS(ROUND(100/B11*C11-100,1))&lt;999,ROUND(100/B11*C11-100,1),IF(ROUND(100/B11*C11-100,1)&gt;999,999,-999)))</f>
        <v>11</v>
      </c>
      <c r="E11" s="461">
        <v>4102.0609713200001</v>
      </c>
      <c r="F11" s="271">
        <v>4372.3222818199993</v>
      </c>
      <c r="G11" s="271">
        <f t="shared" ref="G11:G17" si="1">IF(E11=0, "    ---- ", IF(ABS(ROUND(100/E11*F11-100,1))&lt;999,ROUND(100/E11*F11-100,1),IF(ROUND(100/E11*F11-100,1)&gt;999,999,-999)))</f>
        <v>6.6</v>
      </c>
      <c r="H11" s="461">
        <v>669.49599999999998</v>
      </c>
      <c r="I11" s="271">
        <v>756.47699999999998</v>
      </c>
      <c r="J11" s="271">
        <f t="shared" ref="J11:J15" si="2">IF(H11=0, "    ---- ", IF(ABS(ROUND(100/H11*I11-100,1))&lt;999,ROUND(100/H11*I11-100,1),IF(ROUND(100/H11*I11-100,1)&gt;999,999,-999)))</f>
        <v>13</v>
      </c>
      <c r="K11" s="461">
        <v>6438</v>
      </c>
      <c r="L11" s="271">
        <v>7756</v>
      </c>
      <c r="M11" s="271">
        <f t="shared" ref="M11:M16" si="3">IF(K11=0, "    ---- ", IF(ABS(ROUND(100/K11*L11-100,1))&lt;999,ROUND(100/K11*L11-100,1),IF(ROUND(100/K11*L11-100,1)&gt;999,999,-999)))</f>
        <v>20.5</v>
      </c>
      <c r="N11" s="461">
        <v>70234.30530326</v>
      </c>
      <c r="O11" s="271">
        <v>60881.872822919999</v>
      </c>
      <c r="P11" s="271">
        <f t="shared" ref="P11:P17" si="4">IF(N11=0, "    ---- ", IF(ABS(ROUND(100/N11*O11-100,1))&lt;999,ROUND(100/N11*O11-100,1),IF(ROUND(100/N11*O11-100,1)&gt;999,999,-999)))</f>
        <v>-13.3</v>
      </c>
      <c r="Q11" s="461">
        <v>18828.081100000003</v>
      </c>
      <c r="R11" s="271">
        <v>22494.765299999999</v>
      </c>
      <c r="S11" s="271">
        <f t="shared" ref="S11:S17" si="5">IF(Q11=0, "    ---- ", IF(ABS(ROUND(100/Q11*R11-100,1))&lt;999,ROUND(100/Q11*R11-100,1),IF(ROUND(100/Q11*R11-100,1)&gt;999,999,-999)))</f>
        <v>19.5</v>
      </c>
      <c r="T11" s="461">
        <v>10545</v>
      </c>
      <c r="U11" s="271">
        <v>8288</v>
      </c>
      <c r="V11" s="271">
        <f t="shared" ref="V11:V17" si="6">IF(T11=0, "    ---- ", IF(ABS(ROUND(100/T11*U11-100,1))&lt;999,ROUND(100/T11*U11-100,1),IF(ROUND(100/T11*U11-100,1)&gt;999,999,-999)))</f>
        <v>-21.4</v>
      </c>
      <c r="W11" s="461">
        <v>7777.8768283199997</v>
      </c>
      <c r="X11" s="271">
        <v>8657.7690444599993</v>
      </c>
      <c r="Y11" s="271">
        <f t="shared" ref="Y11:Y17" si="7">IF(W11=0, "    ---- ", IF(ABS(ROUND(100/W11*X11-100,1))&lt;999,ROUND(100/W11*X11-100,1),IF(ROUND(100/W11*X11-100,1)&gt;999,999,-999)))</f>
        <v>11.3</v>
      </c>
      <c r="Z11" s="461">
        <v>26017.768374080009</v>
      </c>
      <c r="AA11" s="271">
        <v>26843.67138489</v>
      </c>
      <c r="AB11" s="271">
        <f t="shared" ref="AB11:AB17" si="8">IF(Z11=0, "    ---- ", IF(ABS(ROUND(100/Z11*AA11-100,1))&lt;999,ROUND(100/Z11*AA11-100,1),IF(ROUND(100/Z11*AA11-100,1)&gt;999,999,-999)))</f>
        <v>3.2</v>
      </c>
      <c r="AC11" s="144">
        <v>32</v>
      </c>
      <c r="AD11" s="271">
        <v>147</v>
      </c>
      <c r="AE11" s="271">
        <f t="shared" ref="AE11:AE17" si="9">IF(AC11=0, "    ---- ", IF(ABS(ROUND(100/AC11*AD11-100,1))&lt;999,ROUND(100/AC11*AD11-100,1),IF(ROUND(100/AC11*AD11-100,1)&gt;999,999,-999)))</f>
        <v>359.4</v>
      </c>
      <c r="AF11" s="271">
        <f t="shared" ref="AF11:AG26" si="10">B11+E11+H11+K11+N11+Q11+T11+W11+Z11</f>
        <v>164193.13401914001</v>
      </c>
      <c r="AG11" s="271">
        <f t="shared" si="10"/>
        <v>161784.77483409</v>
      </c>
      <c r="AH11" s="271">
        <f t="shared" ref="AH11:AH46" si="11">IF(AF11=0, "    ---- ", IF(ABS(ROUND(100/AF11*AG11-100,1))&lt;999,ROUND(100/AF11*AG11-100,1),IF(ROUND(100/AF11*AG11-100,1)&gt;999,999,-999)))</f>
        <v>-1.5</v>
      </c>
      <c r="AI11" s="350">
        <f t="shared" ref="AI11:AJ21" si="12">B11+E11+H11+K11+N11+Q11+T11+W11+Z11+AC11</f>
        <v>164225.13401914001</v>
      </c>
      <c r="AJ11" s="350">
        <f t="shared" si="12"/>
        <v>161931.77483409</v>
      </c>
      <c r="AK11" s="271">
        <f t="shared" ref="AK11:AK17" si="13">IF(AI11=0, "    ---- ", IF(ABS(ROUND(100/AI11*AJ11-100,1))&lt;999,ROUND(100/AI11*AJ11-100,1),IF(ROUND(100/AI11*AJ11-100,1)&gt;999,999,-999)))</f>
        <v>-1.4</v>
      </c>
    </row>
    <row r="12" spans="1:37" s="362" customFormat="1" ht="18.75" customHeight="1" x14ac:dyDescent="0.3">
      <c r="A12" s="453" t="s">
        <v>262</v>
      </c>
      <c r="B12" s="461">
        <v>-289.93215989999999</v>
      </c>
      <c r="C12" s="715">
        <v>-219.77799999999999</v>
      </c>
      <c r="D12" s="271">
        <f t="shared" si="0"/>
        <v>-24.2</v>
      </c>
      <c r="E12" s="461">
        <v>-38.458228950000006</v>
      </c>
      <c r="F12" s="271">
        <v>-65.296880880000003</v>
      </c>
      <c r="G12" s="271">
        <f t="shared" si="1"/>
        <v>69.8</v>
      </c>
      <c r="H12" s="461">
        <v>-33.082999999999998</v>
      </c>
      <c r="I12" s="271">
        <v>-21.382999999999999</v>
      </c>
      <c r="J12" s="271">
        <f t="shared" si="2"/>
        <v>-35.4</v>
      </c>
      <c r="K12" s="461">
        <v>-92</v>
      </c>
      <c r="L12" s="271">
        <v>-103</v>
      </c>
      <c r="M12" s="271">
        <f t="shared" si="3"/>
        <v>12</v>
      </c>
      <c r="N12" s="461"/>
      <c r="O12" s="271"/>
      <c r="P12" s="271"/>
      <c r="Q12" s="461">
        <v>-113.02</v>
      </c>
      <c r="R12" s="271">
        <v>-112.2</v>
      </c>
      <c r="S12" s="271">
        <f t="shared" si="5"/>
        <v>-0.7</v>
      </c>
      <c r="T12" s="461">
        <v>-2</v>
      </c>
      <c r="U12" s="271">
        <v>0</v>
      </c>
      <c r="V12" s="271">
        <f t="shared" si="6"/>
        <v>-100</v>
      </c>
      <c r="W12" s="461">
        <v>-6.6710000000000003</v>
      </c>
      <c r="X12" s="271">
        <v>-8.3729999999999993</v>
      </c>
      <c r="Y12" s="271">
        <f t="shared" si="7"/>
        <v>25.5</v>
      </c>
      <c r="Z12" s="461">
        <v>-32.980820520000002</v>
      </c>
      <c r="AA12" s="271">
        <v>-32.651015039999997</v>
      </c>
      <c r="AB12" s="271">
        <f t="shared" si="8"/>
        <v>-1</v>
      </c>
      <c r="AC12" s="144">
        <v>-5</v>
      </c>
      <c r="AD12" s="271">
        <v>-46</v>
      </c>
      <c r="AE12" s="271">
        <f t="shared" si="9"/>
        <v>820</v>
      </c>
      <c r="AF12" s="271">
        <f t="shared" si="10"/>
        <v>-608.14520936999998</v>
      </c>
      <c r="AG12" s="271">
        <f t="shared" si="10"/>
        <v>-562.68189591999999</v>
      </c>
      <c r="AH12" s="271">
        <f t="shared" si="11"/>
        <v>-7.5</v>
      </c>
      <c r="AI12" s="350">
        <f t="shared" si="12"/>
        <v>-613.14520936999998</v>
      </c>
      <c r="AJ12" s="350">
        <f t="shared" si="12"/>
        <v>-608.68189591999999</v>
      </c>
      <c r="AK12" s="271">
        <f t="shared" si="13"/>
        <v>-0.7</v>
      </c>
    </row>
    <row r="13" spans="1:37" s="362" customFormat="1" ht="18.75" customHeight="1" x14ac:dyDescent="0.3">
      <c r="A13" s="453" t="s">
        <v>444</v>
      </c>
      <c r="B13" s="461">
        <v>12657.522063889997</v>
      </c>
      <c r="C13" s="715">
        <v>15099.335999999999</v>
      </c>
      <c r="D13" s="271">
        <f t="shared" si="0"/>
        <v>19.3</v>
      </c>
      <c r="E13" s="461"/>
      <c r="F13" s="271"/>
      <c r="G13" s="271" t="str">
        <f t="shared" si="1"/>
        <v xml:space="preserve">    ---- </v>
      </c>
      <c r="H13" s="461"/>
      <c r="I13" s="271"/>
      <c r="J13" s="271"/>
      <c r="K13" s="461">
        <v>8192</v>
      </c>
      <c r="L13" s="271">
        <v>9519</v>
      </c>
      <c r="M13" s="271">
        <f t="shared" si="3"/>
        <v>16.2</v>
      </c>
      <c r="N13" s="461">
        <v>91.871198000000007</v>
      </c>
      <c r="O13" s="271">
        <v>1.2145630000000001</v>
      </c>
      <c r="P13" s="271">
        <f t="shared" si="4"/>
        <v>-98.7</v>
      </c>
      <c r="Q13" s="461">
        <v>11861.63</v>
      </c>
      <c r="R13" s="271">
        <v>12262.77</v>
      </c>
      <c r="S13" s="271">
        <f t="shared" si="5"/>
        <v>3.4</v>
      </c>
      <c r="T13" s="461"/>
      <c r="U13" s="271"/>
      <c r="V13" s="271"/>
      <c r="W13" s="461">
        <v>4597.9306948699987</v>
      </c>
      <c r="X13" s="271">
        <v>5695.2929642499985</v>
      </c>
      <c r="Y13" s="271">
        <f t="shared" si="7"/>
        <v>23.9</v>
      </c>
      <c r="Z13" s="461">
        <v>10734.999263369999</v>
      </c>
      <c r="AA13" s="271">
        <v>11472.534175119999</v>
      </c>
      <c r="AB13" s="271">
        <f t="shared" si="8"/>
        <v>6.9</v>
      </c>
      <c r="AC13" s="144">
        <v>17</v>
      </c>
      <c r="AD13" s="271">
        <v>8</v>
      </c>
      <c r="AE13" s="271">
        <f t="shared" si="9"/>
        <v>-52.9</v>
      </c>
      <c r="AF13" s="271">
        <f t="shared" si="10"/>
        <v>48135.953220129988</v>
      </c>
      <c r="AG13" s="271">
        <f t="shared" si="10"/>
        <v>54050.147702369999</v>
      </c>
      <c r="AH13" s="271">
        <f t="shared" si="11"/>
        <v>12.3</v>
      </c>
      <c r="AI13" s="350">
        <f t="shared" si="12"/>
        <v>48152.953220129988</v>
      </c>
      <c r="AJ13" s="350">
        <f t="shared" si="12"/>
        <v>54058.147702369999</v>
      </c>
      <c r="AK13" s="271">
        <f t="shared" si="13"/>
        <v>12.3</v>
      </c>
    </row>
    <row r="14" spans="1:37" s="362" customFormat="1" ht="18.75" customHeight="1" x14ac:dyDescent="0.3">
      <c r="A14" s="453" t="s">
        <v>263</v>
      </c>
      <c r="B14" s="460">
        <f>SUM(B11:B13)</f>
        <v>31948.135346149997</v>
      </c>
      <c r="C14" s="714">
        <f>SUM(C11:C13)</f>
        <v>36613.455000000002</v>
      </c>
      <c r="D14" s="271">
        <f t="shared" si="0"/>
        <v>14.6</v>
      </c>
      <c r="E14" s="460">
        <f>SUM(E11:E13)</f>
        <v>4063.6027423700002</v>
      </c>
      <c r="F14" s="347">
        <f>SUM(F11:F13)</f>
        <v>4307.0254009399996</v>
      </c>
      <c r="G14" s="271">
        <f t="shared" si="1"/>
        <v>6</v>
      </c>
      <c r="H14" s="460">
        <f>SUM(H11:H13)</f>
        <v>636.41300000000001</v>
      </c>
      <c r="I14" s="347">
        <f>SUM(I11:I13)</f>
        <v>735.09399999999994</v>
      </c>
      <c r="J14" s="271">
        <f t="shared" si="2"/>
        <v>15.5</v>
      </c>
      <c r="K14" s="460">
        <f>SUM(K11:K13)</f>
        <v>14538</v>
      </c>
      <c r="L14" s="347">
        <f>SUM(L11:L13)</f>
        <v>17172</v>
      </c>
      <c r="M14" s="271">
        <f t="shared" si="3"/>
        <v>18.100000000000001</v>
      </c>
      <c r="N14" s="460">
        <v>70326.176501259994</v>
      </c>
      <c r="O14" s="347">
        <v>60883.08738592</v>
      </c>
      <c r="P14" s="271">
        <f t="shared" si="4"/>
        <v>-13.4</v>
      </c>
      <c r="Q14" s="460">
        <f>SUM(Q11:Q13)</f>
        <v>30576.691100000004</v>
      </c>
      <c r="R14" s="347">
        <f>SUM(R11:R13)</f>
        <v>34645.335299999999</v>
      </c>
      <c r="S14" s="271">
        <f t="shared" si="5"/>
        <v>13.3</v>
      </c>
      <c r="T14" s="460">
        <f>SUM(T11:T13)</f>
        <v>10543</v>
      </c>
      <c r="U14" s="347">
        <f>SUM(U11:U13)</f>
        <v>8288</v>
      </c>
      <c r="V14" s="271">
        <f t="shared" si="6"/>
        <v>-21.4</v>
      </c>
      <c r="W14" s="460">
        <f>SUM(W11:W13)</f>
        <v>12369.136523189998</v>
      </c>
      <c r="X14" s="347">
        <f>SUM(X11:X13)</f>
        <v>14344.689008709998</v>
      </c>
      <c r="Y14" s="271">
        <f t="shared" si="7"/>
        <v>16</v>
      </c>
      <c r="Z14" s="460">
        <f>SUM(Z11:Z13)</f>
        <v>36719.786816930005</v>
      </c>
      <c r="AA14" s="347">
        <f>SUM(AA11:AA13)</f>
        <v>38283.55454497</v>
      </c>
      <c r="AB14" s="271">
        <f t="shared" si="8"/>
        <v>4.3</v>
      </c>
      <c r="AC14" s="76">
        <f>SUM(AC11:AC13)</f>
        <v>44</v>
      </c>
      <c r="AD14" s="347">
        <f>SUM(AD11:AD13)</f>
        <v>109</v>
      </c>
      <c r="AE14" s="271">
        <f t="shared" si="9"/>
        <v>147.69999999999999</v>
      </c>
      <c r="AF14" s="271">
        <f t="shared" si="10"/>
        <v>211720.94202989998</v>
      </c>
      <c r="AG14" s="271">
        <f t="shared" si="10"/>
        <v>215272.24064054003</v>
      </c>
      <c r="AH14" s="271">
        <f t="shared" si="11"/>
        <v>1.7</v>
      </c>
      <c r="AI14" s="350">
        <f t="shared" si="12"/>
        <v>211764.94202989998</v>
      </c>
      <c r="AJ14" s="350">
        <f t="shared" si="12"/>
        <v>215381.24064054003</v>
      </c>
      <c r="AK14" s="271">
        <f t="shared" si="13"/>
        <v>1.7</v>
      </c>
    </row>
    <row r="15" spans="1:37" s="362" customFormat="1" ht="18.75" customHeight="1" x14ac:dyDescent="0.3">
      <c r="A15" s="453" t="s">
        <v>264</v>
      </c>
      <c r="B15" s="144">
        <v>5929.975869939999</v>
      </c>
      <c r="C15" s="715">
        <v>8681.3009999999995</v>
      </c>
      <c r="D15" s="271">
        <f t="shared" si="0"/>
        <v>46.4</v>
      </c>
      <c r="E15" s="712">
        <v>380.0621136100001</v>
      </c>
      <c r="F15" s="384">
        <v>476.98749974999998</v>
      </c>
      <c r="G15" s="271">
        <f t="shared" si="1"/>
        <v>25.5</v>
      </c>
      <c r="H15" s="712">
        <v>67.559899999999999</v>
      </c>
      <c r="I15" s="384">
        <v>110.989</v>
      </c>
      <c r="J15" s="271">
        <f t="shared" si="2"/>
        <v>64.3</v>
      </c>
      <c r="K15" s="144">
        <v>193</v>
      </c>
      <c r="L15" s="350">
        <v>344</v>
      </c>
      <c r="M15" s="271">
        <f t="shared" si="3"/>
        <v>78.2</v>
      </c>
      <c r="N15" s="144">
        <v>42499.977166459998</v>
      </c>
      <c r="O15" s="350">
        <v>65265.343273629995</v>
      </c>
      <c r="P15" s="271">
        <f t="shared" si="4"/>
        <v>53.6</v>
      </c>
      <c r="Q15" s="144">
        <v>1349.1885</v>
      </c>
      <c r="R15" s="350">
        <v>2380.2644</v>
      </c>
      <c r="S15" s="271">
        <f t="shared" si="5"/>
        <v>76.400000000000006</v>
      </c>
      <c r="T15" s="144">
        <v>6240</v>
      </c>
      <c r="U15" s="350">
        <v>8628</v>
      </c>
      <c r="V15" s="271">
        <f t="shared" si="6"/>
        <v>38.299999999999997</v>
      </c>
      <c r="W15" s="693">
        <v>709.01644470999963</v>
      </c>
      <c r="X15" s="373">
        <v>1260.0367183099966</v>
      </c>
      <c r="Y15" s="271">
        <f t="shared" si="7"/>
        <v>77.7</v>
      </c>
      <c r="Z15" s="144">
        <v>5614.6313296478402</v>
      </c>
      <c r="AA15" s="350">
        <v>10255.16624456</v>
      </c>
      <c r="AB15" s="271">
        <f t="shared" si="8"/>
        <v>82.7</v>
      </c>
      <c r="AC15" s="144"/>
      <c r="AD15" s="350">
        <v>1</v>
      </c>
      <c r="AE15" s="271" t="str">
        <f t="shared" si="9"/>
        <v xml:space="preserve">    ---- </v>
      </c>
      <c r="AF15" s="271">
        <f t="shared" si="10"/>
        <v>62983.411324367837</v>
      </c>
      <c r="AG15" s="271">
        <f t="shared" si="10"/>
        <v>97402.088136249993</v>
      </c>
      <c r="AH15" s="271">
        <f t="shared" si="11"/>
        <v>54.6</v>
      </c>
      <c r="AI15" s="350">
        <f t="shared" si="12"/>
        <v>62983.411324367837</v>
      </c>
      <c r="AJ15" s="350">
        <f t="shared" si="12"/>
        <v>97403.088136249993</v>
      </c>
      <c r="AK15" s="271">
        <f t="shared" si="13"/>
        <v>54.6</v>
      </c>
    </row>
    <row r="16" spans="1:37" s="362" customFormat="1" ht="18.75" customHeight="1" x14ac:dyDescent="0.3">
      <c r="A16" s="453" t="s">
        <v>265</v>
      </c>
      <c r="B16" s="144">
        <v>18176.742236680002</v>
      </c>
      <c r="C16" s="715">
        <v>24258.423999999999</v>
      </c>
      <c r="D16" s="271">
        <f t="shared" si="0"/>
        <v>33.5</v>
      </c>
      <c r="E16" s="712"/>
      <c r="F16" s="384"/>
      <c r="G16" s="271" t="str">
        <f t="shared" si="1"/>
        <v xml:space="preserve">    ---- </v>
      </c>
      <c r="H16" s="712"/>
      <c r="I16" s="384"/>
      <c r="J16" s="271"/>
      <c r="K16" s="144">
        <v>6768</v>
      </c>
      <c r="L16" s="350">
        <v>9963</v>
      </c>
      <c r="M16" s="347">
        <f t="shared" si="3"/>
        <v>47.2</v>
      </c>
      <c r="N16" s="144">
        <v>212.42643328</v>
      </c>
      <c r="O16" s="350">
        <v>304.34136494000001</v>
      </c>
      <c r="P16" s="463">
        <f t="shared" si="4"/>
        <v>43.3</v>
      </c>
      <c r="Q16" s="144">
        <v>16883.886299999998</v>
      </c>
      <c r="R16" s="350">
        <v>22705.444100000001</v>
      </c>
      <c r="S16" s="271">
        <f t="shared" si="5"/>
        <v>34.5</v>
      </c>
      <c r="T16" s="144"/>
      <c r="U16" s="350"/>
      <c r="V16" s="271"/>
      <c r="W16" s="693">
        <v>7743.6858961000044</v>
      </c>
      <c r="X16" s="373">
        <v>9354.5937571599952</v>
      </c>
      <c r="Y16" s="271">
        <f t="shared" si="7"/>
        <v>20.8</v>
      </c>
      <c r="Z16" s="144">
        <v>22728.961519100001</v>
      </c>
      <c r="AA16" s="350">
        <v>30489.871372789999</v>
      </c>
      <c r="AB16" s="271">
        <f t="shared" si="8"/>
        <v>34.1</v>
      </c>
      <c r="AC16" s="144"/>
      <c r="AD16" s="350">
        <v>0</v>
      </c>
      <c r="AE16" s="271" t="str">
        <f t="shared" si="9"/>
        <v xml:space="preserve">    ---- </v>
      </c>
      <c r="AF16" s="271">
        <f t="shared" si="10"/>
        <v>72513.70238516001</v>
      </c>
      <c r="AG16" s="271">
        <f t="shared" si="10"/>
        <v>97075.674594890006</v>
      </c>
      <c r="AH16" s="271">
        <f t="shared" si="11"/>
        <v>33.9</v>
      </c>
      <c r="AI16" s="350">
        <f t="shared" si="12"/>
        <v>72513.70238516001</v>
      </c>
      <c r="AJ16" s="350">
        <f t="shared" si="12"/>
        <v>97075.674594890006</v>
      </c>
      <c r="AK16" s="271">
        <f t="shared" si="13"/>
        <v>33.9</v>
      </c>
    </row>
    <row r="17" spans="1:39" s="362" customFormat="1" ht="18.75" customHeight="1" x14ac:dyDescent="0.3">
      <c r="A17" s="453" t="s">
        <v>266</v>
      </c>
      <c r="B17" s="144">
        <v>47.321868530000003</v>
      </c>
      <c r="C17" s="715">
        <v>50.66</v>
      </c>
      <c r="D17" s="271">
        <f t="shared" si="0"/>
        <v>7.1</v>
      </c>
      <c r="E17" s="712">
        <v>12.042160730000001</v>
      </c>
      <c r="F17" s="384">
        <v>13.591834159999998</v>
      </c>
      <c r="G17" s="271">
        <f t="shared" si="1"/>
        <v>12.9</v>
      </c>
      <c r="H17" s="712"/>
      <c r="I17" s="384"/>
      <c r="J17" s="271"/>
      <c r="K17" s="144">
        <v>278</v>
      </c>
      <c r="L17" s="350">
        <v>336</v>
      </c>
      <c r="M17" s="271"/>
      <c r="N17" s="144">
        <v>1415.0679729999999</v>
      </c>
      <c r="O17" s="350">
        <v>1472.947263</v>
      </c>
      <c r="P17" s="271">
        <f t="shared" si="4"/>
        <v>4.0999999999999996</v>
      </c>
      <c r="Q17" s="144">
        <v>306.84930000000003</v>
      </c>
      <c r="R17" s="350">
        <v>376.94490000000002</v>
      </c>
      <c r="S17" s="271">
        <f t="shared" si="5"/>
        <v>22.8</v>
      </c>
      <c r="T17" s="144">
        <v>87</v>
      </c>
      <c r="U17" s="350">
        <v>192</v>
      </c>
      <c r="V17" s="271">
        <f t="shared" si="6"/>
        <v>120.7</v>
      </c>
      <c r="W17" s="693">
        <v>340.09409435999993</v>
      </c>
      <c r="X17" s="373">
        <v>400.52583569000001</v>
      </c>
      <c r="Y17" s="271">
        <f t="shared" si="7"/>
        <v>17.8</v>
      </c>
      <c r="Z17" s="144">
        <v>824.06882453999992</v>
      </c>
      <c r="AA17" s="350">
        <v>975.61145765000003</v>
      </c>
      <c r="AB17" s="271">
        <f t="shared" si="8"/>
        <v>18.399999999999999</v>
      </c>
      <c r="AC17" s="144"/>
      <c r="AD17" s="350">
        <v>0</v>
      </c>
      <c r="AE17" s="271" t="str">
        <f t="shared" si="9"/>
        <v xml:space="preserve">    ---- </v>
      </c>
      <c r="AF17" s="271">
        <f t="shared" si="10"/>
        <v>3310.4442211599999</v>
      </c>
      <c r="AG17" s="271">
        <f t="shared" si="10"/>
        <v>3818.2812905000001</v>
      </c>
      <c r="AH17" s="271">
        <f t="shared" si="11"/>
        <v>15.3</v>
      </c>
      <c r="AI17" s="350">
        <f t="shared" si="12"/>
        <v>3310.4442211599999</v>
      </c>
      <c r="AJ17" s="350">
        <f t="shared" si="12"/>
        <v>3818.2812905000001</v>
      </c>
      <c r="AK17" s="271">
        <f t="shared" si="13"/>
        <v>15.3</v>
      </c>
    </row>
    <row r="18" spans="1:39" s="362" customFormat="1" ht="18.75" customHeight="1" x14ac:dyDescent="0.3">
      <c r="A18" s="453" t="s">
        <v>267</v>
      </c>
      <c r="B18" s="144"/>
      <c r="C18" s="715"/>
      <c r="D18" s="271"/>
      <c r="E18" s="712"/>
      <c r="F18" s="384"/>
      <c r="G18" s="271"/>
      <c r="H18" s="712"/>
      <c r="I18" s="384"/>
      <c r="J18" s="271"/>
      <c r="K18" s="144"/>
      <c r="L18" s="350"/>
      <c r="M18" s="347"/>
      <c r="N18" s="144"/>
      <c r="O18" s="350"/>
      <c r="P18" s="271"/>
      <c r="Q18" s="682"/>
      <c r="R18" s="374"/>
      <c r="S18" s="271"/>
      <c r="T18" s="144"/>
      <c r="U18" s="350"/>
      <c r="V18" s="271"/>
      <c r="W18" s="693"/>
      <c r="X18" s="373"/>
      <c r="Y18" s="271"/>
      <c r="Z18" s="144"/>
      <c r="AA18" s="350"/>
      <c r="AB18" s="271"/>
      <c r="AC18" s="144"/>
      <c r="AD18" s="350"/>
      <c r="AE18" s="271"/>
      <c r="AF18" s="271">
        <f t="shared" si="10"/>
        <v>0</v>
      </c>
      <c r="AG18" s="271">
        <f t="shared" si="10"/>
        <v>0</v>
      </c>
      <c r="AH18" s="271"/>
      <c r="AI18" s="350">
        <f t="shared" si="12"/>
        <v>0</v>
      </c>
      <c r="AJ18" s="350">
        <f t="shared" si="12"/>
        <v>0</v>
      </c>
      <c r="AK18" s="462"/>
    </row>
    <row r="19" spans="1:39" s="362" customFormat="1" ht="18.75" customHeight="1" x14ac:dyDescent="0.3">
      <c r="A19" s="453" t="s">
        <v>268</v>
      </c>
      <c r="B19" s="460">
        <v>-15445.503752739998</v>
      </c>
      <c r="C19" s="714">
        <v>-16261.621999999999</v>
      </c>
      <c r="D19" s="271">
        <f>IF(B19=0, "    ---- ", IF(ABS(ROUND(100/B19*C19-100,1))&lt;999,ROUND(100/B19*C19-100,1),IF(ROUND(100/B19*C19-100,1)&gt;999,999,-999)))</f>
        <v>5.3</v>
      </c>
      <c r="E19" s="460">
        <v>-1693.23034985</v>
      </c>
      <c r="F19" s="347">
        <v>-1867.3036670399997</v>
      </c>
      <c r="G19" s="271">
        <f>IF(E19=0, "    ---- ", IF(ABS(ROUND(100/E19*F19-100,1))&lt;999,ROUND(100/E19*F19-100,1),IF(ROUND(100/E19*F19-100,1)&gt;999,999,-999)))</f>
        <v>10.3</v>
      </c>
      <c r="H19" s="460">
        <v>-270.06700000000001</v>
      </c>
      <c r="I19" s="347">
        <v>-293.517</v>
      </c>
      <c r="J19" s="271">
        <f>IF(H19=0, "    ---- ", IF(ABS(ROUND(100/H19*I19-100,1))&lt;999,ROUND(100/H19*I19-100,1),IF(ROUND(100/H19*I19-100,1)&gt;999,999,-999)))</f>
        <v>8.6999999999999993</v>
      </c>
      <c r="K19" s="460">
        <v>-1065</v>
      </c>
      <c r="L19" s="347">
        <v>-1239</v>
      </c>
      <c r="M19" s="271">
        <f>IF(K19=0, "    ---- ", IF(ABS(ROUND(100/K19*L19-100,1))&lt;999,ROUND(100/K19*L19-100,1),IF(ROUND(100/K19*L19-100,1)&gt;999,999,-999)))</f>
        <v>16.3</v>
      </c>
      <c r="N19" s="144">
        <v>-26122.164286979998</v>
      </c>
      <c r="O19" s="347">
        <v>-27777.378115939999</v>
      </c>
      <c r="P19" s="271">
        <f>IF(N19=0, "    ---- ", IF(ABS(ROUND(100/N19*O19-100,1))&lt;999,ROUND(100/N19*O19-100,1),IF(ROUND(100/N19*O19-100,1)&gt;999,999,-999)))</f>
        <v>6.3</v>
      </c>
      <c r="Q19" s="460">
        <v>-9209.6370999999999</v>
      </c>
      <c r="R19" s="347">
        <v>-9198.0570000000007</v>
      </c>
      <c r="S19" s="271">
        <f>IF(Q19=0, "    ---- ", IF(ABS(ROUND(100/Q19*R19-100,1))&lt;999,ROUND(100/Q19*R19-100,1),IF(ROUND(100/Q19*R19-100,1)&gt;999,999,-999)))</f>
        <v>-0.1</v>
      </c>
      <c r="T19" s="460">
        <v>-3640</v>
      </c>
      <c r="U19" s="347">
        <v>-3784</v>
      </c>
      <c r="V19" s="271">
        <f>IF(T19=0, "    ---- ", IF(ABS(ROUND(100/T19*U19-100,1))&lt;999,ROUND(100/T19*U19-100,1),IF(ROUND(100/T19*U19-100,1)&gt;999,999,-999)))</f>
        <v>4</v>
      </c>
      <c r="W19" s="694">
        <v>-1854.2048815100002</v>
      </c>
      <c r="X19" s="375">
        <v>-2075.0927163599999</v>
      </c>
      <c r="Y19" s="271">
        <f>IF(W19=0, "    ---- ", IF(ABS(ROUND(100/W19*X19-100,1))&lt;999,ROUND(100/W19*X19-100,1),IF(ROUND(100/W19*X19-100,1)&gt;999,999,-999)))</f>
        <v>11.9</v>
      </c>
      <c r="Z19" s="460">
        <f>-15062.31779845+33</f>
        <v>-15029.31779845</v>
      </c>
      <c r="AA19" s="347">
        <v>-15851.60363691</v>
      </c>
      <c r="AB19" s="271">
        <f>IF(Z19=0, "    ---- ", IF(ABS(ROUND(100/Z19*AA19-100,1))&lt;999,ROUND(100/Z19*AA19-100,1),IF(ROUND(100/Z19*AA19-100,1)&gt;999,999,-999)))</f>
        <v>5.5</v>
      </c>
      <c r="AC19" s="76">
        <v>-4</v>
      </c>
      <c r="AD19" s="347">
        <v>-11</v>
      </c>
      <c r="AE19" s="271">
        <f>IF(AC19=0, "    ---- ", IF(ABS(ROUND(100/AC19*AD19-100,1))&lt;999,ROUND(100/AC19*AD19-100,1),IF(ROUND(100/AC19*AD19-100,1)&gt;999,999,-999)))</f>
        <v>175</v>
      </c>
      <c r="AF19" s="271">
        <f t="shared" si="10"/>
        <v>-74329.125169529987</v>
      </c>
      <c r="AG19" s="271">
        <f t="shared" si="10"/>
        <v>-78347.574136249998</v>
      </c>
      <c r="AH19" s="271">
        <f t="shared" si="11"/>
        <v>5.4</v>
      </c>
      <c r="AI19" s="350">
        <f t="shared" si="12"/>
        <v>-74333.125169529987</v>
      </c>
      <c r="AJ19" s="350">
        <f t="shared" si="12"/>
        <v>-78358.574136249998</v>
      </c>
      <c r="AK19" s="271">
        <f>IF(AI19=0, "    ---- ", IF(ABS(ROUND(100/AI19*AJ19-100,1))&lt;999,ROUND(100/AI19*AJ19-100,1),IF(ROUND(100/AI19*AJ19-100,1)&gt;999,999,-999)))</f>
        <v>5.4</v>
      </c>
    </row>
    <row r="20" spans="1:39" s="362" customFormat="1" ht="18.75" x14ac:dyDescent="0.3">
      <c r="A20" s="761" t="s">
        <v>471</v>
      </c>
      <c r="B20" s="461">
        <v>-14128.770269659999</v>
      </c>
      <c r="C20" s="715">
        <v>-17145.578000000001</v>
      </c>
      <c r="D20" s="271">
        <f>IF(B20=0, "    ---- ", IF(ABS(ROUND(100/B20*C20-100,1))&lt;999,ROUND(100/B20*C20-100,1),IF(ROUND(100/B20*C20-100,1)&gt;999,999,-999)))</f>
        <v>21.4</v>
      </c>
      <c r="E20" s="461">
        <v>117.77216236999999</v>
      </c>
      <c r="F20" s="271">
        <v>118.17784445999999</v>
      </c>
      <c r="G20" s="271">
        <f>IF(E20=0, "    ---- ", IF(ABS(ROUND(100/E20*F20-100,1))&lt;999,ROUND(100/E20*F20-100,1),IF(ROUND(100/E20*F20-100,1)&gt;999,999,-999)))</f>
        <v>0.3</v>
      </c>
      <c r="H20" s="461"/>
      <c r="I20" s="271"/>
      <c r="J20" s="271"/>
      <c r="K20" s="461">
        <v>-5597</v>
      </c>
      <c r="L20" s="271">
        <v>-8025</v>
      </c>
      <c r="M20" s="271">
        <f>IF(K20=0, "    ---- ", IF(ABS(ROUND(100/K20*L20-100,1))&lt;999,ROUND(100/K20*L20-100,1),IF(ROUND(100/K20*L20-100,1)&gt;999,999,-999)))</f>
        <v>43.4</v>
      </c>
      <c r="N20" s="144">
        <v>-2139.3124769999999</v>
      </c>
      <c r="O20" s="271">
        <v>-2422.6546440000002</v>
      </c>
      <c r="P20" s="271">
        <f>IF(N20=0, "    ---- ", IF(ABS(ROUND(100/N20*O20-100,1))&lt;999,ROUND(100/N20*O20-100,1),IF(ROUND(100/N20*O20-100,1)&gt;999,999,-999)))</f>
        <v>13.2</v>
      </c>
      <c r="Q20" s="669">
        <v>-9568</v>
      </c>
      <c r="R20" s="376">
        <v>-11009</v>
      </c>
      <c r="S20" s="271">
        <f>IF(Q20=0, "    ---- ", IF(ABS(ROUND(100/Q20*R20-100,1))&lt;999,ROUND(100/Q20*R20-100,1),IF(ROUND(100/Q20*R20-100,1)&gt;999,999,-999)))</f>
        <v>15.1</v>
      </c>
      <c r="T20" s="669"/>
      <c r="U20" s="376">
        <v>-120</v>
      </c>
      <c r="V20" s="271" t="str">
        <f t="shared" ref="V20" si="14">IF(T20=0, "    ---- ", IF(ABS(ROUND(100/T20*U20-100,1))&lt;999,ROUND(100/T20*U20-100,1),IF(ROUND(100/T20*U20-100,1)&gt;999,999,-999)))</f>
        <v xml:space="preserve">    ---- </v>
      </c>
      <c r="W20" s="669">
        <v>-4828.8636505100012</v>
      </c>
      <c r="X20" s="376">
        <v>-5822.0217500299996</v>
      </c>
      <c r="Y20" s="271">
        <f>IF(W20=0, "    ---- ", IF(ABS(ROUND(100/W20*X20-100,1))&lt;999,ROUND(100/W20*X20-100,1),IF(ROUND(100/W20*X20-100,1)&gt;999,999,-999)))</f>
        <v>20.6</v>
      </c>
      <c r="Z20" s="461">
        <v>-15443.723219629997</v>
      </c>
      <c r="AA20" s="271">
        <v>-14271.917226019999</v>
      </c>
      <c r="AB20" s="271">
        <f>IF(Z20=0, "    ---- ", IF(ABS(ROUND(100/Z20*AA20-100,1))&lt;999,ROUND(100/Z20*AA20-100,1),IF(ROUND(100/Z20*AA20-100,1)&gt;999,999,-999)))</f>
        <v>-7.6</v>
      </c>
      <c r="AC20" s="144"/>
      <c r="AD20" s="271">
        <v>-4</v>
      </c>
      <c r="AE20" s="271" t="str">
        <f>IF(AC20=0, "    ---- ", IF(ABS(ROUND(100/AC20*AD20-100,1))&lt;999,ROUND(100/AC20*AD20-100,1),IF(ROUND(100/AC20*AD20-100,1)&gt;999,999,-999)))</f>
        <v xml:space="preserve">    ---- </v>
      </c>
      <c r="AF20" s="271">
        <f t="shared" si="10"/>
        <v>-51587.897454429993</v>
      </c>
      <c r="AG20" s="271">
        <f t="shared" si="10"/>
        <v>-58697.993775590003</v>
      </c>
      <c r="AH20" s="271">
        <f>IF(AF20=0, "    ---- ", IF(ABS(ROUND(100/AF20*AG20-100,1))&lt;999,ROUND(100/AF20*AG20-100,1),IF(ROUND(100/AF20*AG20-100,1)&gt;999,999,-999)))</f>
        <v>13.8</v>
      </c>
      <c r="AI20" s="350">
        <f t="shared" si="12"/>
        <v>-51587.897454429993</v>
      </c>
      <c r="AJ20" s="350">
        <f t="shared" si="12"/>
        <v>-58701.993775590003</v>
      </c>
      <c r="AK20" s="271">
        <f>IF(AI20=0, "    ---- ", IF(ABS(ROUND(100/AI20*AJ20-100,1))&lt;999,ROUND(100/AI20*AJ20-100,1),IF(ROUND(100/AI20*AJ20-100,1)&gt;999,999,-999)))</f>
        <v>13.8</v>
      </c>
    </row>
    <row r="21" spans="1:39" s="362" customFormat="1" ht="18.75" customHeight="1" x14ac:dyDescent="0.3">
      <c r="A21" s="453" t="s">
        <v>269</v>
      </c>
      <c r="B21" s="460">
        <f>SUM(B19:B20)</f>
        <v>-29574.274022399997</v>
      </c>
      <c r="C21" s="714">
        <f>SUM(C19:C20)</f>
        <v>-33407.199999999997</v>
      </c>
      <c r="D21" s="271">
        <f>IF(B21=0, "    ---- ", IF(ABS(ROUND(100/B21*C21-100,1))&lt;999,ROUND(100/B21*C21-100,1),IF(ROUND(100/B21*C21-100,1)&gt;999,999,-999)))</f>
        <v>13</v>
      </c>
      <c r="E21" s="460">
        <f>SUM(E19:E20)</f>
        <v>-1575.4581874800001</v>
      </c>
      <c r="F21" s="347">
        <f>SUM(F19:F20)</f>
        <v>-1749.1258225799997</v>
      </c>
      <c r="G21" s="271">
        <f>IF(E21=0, "    ---- ", IF(ABS(ROUND(100/E21*F21-100,1))&lt;999,ROUND(100/E21*F21-100,1),IF(ROUND(100/E21*F21-100,1)&gt;999,999,-999)))</f>
        <v>11</v>
      </c>
      <c r="H21" s="460">
        <f>SUM(H19:H20)</f>
        <v>-270.06700000000001</v>
      </c>
      <c r="I21" s="347">
        <f>SUM(I19:I20)</f>
        <v>-293.517</v>
      </c>
      <c r="J21" s="271">
        <f>IF(H21=0, "    ---- ", IF(ABS(ROUND(100/H21*I21-100,1))&lt;999,ROUND(100/H21*I21-100,1),IF(ROUND(100/H21*I21-100,1)&gt;999,999,-999)))</f>
        <v>8.6999999999999993</v>
      </c>
      <c r="K21" s="460">
        <f>SUM(K19:K20)</f>
        <v>-6662</v>
      </c>
      <c r="L21" s="347">
        <f>SUM(L19:L20)</f>
        <v>-9264</v>
      </c>
      <c r="M21" s="271">
        <f>IF(K21=0, "    ---- ", IF(ABS(ROUND(100/K21*L21-100,1))&lt;999,ROUND(100/K21*L21-100,1),IF(ROUND(100/K21*L21-100,1)&gt;999,999,-999)))</f>
        <v>39.1</v>
      </c>
      <c r="N21" s="460">
        <v>-28261.476763979997</v>
      </c>
      <c r="O21" s="347">
        <v>-30200.032759939997</v>
      </c>
      <c r="P21" s="271">
        <f>IF(N21=0, "    ---- ", IF(ABS(ROUND(100/N21*O21-100,1))&lt;999,ROUND(100/N21*O21-100,1),IF(ROUND(100/N21*O21-100,1)&gt;999,999,-999)))</f>
        <v>6.9</v>
      </c>
      <c r="Q21" s="460">
        <f>SUM(Q19:Q20)</f>
        <v>-18777.6371</v>
      </c>
      <c r="R21" s="347">
        <f>SUM(R19:R20)</f>
        <v>-20207.057000000001</v>
      </c>
      <c r="S21" s="271">
        <f>IF(Q21=0, "    ---- ", IF(ABS(ROUND(100/Q21*R21-100,1))&lt;999,ROUND(100/Q21*R21-100,1),IF(ROUND(100/Q21*R21-100,1)&gt;999,999,-999)))</f>
        <v>7.6</v>
      </c>
      <c r="T21" s="460">
        <f>SUM(T19:T20)</f>
        <v>-3640</v>
      </c>
      <c r="U21" s="347">
        <f>SUM(U19:U20)</f>
        <v>-3904</v>
      </c>
      <c r="V21" s="271">
        <f>IF(T21=0, "    ---- ", IF(ABS(ROUND(100/T21*U21-100,1))&lt;999,ROUND(100/T21*U21-100,1),IF(ROUND(100/T21*U21-100,1)&gt;999,999,-999)))</f>
        <v>7.3</v>
      </c>
      <c r="W21" s="460">
        <f>SUM(W19:W20)</f>
        <v>-6683.0685320200009</v>
      </c>
      <c r="X21" s="347">
        <f>SUM(X19:X20)</f>
        <v>-7897.1144663899995</v>
      </c>
      <c r="Y21" s="271">
        <f>IF(W21=0, "    ---- ", IF(ABS(ROUND(100/W21*X21-100,1))&lt;999,ROUND(100/W21*X21-100,1),IF(ROUND(100/W21*X21-100,1)&gt;999,999,-999)))</f>
        <v>18.2</v>
      </c>
      <c r="Z21" s="460">
        <f>SUM(Z19:Z20)</f>
        <v>-30473.041018079995</v>
      </c>
      <c r="AA21" s="347">
        <f>SUM(AA19:AA20)</f>
        <v>-30123.52086293</v>
      </c>
      <c r="AB21" s="271">
        <f>IF(Z21=0, "    ---- ", IF(ABS(ROUND(100/Z21*AA21-100,1))&lt;999,ROUND(100/Z21*AA21-100,1),IF(ROUND(100/Z21*AA21-100,1)&gt;999,999,-999)))</f>
        <v>-1.1000000000000001</v>
      </c>
      <c r="AC21" s="76">
        <f>SUM(AC19:AC20)</f>
        <v>-4</v>
      </c>
      <c r="AD21" s="347">
        <f>SUM(AD19:AD20)</f>
        <v>-15</v>
      </c>
      <c r="AE21" s="271">
        <f>IF(AC21=0, "    ---- ", IF(ABS(ROUND(100/AC21*AD21-100,1))&lt;999,ROUND(100/AC21*AD21-100,1),IF(ROUND(100/AC21*AD21-100,1)&gt;999,999,-999)))</f>
        <v>275</v>
      </c>
      <c r="AF21" s="271">
        <f t="shared" si="10"/>
        <v>-125917.02262395999</v>
      </c>
      <c r="AG21" s="271">
        <f t="shared" si="10"/>
        <v>-137045.56791183999</v>
      </c>
      <c r="AH21" s="271">
        <f t="shared" si="11"/>
        <v>8.8000000000000007</v>
      </c>
      <c r="AI21" s="350">
        <f t="shared" si="12"/>
        <v>-125921.02262395999</v>
      </c>
      <c r="AJ21" s="350">
        <f t="shared" si="12"/>
        <v>-137060.56791183999</v>
      </c>
      <c r="AK21" s="271">
        <f>IF(AI21=0, "    ---- ", IF(ABS(ROUND(100/AI21*AJ21-100,1))&lt;999,ROUND(100/AI21*AJ21-100,1),IF(ROUND(100/AI21*AJ21-100,1)&gt;999,999,-999)))</f>
        <v>8.8000000000000007</v>
      </c>
      <c r="AM21" s="765"/>
    </row>
    <row r="22" spans="1:39" s="362" customFormat="1" ht="18.75" customHeight="1" x14ac:dyDescent="0.3">
      <c r="A22" s="453" t="s">
        <v>270</v>
      </c>
      <c r="B22" s="144"/>
      <c r="C22" s="715"/>
      <c r="D22" s="271"/>
      <c r="E22" s="670"/>
      <c r="F22" s="382"/>
      <c r="G22" s="271"/>
      <c r="H22" s="670"/>
      <c r="I22" s="382"/>
      <c r="J22" s="271"/>
      <c r="K22" s="144"/>
      <c r="L22" s="350"/>
      <c r="M22" s="271"/>
      <c r="N22" s="144"/>
      <c r="O22" s="350"/>
      <c r="P22" s="271"/>
      <c r="Q22" s="670"/>
      <c r="R22" s="382"/>
      <c r="S22" s="271"/>
      <c r="T22" s="670"/>
      <c r="U22" s="382"/>
      <c r="V22" s="271"/>
      <c r="W22" s="670"/>
      <c r="X22" s="382"/>
      <c r="Y22" s="271"/>
      <c r="Z22" s="144"/>
      <c r="AA22" s="350"/>
      <c r="AB22" s="271"/>
      <c r="AC22" s="144"/>
      <c r="AD22" s="350"/>
      <c r="AE22" s="271"/>
      <c r="AF22" s="271">
        <f t="shared" si="10"/>
        <v>0</v>
      </c>
      <c r="AG22" s="271">
        <f t="shared" si="10"/>
        <v>0</v>
      </c>
      <c r="AH22" s="271"/>
      <c r="AI22" s="271"/>
      <c r="AJ22" s="271"/>
      <c r="AK22" s="271"/>
    </row>
    <row r="23" spans="1:39" s="362" customFormat="1" ht="18.75" customHeight="1" x14ac:dyDescent="0.3">
      <c r="A23" s="453" t="s">
        <v>438</v>
      </c>
      <c r="B23" s="461">
        <v>4978.4113283500001</v>
      </c>
      <c r="C23" s="715">
        <v>5228.1989999999996</v>
      </c>
      <c r="D23" s="271">
        <f t="shared" ref="D23:D30" si="15">IF(B23=0, "    ---- ", IF(ABS(ROUND(100/B23*C23-100,1))&lt;999,ROUND(100/B23*C23-100,1),IF(ROUND(100/B23*C23-100,1)&gt;999,999,-999)))</f>
        <v>5</v>
      </c>
      <c r="E23" s="461">
        <v>-810.61188641999956</v>
      </c>
      <c r="F23" s="271">
        <v>-833.35284194000042</v>
      </c>
      <c r="G23" s="271">
        <f>IF(E23=0, "    ---- ", IF(ABS(ROUND(100/E23*F23-100,1))&lt;999,ROUND(100/E23*F23-100,1),IF(ROUND(100/E23*F23-100,1)&gt;999,999,-999)))</f>
        <v>2.8</v>
      </c>
      <c r="H23" s="461">
        <v>-140.5599</v>
      </c>
      <c r="I23" s="271">
        <v>-152.89099999999999</v>
      </c>
      <c r="J23" s="271">
        <f>IF(H23=0, "    ---- ", IF(ABS(ROUND(100/H23*I23-100,1))&lt;999,ROUND(100/H23*I23-100,1),IF(ROUND(100/H23*I23-100,1)&gt;999,999,-999)))</f>
        <v>8.8000000000000007</v>
      </c>
      <c r="K23" s="461">
        <v>-760</v>
      </c>
      <c r="L23" s="271">
        <v>-680</v>
      </c>
      <c r="M23" s="271">
        <f t="shared" ref="M23:M32" si="16">IF(K23=0, "    ---- ", IF(ABS(ROUND(100/K23*L23-100,1))&lt;999,ROUND(100/K23*L23-100,1),IF(ROUND(100/K23*L23-100,1)&gt;999,999,-999)))</f>
        <v>-10.5</v>
      </c>
      <c r="N23" s="144">
        <v>-54869.67126245</v>
      </c>
      <c r="O23" s="271">
        <v>-42138.969376730005</v>
      </c>
      <c r="P23" s="271">
        <f t="shared" ref="P23:P31" si="17">IF(N23=0, "    ---- ", IF(ABS(ROUND(100/N23*O23-100,1))&lt;999,ROUND(100/N23*O23-100,1),IF(ROUND(100/N23*O23-100,1)&gt;999,999,-999)))</f>
        <v>-23.2</v>
      </c>
      <c r="Q23" s="461">
        <v>339.47820000000002</v>
      </c>
      <c r="R23" s="271">
        <v>209.9402</v>
      </c>
      <c r="S23" s="271">
        <f t="shared" ref="S23:S30" si="18">IF(Q23=0, "    ---- ", IF(ABS(ROUND(100/Q23*R23-100,1))&lt;999,ROUND(100/Q23*R23-100,1),IF(ROUND(100/Q23*R23-100,1)&gt;999,999,-999)))</f>
        <v>-38.200000000000003</v>
      </c>
      <c r="T23" s="461">
        <v>-7920</v>
      </c>
      <c r="U23" s="271">
        <v>-5559</v>
      </c>
      <c r="V23" s="271">
        <f>IF(T23=0, "    ---- ", IF(ABS(ROUND(100/T23*U23-100,1))&lt;999,ROUND(100/T23*U23-100,1),IF(ROUND(100/T23*U23-100,1)&gt;999,999,-999)))</f>
        <v>-29.8</v>
      </c>
      <c r="W23" s="461">
        <v>-140.54145224000001</v>
      </c>
      <c r="X23" s="271">
        <v>-195.42065744000007</v>
      </c>
      <c r="Y23" s="271">
        <f t="shared" ref="Y23:Y30" si="19">IF(W23=0, "    ---- ", IF(ABS(ROUND(100/W23*X23-100,1))&lt;999,ROUND(100/W23*X23-100,1),IF(ROUND(100/W23*X23-100,1)&gt;999,999,-999)))</f>
        <v>39</v>
      </c>
      <c r="Z23" s="461">
        <v>-1922.9522684999984</v>
      </c>
      <c r="AA23" s="271">
        <v>-2618.3514526200001</v>
      </c>
      <c r="AB23" s="271">
        <f t="shared" ref="AB23:AB30" si="20">IF(Z23=0, "    ---- ", IF(ABS(ROUND(100/Z23*AA23-100,1))&lt;999,ROUND(100/Z23*AA23-100,1),IF(ROUND(100/Z23*AA23-100,1)&gt;999,999,-999)))</f>
        <v>36.200000000000003</v>
      </c>
      <c r="AC23" s="144">
        <f>-28</f>
        <v>-28</v>
      </c>
      <c r="AD23" s="271">
        <v>-48</v>
      </c>
      <c r="AE23" s="271">
        <f t="shared" ref="AE23:AE30" si="21">IF(AC23=0, "    ---- ", IF(ABS(ROUND(100/AC23*AD23-100,1))&lt;999,ROUND(100/AC23*AD23-100,1),IF(ROUND(100/AC23*AD23-100,1)&gt;999,999,-999)))</f>
        <v>71.400000000000006</v>
      </c>
      <c r="AF23" s="271">
        <f t="shared" si="10"/>
        <v>-61246.447241260001</v>
      </c>
      <c r="AG23" s="271">
        <f t="shared" si="10"/>
        <v>-46739.846128730009</v>
      </c>
      <c r="AH23" s="271">
        <f t="shared" si="11"/>
        <v>-23.7</v>
      </c>
      <c r="AI23" s="271"/>
      <c r="AJ23" s="271"/>
      <c r="AK23" s="271"/>
    </row>
    <row r="24" spans="1:39" s="362" customFormat="1" ht="18.75" customHeight="1" x14ac:dyDescent="0.3">
      <c r="A24" s="453" t="s">
        <v>445</v>
      </c>
      <c r="B24" s="461">
        <v>-9.3522769100000005</v>
      </c>
      <c r="C24" s="715">
        <v>-1769.02</v>
      </c>
      <c r="D24" s="271">
        <f>IF(B24=0, "    ---- ", IF(ABS(ROUND(100/B24*C24-100,1))&lt;999,ROUND(100/B24*C24-100,1),IF(ROUND(100/B24*C24-100,1)&gt;999,999,-999)))</f>
        <v>999</v>
      </c>
      <c r="E24" s="461"/>
      <c r="F24" s="271">
        <v>103.83675471000001</v>
      </c>
      <c r="G24" s="271" t="str">
        <f>IF(E24=0, "    ---- ", IF(ABS(ROUND(100/E24*F24-100,1))&lt;999,ROUND(100/E24*F24-100,1),IF(ROUND(100/E24*F24-100,1)&gt;999,999,-999)))</f>
        <v xml:space="preserve">    ---- </v>
      </c>
      <c r="H24" s="461"/>
      <c r="I24" s="271"/>
      <c r="J24" s="271"/>
      <c r="K24" s="461"/>
      <c r="L24" s="271">
        <v>-67</v>
      </c>
      <c r="M24" s="271" t="str">
        <f>IF(K24=0, "    ---- ", IF(ABS(ROUND(100/K24*L24-100,1))&lt;999,ROUND(100/K24*L24-100,1),IF(ROUND(100/K24*L24-100,1)&gt;999,999,-999)))</f>
        <v xml:space="preserve">    ---- </v>
      </c>
      <c r="N24" s="144">
        <v>-549.74604399999998</v>
      </c>
      <c r="O24" s="271">
        <v>0</v>
      </c>
      <c r="P24" s="271">
        <f>IF(N24=0, "    ---- ", IF(ABS(ROUND(100/N24*O24-100,1))&lt;999,ROUND(100/N24*O24-100,1),IF(ROUND(100/N24*O24-100,1)&gt;999,999,-999)))</f>
        <v>-100</v>
      </c>
      <c r="Q24" s="461"/>
      <c r="R24" s="271">
        <v>-274</v>
      </c>
      <c r="S24" s="271" t="str">
        <f>IF(Q24=0, "    ---- ", IF(ABS(ROUND(100/Q24*R24-100,1))&lt;999,ROUND(100/Q24*R24-100,1),IF(ROUND(100/Q24*R24-100,1)&gt;999,999,-999)))</f>
        <v xml:space="preserve">    ---- </v>
      </c>
      <c r="T24" s="461">
        <v>-2361</v>
      </c>
      <c r="U24" s="271">
        <v>-2503</v>
      </c>
      <c r="V24" s="271">
        <f>IF(T24=0, "    ---- ", IF(ABS(ROUND(100/T24*U24-100,1))&lt;999,ROUND(100/T24*U24-100,1),IF(ROUND(100/T24*U24-100,1)&gt;999,999,-999)))</f>
        <v>6</v>
      </c>
      <c r="W24" s="461">
        <v>-4.6560319999999997</v>
      </c>
      <c r="X24" s="271">
        <v>-342.5260587599995</v>
      </c>
      <c r="Y24" s="271">
        <f>IF(W24=0, "    ---- ", IF(ABS(ROUND(100/W24*X24-100,1))&lt;999,ROUND(100/W24*X24-100,1),IF(ROUND(100/W24*X24-100,1)&gt;999,999,-999)))</f>
        <v>999</v>
      </c>
      <c r="Z24" s="461">
        <v>-1030.777824</v>
      </c>
      <c r="AA24" s="271">
        <v>-3154.1382639399999</v>
      </c>
      <c r="AB24" s="271">
        <f>IF(Z24=0, "    ---- ", IF(ABS(ROUND(100/Z24*AA24-100,1))&lt;999,ROUND(100/Z24*AA24-100,1),IF(ROUND(100/Z24*AA24-100,1)&gt;999,999,-999)))</f>
        <v>206</v>
      </c>
      <c r="AC24" s="461"/>
      <c r="AD24" s="271">
        <v>-1</v>
      </c>
      <c r="AE24" s="271" t="str">
        <f>IF(AC24=0, "    ---- ", IF(ABS(ROUND(100/AC24*AD24-100,1))&lt;999,ROUND(100/AC24*AD24-100,1),IF(ROUND(100/AC24*AD24-100,1)&gt;999,999,-999)))</f>
        <v xml:space="preserve">    ---- </v>
      </c>
      <c r="AF24" s="271">
        <f t="shared" si="10"/>
        <v>-3955.5321769100001</v>
      </c>
      <c r="AG24" s="271">
        <f t="shared" si="10"/>
        <v>-8005.8475679899993</v>
      </c>
      <c r="AH24" s="271">
        <f>IF(AF24=0, "    ---- ", IF(ABS(ROUND(100/AF24*AG24-100,1))&lt;999,ROUND(100/AF24*AG24-100,1),IF(ROUND(100/AF24*AG24-100,1)&gt;999,999,-999)))</f>
        <v>102.4</v>
      </c>
      <c r="AI24" s="271"/>
      <c r="AJ24" s="271"/>
      <c r="AK24" s="271"/>
    </row>
    <row r="25" spans="1:39" s="362" customFormat="1" ht="18.75" customHeight="1" x14ac:dyDescent="0.3">
      <c r="A25" s="759" t="s">
        <v>478</v>
      </c>
      <c r="B25" s="461">
        <v>218.36691377000002</v>
      </c>
      <c r="C25" s="714"/>
      <c r="D25" s="271">
        <f>IF(B25=0, "    ---- ", IF(ABS(ROUND(100/B25*C25-100,1))&lt;999,ROUND(100/B25*C25-100,1),IF(ROUND(100/B25*C25-100,1)&gt;999,999,-999)))</f>
        <v>-100</v>
      </c>
      <c r="E25" s="461"/>
      <c r="F25" s="390"/>
      <c r="G25" s="271" t="str">
        <f>IF(E25=0, "    ---- ", IF(ABS(ROUND(100/E25*F25-100,1))&lt;999,ROUND(100/E25*F25-100,1),IF(ROUND(100/E25*F25-100,1)&gt;999,999,-999)))</f>
        <v xml:space="preserve">    ---- </v>
      </c>
      <c r="H25" s="461">
        <v>-23.795000000000002</v>
      </c>
      <c r="I25" s="390">
        <v>0</v>
      </c>
      <c r="J25" s="271">
        <f>IF(H25=0, "    ---- ", IF(ABS(ROUND(100/H25*I25-100,1))&lt;999,ROUND(100/H25*I25-100,1),IF(ROUND(100/H25*I25-100,1)&gt;999,999,-999)))</f>
        <v>-100</v>
      </c>
      <c r="K25" s="461">
        <v>23</v>
      </c>
      <c r="L25" s="390"/>
      <c r="M25" s="271">
        <f>IF(K25=0, "    ---- ", IF(ABS(ROUND(100/K25*L25-100,1))&lt;999,ROUND(100/K25*L25-100,1),IF(ROUND(100/K25*L25-100,1)&gt;999,999,-999)))</f>
        <v>-100</v>
      </c>
      <c r="N25" s="461"/>
      <c r="O25" s="390"/>
      <c r="P25" s="271"/>
      <c r="Q25" s="461">
        <v>287</v>
      </c>
      <c r="R25" s="390"/>
      <c r="S25" s="271">
        <f>IF(Q25=0, "    ---- ", IF(ABS(ROUND(100/Q25*R25-100,1))&lt;999,ROUND(100/Q25*R25-100,1),IF(ROUND(100/Q25*R25-100,1)&gt;999,999,-999)))</f>
        <v>-100</v>
      </c>
      <c r="T25" s="461"/>
      <c r="U25" s="390"/>
      <c r="V25" s="271"/>
      <c r="W25" s="461">
        <v>374.73123769000006</v>
      </c>
      <c r="X25" s="390"/>
      <c r="Y25" s="271">
        <f>IF(W25=0, "    ---- ", IF(ABS(ROUND(100/W25*X25-100,1))&lt;999,ROUND(100/W25*X25-100,1),IF(ROUND(100/W25*X25-100,1)&gt;999,999,-999)))</f>
        <v>-100</v>
      </c>
      <c r="Z25" s="461">
        <v>2770.3443491399985</v>
      </c>
      <c r="AA25" s="390">
        <v>0</v>
      </c>
      <c r="AB25" s="271">
        <f>IF(Z25=0, "    ---- ", IF(ABS(ROUND(100/Z25*AA25-100,1))&lt;999,ROUND(100/Z25*AA25-100,1),IF(ROUND(100/Z25*AA25-100,1)&gt;999,999,-999)))</f>
        <v>-100</v>
      </c>
      <c r="AC25" s="144">
        <v>-1</v>
      </c>
      <c r="AD25" s="390">
        <v>-1</v>
      </c>
      <c r="AE25" s="271">
        <f>IF(AC25=0, "    ---- ", IF(ABS(ROUND(100/AC25*AD25-100,1))&lt;999,ROUND(100/AC25*AD25-100,1),IF(ROUND(100/AC25*AD25-100,1)&gt;999,999,-999)))</f>
        <v>0</v>
      </c>
      <c r="AF25" s="271">
        <f t="shared" si="10"/>
        <v>3649.6475005999987</v>
      </c>
      <c r="AG25" s="271">
        <f t="shared" si="10"/>
        <v>0</v>
      </c>
      <c r="AH25" s="271"/>
      <c r="AI25" s="271"/>
      <c r="AJ25" s="271"/>
      <c r="AK25" s="271"/>
    </row>
    <row r="26" spans="1:39" s="362" customFormat="1" ht="18.75" customHeight="1" x14ac:dyDescent="0.3">
      <c r="A26" s="453" t="s">
        <v>446</v>
      </c>
      <c r="B26" s="461">
        <v>-344.87723123000001</v>
      </c>
      <c r="C26" s="715">
        <v>-8.7360000000000007</v>
      </c>
      <c r="D26" s="271">
        <f>IF(B26=0, "    ---- ", IF(ABS(ROUND(100/B26*C26-100,1))&lt;999,ROUND(100/B26*C26-100,1),IF(ROUND(100/B26*C26-100,1)&gt;999,999,-999)))</f>
        <v>-97.5</v>
      </c>
      <c r="E26" s="461"/>
      <c r="F26" s="350"/>
      <c r="G26" s="271"/>
      <c r="H26" s="461">
        <v>-11.166</v>
      </c>
      <c r="I26" s="271">
        <v>-10.265000000000001</v>
      </c>
      <c r="J26" s="271">
        <f>IF(H26=0, "    ---- ", IF(ABS(ROUND(100/H26*I26-100,1))&lt;999,ROUND(100/H26*I26-100,1),IF(ROUND(100/H26*I26-100,1)&gt;999,999,-999)))</f>
        <v>-8.1</v>
      </c>
      <c r="K26" s="461">
        <v>-7</v>
      </c>
      <c r="L26" s="271">
        <v>-14</v>
      </c>
      <c r="M26" s="271"/>
      <c r="N26" s="461"/>
      <c r="O26" s="271">
        <v>-711.31582700000001</v>
      </c>
      <c r="P26" s="271" t="str">
        <f>IF(N26=0, "    ---- ", IF(ABS(ROUND(100/N26*O26-100,1))&lt;999,ROUND(100/N26*O26-100,1),IF(ROUND(100/N26*O26-100,1)&gt;999,999,-999)))</f>
        <v xml:space="preserve">    ---- </v>
      </c>
      <c r="Q26" s="461">
        <v>-12</v>
      </c>
      <c r="R26" s="271">
        <v>-12</v>
      </c>
      <c r="S26" s="271">
        <f>IF(Q26=0, "    ---- ", IF(ABS(ROUND(100/Q26*R26-100,1))&lt;999,ROUND(100/Q26*R26-100,1),IF(ROUND(100/Q26*R26-100,1)&gt;999,999,-999)))</f>
        <v>0</v>
      </c>
      <c r="T26" s="461">
        <v>-104</v>
      </c>
      <c r="U26" s="271">
        <v>-76</v>
      </c>
      <c r="V26" s="271">
        <f>IF(T26=0, "    ---- ", IF(ABS(ROUND(100/T26*U26-100,1))&lt;999,ROUND(100/T26*U26-100,1),IF(ROUND(100/T26*U26-100,1)&gt;999,999,-999)))</f>
        <v>-26.9</v>
      </c>
      <c r="W26" s="461"/>
      <c r="X26" s="271"/>
      <c r="Y26" s="271"/>
      <c r="Z26" s="461">
        <v>-0.58536999999999995</v>
      </c>
      <c r="AA26" s="271">
        <v>-6.4438829999999996</v>
      </c>
      <c r="AB26" s="271">
        <f>IF(Z26=0, "    ---- ", IF(ABS(ROUND(100/Z26*AA26-100,1))&lt;999,ROUND(100/Z26*AA26-100,1),IF(ROUND(100/Z26*AA26-100,1)&gt;999,999,-999)))</f>
        <v>999</v>
      </c>
      <c r="AC26" s="144">
        <v>-3</v>
      </c>
      <c r="AD26" s="271"/>
      <c r="AE26" s="271">
        <f>IF(AC26=0, "    ---- ", IF(ABS(ROUND(100/AC26*AD26-100,1))&lt;999,ROUND(100/AC26*AD26-100,1),IF(ROUND(100/AC26*AD26-100,1)&gt;999,999,-999)))</f>
        <v>-100</v>
      </c>
      <c r="AF26" s="271">
        <f t="shared" si="10"/>
        <v>-479.62860123000002</v>
      </c>
      <c r="AG26" s="271">
        <f>C26+F26+I26+L26+O26+R26+U26+X26+AA26</f>
        <v>-838.76071000000002</v>
      </c>
      <c r="AH26" s="271">
        <f>IF(AF26=0, "    ---- ", IF(ABS(ROUND(100/AF26*AG26-100,1))&lt;999,ROUND(100/AF26*AG26-100,1),IF(ROUND(100/AF26*AG26-100,1)&gt;999,999,-999)))</f>
        <v>74.900000000000006</v>
      </c>
      <c r="AI26" s="271"/>
      <c r="AJ26" s="271"/>
      <c r="AK26" s="271"/>
    </row>
    <row r="27" spans="1:39" s="362" customFormat="1" ht="18.75" customHeight="1" x14ac:dyDescent="0.3">
      <c r="A27" s="759" t="s">
        <v>477</v>
      </c>
      <c r="B27" s="461">
        <v>-343.40146169000002</v>
      </c>
      <c r="C27" s="714"/>
      <c r="D27" s="271">
        <f t="shared" si="15"/>
        <v>-100</v>
      </c>
      <c r="E27" s="461">
        <v>-112.97187581999999</v>
      </c>
      <c r="F27" s="390"/>
      <c r="G27" s="271"/>
      <c r="H27" s="461">
        <v>-0.3</v>
      </c>
      <c r="I27" s="390">
        <v>0</v>
      </c>
      <c r="J27" s="271">
        <f>IF(H27=0, "    ---- ", IF(ABS(ROUND(100/H27*I27-100,1))&lt;999,ROUND(100/H27*I27-100,1),IF(ROUND(100/H27*I27-100,1)&gt;999,999,-999)))</f>
        <v>-100</v>
      </c>
      <c r="K27" s="461">
        <v>-1</v>
      </c>
      <c r="L27" s="390"/>
      <c r="M27" s="271">
        <f t="shared" si="16"/>
        <v>-100</v>
      </c>
      <c r="N27" s="461"/>
      <c r="O27" s="390"/>
      <c r="P27" s="271"/>
      <c r="Q27" s="461">
        <v>-17</v>
      </c>
      <c r="R27" s="390"/>
      <c r="S27" s="271">
        <f t="shared" si="18"/>
        <v>-100</v>
      </c>
      <c r="T27" s="461"/>
      <c r="U27" s="390"/>
      <c r="V27" s="271"/>
      <c r="W27" s="461">
        <v>-608.44884327999989</v>
      </c>
      <c r="X27" s="390"/>
      <c r="Y27" s="271">
        <f t="shared" si="19"/>
        <v>-100</v>
      </c>
      <c r="Z27" s="461">
        <v>-1783.029326690001</v>
      </c>
      <c r="AA27" s="390">
        <v>37.070090159999999</v>
      </c>
      <c r="AB27" s="271">
        <f t="shared" si="20"/>
        <v>-102.1</v>
      </c>
      <c r="AC27" s="461"/>
      <c r="AD27" s="390"/>
      <c r="AE27" s="271" t="str">
        <f t="shared" si="21"/>
        <v xml:space="preserve">    ---- </v>
      </c>
      <c r="AF27" s="271">
        <f t="shared" ref="AF27:AG35" si="22">B27+E27+H27+K27+N27+Q27+T27+W27+Z27</f>
        <v>-2866.1515074800009</v>
      </c>
      <c r="AG27" s="271">
        <f t="shared" si="22"/>
        <v>37.070090159999999</v>
      </c>
      <c r="AH27" s="271"/>
      <c r="AI27" s="271"/>
      <c r="AJ27" s="271"/>
      <c r="AK27" s="271"/>
    </row>
    <row r="28" spans="1:39" s="362" customFormat="1" ht="18.75" customHeight="1" x14ac:dyDescent="0.3">
      <c r="A28" s="453" t="s">
        <v>447</v>
      </c>
      <c r="B28" s="461">
        <v>19.902877119999999</v>
      </c>
      <c r="C28" s="715">
        <v>-365.60599999999999</v>
      </c>
      <c r="D28" s="271">
        <f t="shared" si="15"/>
        <v>-999</v>
      </c>
      <c r="E28" s="461"/>
      <c r="F28" s="271"/>
      <c r="G28" s="271" t="str">
        <f>IF(E28=0, "    ---- ", IF(ABS(ROUND(100/E28*F28-100,1))&lt;999,ROUND(100/E28*F28-100,1),IF(ROUND(100/E28*F28-100,1)&gt;999,999,-999)))</f>
        <v xml:space="preserve">    ---- </v>
      </c>
      <c r="H28" s="461"/>
      <c r="I28" s="271"/>
      <c r="J28" s="271"/>
      <c r="K28" s="461"/>
      <c r="L28" s="271"/>
      <c r="M28" s="271"/>
      <c r="N28" s="144">
        <v>-6684.4194049999996</v>
      </c>
      <c r="O28" s="271">
        <v>-13556.494215999999</v>
      </c>
      <c r="P28" s="271">
        <f t="shared" si="17"/>
        <v>102.8</v>
      </c>
      <c r="Q28" s="461"/>
      <c r="R28" s="271">
        <v>0</v>
      </c>
      <c r="S28" s="271" t="str">
        <f t="shared" si="18"/>
        <v xml:space="preserve">    ---- </v>
      </c>
      <c r="T28" s="461">
        <v>1</v>
      </c>
      <c r="U28" s="271"/>
      <c r="V28" s="271">
        <f>IF(T28=0, "    ---- ", IF(ABS(ROUND(100/T28*U28-100,1))&lt;999,ROUND(100/T28*U28-100,1),IF(ROUND(100/T28*U28-100,1)&gt;999,999,-999)))</f>
        <v>-100</v>
      </c>
      <c r="W28" s="461">
        <v>0.733707</v>
      </c>
      <c r="X28" s="271"/>
      <c r="Y28" s="271">
        <f t="shared" si="19"/>
        <v>-100</v>
      </c>
      <c r="Z28" s="461">
        <v>-45.753742340000031</v>
      </c>
      <c r="AA28" s="271">
        <v>-113.94384044</v>
      </c>
      <c r="AB28" s="271">
        <f t="shared" si="20"/>
        <v>149</v>
      </c>
      <c r="AC28" s="144"/>
      <c r="AD28" s="271"/>
      <c r="AE28" s="271" t="str">
        <f t="shared" si="21"/>
        <v xml:space="preserve">    ---- </v>
      </c>
      <c r="AF28" s="271">
        <f t="shared" si="22"/>
        <v>-6708.5365632199992</v>
      </c>
      <c r="AG28" s="271">
        <f t="shared" si="22"/>
        <v>-14036.04405644</v>
      </c>
      <c r="AH28" s="271">
        <f t="shared" si="11"/>
        <v>109.2</v>
      </c>
      <c r="AI28" s="271"/>
      <c r="AJ28" s="271"/>
      <c r="AK28" s="271"/>
    </row>
    <row r="29" spans="1:39" s="362" customFormat="1" ht="18.75" x14ac:dyDescent="0.3">
      <c r="A29" s="761" t="s">
        <v>470</v>
      </c>
      <c r="B29" s="461"/>
      <c r="C29" s="715">
        <v>54.743000000000002</v>
      </c>
      <c r="D29" s="271" t="str">
        <f t="shared" si="15"/>
        <v xml:space="preserve">    ---- </v>
      </c>
      <c r="E29" s="461"/>
      <c r="F29" s="271"/>
      <c r="G29" s="271"/>
      <c r="H29" s="461"/>
      <c r="I29" s="271"/>
      <c r="J29" s="271"/>
      <c r="K29" s="461"/>
      <c r="L29" s="271"/>
      <c r="M29" s="271" t="str">
        <f t="shared" si="16"/>
        <v xml:space="preserve">    ---- </v>
      </c>
      <c r="N29" s="144"/>
      <c r="O29" s="271"/>
      <c r="P29" s="271"/>
      <c r="Q29" s="461">
        <v>1</v>
      </c>
      <c r="R29" s="271">
        <v>2</v>
      </c>
      <c r="S29" s="271">
        <f t="shared" si="18"/>
        <v>100</v>
      </c>
      <c r="T29" s="461"/>
      <c r="U29" s="271"/>
      <c r="V29" s="271"/>
      <c r="W29" s="461"/>
      <c r="X29" s="271"/>
      <c r="Y29" s="271"/>
      <c r="Z29" s="461">
        <v>231.73188999999999</v>
      </c>
      <c r="AA29" s="271">
        <v>306.4409</v>
      </c>
      <c r="AB29" s="271">
        <f t="shared" si="20"/>
        <v>32.200000000000003</v>
      </c>
      <c r="AC29" s="144"/>
      <c r="AD29" s="271">
        <v>1</v>
      </c>
      <c r="AE29" s="271" t="str">
        <f t="shared" si="21"/>
        <v xml:space="preserve">    ---- </v>
      </c>
      <c r="AF29" s="271">
        <f t="shared" si="22"/>
        <v>232.73188999999999</v>
      </c>
      <c r="AG29" s="271">
        <f t="shared" si="22"/>
        <v>363.18389999999999</v>
      </c>
      <c r="AH29" s="271">
        <f t="shared" si="11"/>
        <v>56.1</v>
      </c>
      <c r="AI29" s="271"/>
      <c r="AJ29" s="271"/>
      <c r="AK29" s="271"/>
    </row>
    <row r="30" spans="1:39" s="362" customFormat="1" ht="18.75" customHeight="1" x14ac:dyDescent="0.3">
      <c r="A30" s="453" t="s">
        <v>271</v>
      </c>
      <c r="B30" s="461">
        <f>SUM(B23:B29)</f>
        <v>4519.0501494099999</v>
      </c>
      <c r="C30" s="715">
        <f>SUM(C23:C29)</f>
        <v>3139.5799999999995</v>
      </c>
      <c r="D30" s="271">
        <f t="shared" si="15"/>
        <v>-30.5</v>
      </c>
      <c r="E30" s="461">
        <f>SUM(E23:E29)</f>
        <v>-923.5837622399996</v>
      </c>
      <c r="F30" s="271">
        <f>SUM(F23:F29)</f>
        <v>-729.51608723000038</v>
      </c>
      <c r="G30" s="271">
        <f>IF(E30=0, "    ---- ", IF(ABS(ROUND(100/E30*F30-100,1))&lt;999,ROUND(100/E30*F30-100,1),IF(ROUND(100/E30*F30-100,1)&gt;999,999,-999)))</f>
        <v>-21</v>
      </c>
      <c r="H30" s="461">
        <f>SUM(H23:H29)</f>
        <v>-175.82089999999999</v>
      </c>
      <c r="I30" s="271">
        <f>SUM(I23:I29)</f>
        <v>-163.15600000000001</v>
      </c>
      <c r="J30" s="271">
        <f>IF(H30=0, "    ---- ", IF(ABS(ROUND(100/H30*I30-100,1))&lt;999,ROUND(100/H30*I30-100,1),IF(ROUND(100/H30*I30-100,1)&gt;999,999,-999)))</f>
        <v>-7.2</v>
      </c>
      <c r="K30" s="461">
        <f>SUM(K23:K29)</f>
        <v>-745</v>
      </c>
      <c r="L30" s="271">
        <f>SUM(L23:L29)</f>
        <v>-761</v>
      </c>
      <c r="M30" s="271">
        <f t="shared" si="16"/>
        <v>2.1</v>
      </c>
      <c r="N30" s="461">
        <v>-62103.83671145</v>
      </c>
      <c r="O30" s="271">
        <v>-56406.779419730003</v>
      </c>
      <c r="P30" s="271">
        <f t="shared" si="17"/>
        <v>-9.1999999999999993</v>
      </c>
      <c r="Q30" s="461">
        <f>SUM(Q23:Q29)</f>
        <v>598.47820000000002</v>
      </c>
      <c r="R30" s="271">
        <f>SUM(R23:R29)</f>
        <v>-74.059799999999996</v>
      </c>
      <c r="S30" s="271">
        <f t="shared" si="18"/>
        <v>-112.4</v>
      </c>
      <c r="T30" s="461">
        <f>SUM(T23:T29)</f>
        <v>-10384</v>
      </c>
      <c r="U30" s="271">
        <f>SUM(U23:U29)</f>
        <v>-8138</v>
      </c>
      <c r="V30" s="271">
        <f>IF(T30=0, "    ---- ", IF(ABS(ROUND(100/T30*U30-100,1))&lt;999,ROUND(100/T30*U30-100,1),IF(ROUND(100/T30*U30-100,1)&gt;999,999,-999)))</f>
        <v>-21.6</v>
      </c>
      <c r="W30" s="461">
        <f>SUM(W23:W29)</f>
        <v>-378.18138282999985</v>
      </c>
      <c r="X30" s="271">
        <f>SUM(X23:X29)</f>
        <v>-537.94671619999963</v>
      </c>
      <c r="Y30" s="271">
        <f t="shared" si="19"/>
        <v>42.2</v>
      </c>
      <c r="Z30" s="461">
        <f>SUM(Z23:Z29)</f>
        <v>-1781.0222923900005</v>
      </c>
      <c r="AA30" s="271">
        <f>SUM(AA23:AA29)</f>
        <v>-5549.3664498399994</v>
      </c>
      <c r="AB30" s="271">
        <f t="shared" si="20"/>
        <v>211.6</v>
      </c>
      <c r="AC30" s="144">
        <f>SUM(AC23:AC29)</f>
        <v>-32</v>
      </c>
      <c r="AD30" s="271">
        <f>SUM(AD23:AD29)</f>
        <v>-49</v>
      </c>
      <c r="AE30" s="271">
        <f t="shared" si="21"/>
        <v>53.1</v>
      </c>
      <c r="AF30" s="271">
        <f t="shared" si="22"/>
        <v>-71373.916699499998</v>
      </c>
      <c r="AG30" s="271">
        <f t="shared" si="22"/>
        <v>-69220.244472999999</v>
      </c>
      <c r="AH30" s="271">
        <f t="shared" si="11"/>
        <v>-3</v>
      </c>
      <c r="AI30" s="271"/>
      <c r="AJ30" s="271"/>
      <c r="AK30" s="271"/>
    </row>
    <row r="31" spans="1:39" s="362" customFormat="1" ht="18.75" customHeight="1" x14ac:dyDescent="0.3">
      <c r="A31" s="453" t="s">
        <v>272</v>
      </c>
      <c r="B31" s="461">
        <v>-28834.933438</v>
      </c>
      <c r="C31" s="715">
        <v>-35650.447999999997</v>
      </c>
      <c r="D31" s="271">
        <f>IF(B31=0, "    ---- ", IF(ABS(ROUND(100/B31*C31-100,1))&lt;999,ROUND(100/B31*C31-100,1),IF(ROUND(100/B31*C31-100,1)&gt;999,999,-999)))</f>
        <v>23.6</v>
      </c>
      <c r="E31" s="461"/>
      <c r="F31" s="271"/>
      <c r="G31" s="271"/>
      <c r="H31" s="461"/>
      <c r="I31" s="271"/>
      <c r="J31" s="271"/>
      <c r="K31" s="461">
        <v>-13884</v>
      </c>
      <c r="L31" s="271">
        <v>-17037</v>
      </c>
      <c r="M31" s="271">
        <f t="shared" si="16"/>
        <v>22.7</v>
      </c>
      <c r="N31" s="144">
        <v>-314.97628152999999</v>
      </c>
      <c r="O31" s="271">
        <v>-202.232743</v>
      </c>
      <c r="P31" s="271">
        <f t="shared" si="17"/>
        <v>-35.799999999999997</v>
      </c>
      <c r="Q31" s="461">
        <v>-28935.725299999998</v>
      </c>
      <c r="R31" s="271">
        <v>-37040.210899999998</v>
      </c>
      <c r="S31" s="271">
        <f>IF(Q31=0, "    ---- ", IF(ABS(ROUND(100/Q31*R31-100,1))&lt;999,ROUND(100/Q31*R31-100,1),IF(ROUND(100/Q31*R31-100,1)&gt;999,999,-999)))</f>
        <v>28</v>
      </c>
      <c r="T31" s="461"/>
      <c r="U31" s="271"/>
      <c r="V31" s="271"/>
      <c r="W31" s="461">
        <v>-13205.232444849997</v>
      </c>
      <c r="X31" s="271">
        <v>-15471.278026989998</v>
      </c>
      <c r="Y31" s="271">
        <f>IF(W31=0, "    ---- ", IF(ABS(ROUND(100/W31*X31-100,1))&lt;999,ROUND(100/W31*X31-100,1),IF(ROUND(100/W31*X31-100,1)&gt;999,999,-999)))</f>
        <v>17.2</v>
      </c>
      <c r="Z31" s="461">
        <v>-30110.120540179993</v>
      </c>
      <c r="AA31" s="271">
        <v>-39000.41613374</v>
      </c>
      <c r="AB31" s="271">
        <f>IF(Z31=0, "    ---- ", IF(ABS(ROUND(100/Z31*AA31-100,1))&lt;999,ROUND(100/Z31*AA31-100,1),IF(ROUND(100/Z31*AA31-100,1)&gt;999,999,-999)))</f>
        <v>29.5</v>
      </c>
      <c r="AC31" s="144"/>
      <c r="AD31" s="271"/>
      <c r="AE31" s="271" t="str">
        <f>IF(AC31=0, "    ---- ", IF(ABS(ROUND(100/AC31*AD31-100,1))&lt;999,ROUND(100/AC31*AD31-100,1),IF(ROUND(100/AC31*AD31-100,1)&gt;999,999,-999)))</f>
        <v xml:space="preserve">    ---- </v>
      </c>
      <c r="AF31" s="271">
        <f t="shared" si="22"/>
        <v>-115284.98800455999</v>
      </c>
      <c r="AG31" s="271">
        <f t="shared" si="22"/>
        <v>-144401.58580373001</v>
      </c>
      <c r="AH31" s="271">
        <f t="shared" si="11"/>
        <v>25.3</v>
      </c>
      <c r="AI31" s="271"/>
      <c r="AJ31" s="271"/>
      <c r="AK31" s="271"/>
    </row>
    <row r="32" spans="1:39" s="362" customFormat="1" ht="18.75" customHeight="1" x14ac:dyDescent="0.3">
      <c r="A32" s="453" t="s">
        <v>273</v>
      </c>
      <c r="B32" s="461">
        <v>-258.38364243000001</v>
      </c>
      <c r="C32" s="715">
        <v>-1205.588</v>
      </c>
      <c r="D32" s="271">
        <f>IF(B32=0, "    ---- ", IF(ABS(ROUND(100/B32*C32-100,1))&lt;999,ROUND(100/B32*C32-100,1),IF(ROUND(100/B32*C32-100,1)&gt;999,999,-999)))</f>
        <v>366.6</v>
      </c>
      <c r="E32" s="461">
        <v>-1.4177571200000001</v>
      </c>
      <c r="F32" s="271">
        <v>0</v>
      </c>
      <c r="G32" s="271"/>
      <c r="H32" s="461"/>
      <c r="I32" s="271"/>
      <c r="J32" s="271"/>
      <c r="K32" s="461">
        <v>-15</v>
      </c>
      <c r="L32" s="271">
        <v>-40</v>
      </c>
      <c r="M32" s="271">
        <f t="shared" si="16"/>
        <v>166.7</v>
      </c>
      <c r="N32" s="144">
        <v>-20632.33916</v>
      </c>
      <c r="O32" s="271">
        <v>-37536.831859999998</v>
      </c>
      <c r="P32" s="271">
        <f>IF(N32=0, "    ---- ", IF(ABS(ROUND(100/N32*O32-100,1))&lt;999,ROUND(100/N32*O32-100,1),IF(ROUND(100/N32*O32-100,1)&gt;999,999,-999)))</f>
        <v>81.900000000000006</v>
      </c>
      <c r="Q32" s="461">
        <v>-106.69110000000001</v>
      </c>
      <c r="R32" s="271">
        <v>-544.05409999999995</v>
      </c>
      <c r="S32" s="271">
        <f>IF(Q32=0, "    ---- ", IF(ABS(ROUND(100/Q32*R32-100,1))&lt;999,ROUND(100/Q32*R32-100,1),IF(ROUND(100/Q32*R32-100,1)&gt;999,999,-999)))</f>
        <v>409.9</v>
      </c>
      <c r="T32" s="461">
        <v>-1914</v>
      </c>
      <c r="U32" s="271">
        <v>-4111</v>
      </c>
      <c r="V32" s="271">
        <f>IF(T32=0, "    ---- ", IF(ABS(ROUND(100/T32*U32-100,1))&lt;999,ROUND(100/T32*U32-100,1),IF(ROUND(100/T32*U32-100,1)&gt;999,999,-999)))</f>
        <v>114.8</v>
      </c>
      <c r="W32" s="461">
        <v>-34.798529610000003</v>
      </c>
      <c r="X32" s="271">
        <v>-376.89995477000002</v>
      </c>
      <c r="Y32" s="271">
        <f>IF(W32=0, "    ---- ", IF(ABS(ROUND(100/W32*X32-100,1))&lt;999,ROUND(100/W32*X32-100,1),IF(ROUND(100/W32*X32-100,1)&gt;999,999,-999)))</f>
        <v>983.1</v>
      </c>
      <c r="Z32" s="461">
        <v>-396.21524884999997</v>
      </c>
      <c r="AA32" s="271">
        <v>-1750.414282</v>
      </c>
      <c r="AB32" s="271">
        <f>IF(Z32=0, "    ---- ", IF(ABS(ROUND(100/Z32*AA32-100,1))&lt;999,ROUND(100/Z32*AA32-100,1),IF(ROUND(100/Z32*AA32-100,1)&gt;999,999,-999)))</f>
        <v>341.8</v>
      </c>
      <c r="AC32" s="144"/>
      <c r="AD32" s="271">
        <v>-1</v>
      </c>
      <c r="AE32" s="271" t="str">
        <f>IF(AC32=0, "    ---- ", IF(ABS(ROUND(100/AC32*AD32-100,1))&lt;999,ROUND(100/AC32*AD32-100,1),IF(ROUND(100/AC32*AD32-100,1)&gt;999,999,-999)))</f>
        <v xml:space="preserve">    ---- </v>
      </c>
      <c r="AF32" s="271">
        <f t="shared" si="22"/>
        <v>-23358.845438010001</v>
      </c>
      <c r="AG32" s="271">
        <f t="shared" si="22"/>
        <v>-45564.788196770001</v>
      </c>
      <c r="AH32" s="271">
        <f t="shared" si="11"/>
        <v>95.1</v>
      </c>
      <c r="AI32" s="271"/>
      <c r="AJ32" s="271"/>
      <c r="AK32" s="271"/>
    </row>
    <row r="33" spans="1:39" s="362" customFormat="1" ht="18.75" customHeight="1" x14ac:dyDescent="0.3">
      <c r="A33" s="453" t="s">
        <v>274</v>
      </c>
      <c r="B33" s="461">
        <v>-1243.9645250999999</v>
      </c>
      <c r="C33" s="715">
        <v>-1302.9390000000001</v>
      </c>
      <c r="D33" s="271">
        <f>IF(B33=0, "    ---- ", IF(ABS(ROUND(100/B33*C33-100,1))&lt;999,ROUND(100/B33*C33-100,1),IF(ROUND(100/B33*C33-100,1)&gt;999,999,-999)))</f>
        <v>4.7</v>
      </c>
      <c r="E33" s="461">
        <v>-934.67068948000019</v>
      </c>
      <c r="F33" s="271">
        <v>-994.17491522</v>
      </c>
      <c r="G33" s="271">
        <f>IF(E33=0, "    ---- ", IF(ABS(ROUND(100/E33*F33-100,1))&lt;999,ROUND(100/E33*F33-100,1),IF(ROUND(100/E33*F33-100,1)&gt;999,999,-999)))</f>
        <v>6.4</v>
      </c>
      <c r="H33" s="461">
        <v>-266.35500000000002</v>
      </c>
      <c r="I33" s="271">
        <v>-292.66899999999998</v>
      </c>
      <c r="J33" s="271">
        <f>IF(H33=0, "    ---- ", IF(ABS(ROUND(100/H33*I33-100,1))&lt;999,ROUND(100/H33*I33-100,1),IF(ROUND(100/H33*I33-100,1)&gt;999,999,-999)))</f>
        <v>9.9</v>
      </c>
      <c r="K33" s="461">
        <v>-501</v>
      </c>
      <c r="L33" s="271">
        <v>-493</v>
      </c>
      <c r="M33" s="271">
        <f>IF(K33=0, "    ---- ", IF(ABS(ROUND(100/K33*L33-100,1))&lt;999,ROUND(100/K33*L33-100,1),IF(ROUND(100/K33*L33-100,1)&gt;999,999,-999)))</f>
        <v>-1.6</v>
      </c>
      <c r="N33" s="144">
        <v>-1512.4527089000001</v>
      </c>
      <c r="O33" s="271">
        <v>-1693.221916</v>
      </c>
      <c r="P33" s="271">
        <f>IF(N33=0, "    ---- ", IF(ABS(ROUND(100/N33*O33-100,1))&lt;999,ROUND(100/N33*O33-100,1),IF(ROUND(100/N33*O33-100,1)&gt;999,999,-999)))</f>
        <v>12</v>
      </c>
      <c r="Q33" s="461">
        <v>-864.72360000000003</v>
      </c>
      <c r="R33" s="271">
        <v>-892.67139999999995</v>
      </c>
      <c r="S33" s="271">
        <f>IF(Q33=0, "    ---- ", IF(ABS(ROUND(100/Q33*R33-100,1))&lt;999,ROUND(100/Q33*R33-100,1),IF(ROUND(100/Q33*R33-100,1)&gt;999,999,-999)))</f>
        <v>3.2</v>
      </c>
      <c r="T33" s="461">
        <v>-374</v>
      </c>
      <c r="U33" s="271">
        <v>-328</v>
      </c>
      <c r="V33" s="271">
        <f>IF(T33=0, "    ---- ", IF(ABS(ROUND(100/T33*U33-100,1))&lt;999,ROUND(100/T33*U33-100,1),IF(ROUND(100/T33*U33-100,1)&gt;999,999,-999)))</f>
        <v>-12.3</v>
      </c>
      <c r="W33" s="461">
        <v>-854.54142965639983</v>
      </c>
      <c r="X33" s="271">
        <v>-948.29686806910081</v>
      </c>
      <c r="Y33" s="271">
        <f>IF(W33=0, "    ---- ", IF(ABS(ROUND(100/W33*X33-100,1))&lt;999,ROUND(100/W33*X33-100,1),IF(ROUND(100/W33*X33-100,1)&gt;999,999,-999)))</f>
        <v>11</v>
      </c>
      <c r="Z33" s="461">
        <v>-1758.3462228163994</v>
      </c>
      <c r="AA33" s="271">
        <v>-1731.48980056</v>
      </c>
      <c r="AB33" s="271">
        <f>IF(Z33=0, "    ---- ", IF(ABS(ROUND(100/Z33*AA33-100,1))&lt;999,ROUND(100/Z33*AA33-100,1),IF(ROUND(100/Z33*AA33-100,1)&gt;999,999,-999)))</f>
        <v>-1.5</v>
      </c>
      <c r="AC33" s="144">
        <v>-45</v>
      </c>
      <c r="AD33" s="271">
        <v>-80</v>
      </c>
      <c r="AE33" s="271">
        <f>IF(AC33=0, "    ---- ", IF(ABS(ROUND(100/AC33*AD33-100,1))&lt;999,ROUND(100/AC33*AD33-100,1),IF(ROUND(100/AC33*AD33-100,1)&gt;999,999,-999)))</f>
        <v>77.8</v>
      </c>
      <c r="AF33" s="271">
        <f t="shared" si="22"/>
        <v>-8310.0541759527987</v>
      </c>
      <c r="AG33" s="271">
        <f t="shared" si="22"/>
        <v>-8676.4628998491007</v>
      </c>
      <c r="AH33" s="271">
        <f t="shared" si="11"/>
        <v>4.4000000000000004</v>
      </c>
      <c r="AI33" s="271"/>
      <c r="AJ33" s="271"/>
      <c r="AK33" s="271"/>
    </row>
    <row r="34" spans="1:39" s="362" customFormat="1" ht="18.75" customHeight="1" x14ac:dyDescent="0.3">
      <c r="A34" s="453" t="s">
        <v>275</v>
      </c>
      <c r="B34" s="144">
        <v>39.236428660000001</v>
      </c>
      <c r="C34" s="715">
        <v>-7.6609999999999996</v>
      </c>
      <c r="D34" s="350">
        <f>IF(B34=0, "    ---- ", IF(ABS(ROUND(100/B34*C34-100,1))&lt;999,ROUND(100/B34*C34-100,1),IF(ROUND(100/B34*C34-100,1)&gt;999,999,-999)))</f>
        <v>-119.5</v>
      </c>
      <c r="E34" s="144">
        <v>-27.49784356</v>
      </c>
      <c r="F34" s="350">
        <v>-29.171611060000004</v>
      </c>
      <c r="G34" s="350"/>
      <c r="H34" s="144"/>
      <c r="I34" s="350"/>
      <c r="J34" s="350"/>
      <c r="K34" s="144"/>
      <c r="L34" s="350"/>
      <c r="M34" s="350"/>
      <c r="N34" s="144">
        <v>-1407.5878359999999</v>
      </c>
      <c r="O34" s="350">
        <v>-1470.6956190000001</v>
      </c>
      <c r="P34" s="350">
        <f>IF(N34=0, "    ---- ", IF(ABS(ROUND(100/N34*O34-100,1))&lt;999,ROUND(100/N34*O34-100,1),IF(ROUND(100/N34*O34-100,1)&gt;999,999,-999)))</f>
        <v>4.5</v>
      </c>
      <c r="Q34" s="144">
        <v>-21.542850350000002</v>
      </c>
      <c r="R34" s="350">
        <v>-22.528539800000001</v>
      </c>
      <c r="S34" s="350">
        <f>IF(Q34=0, "    ---- ", IF(ABS(ROUND(100/Q34*R34-100,1))&lt;999,ROUND(100/Q34*R34-100,1),IF(ROUND(100/Q34*R34-100,1)&gt;999,999,-999)))</f>
        <v>4.5999999999999996</v>
      </c>
      <c r="T34" s="144"/>
      <c r="U34" s="350"/>
      <c r="V34" s="350"/>
      <c r="W34" s="144">
        <v>-3.1165256600000002</v>
      </c>
      <c r="X34" s="350">
        <v>-2.9534347899999998</v>
      </c>
      <c r="Y34" s="350">
        <f>IF(W34=0, "    ---- ", IF(ABS(ROUND(100/W34*X34-100,1))&lt;999,ROUND(100/W34*X34-100,1),IF(ROUND(100/W34*X34-100,1)&gt;999,999,-999)))</f>
        <v>-5.2</v>
      </c>
      <c r="Z34" s="144">
        <v>-84.227805430002121</v>
      </c>
      <c r="AA34" s="350">
        <v>-28.712223390007001</v>
      </c>
      <c r="AB34" s="350">
        <f>IF(Z34=0, "    ---- ", IF(ABS(ROUND(100/Z34*AA34-100,1))&lt;999,ROUND(100/Z34*AA34-100,1),IF(ROUND(100/Z34*AA34-100,1)&gt;999,999,-999)))</f>
        <v>-65.900000000000006</v>
      </c>
      <c r="AC34" s="144"/>
      <c r="AD34" s="350">
        <v>-2</v>
      </c>
      <c r="AE34" s="350" t="str">
        <f>IF(AC34=0, "    ---- ", IF(ABS(ROUND(100/AC34*AD34-100,1))&lt;999,ROUND(100/AC34*AD34-100,1),IF(ROUND(100/AC34*AD34-100,1)&gt;999,999,-999)))</f>
        <v xml:space="preserve">    ---- </v>
      </c>
      <c r="AF34" s="271">
        <f t="shared" si="22"/>
        <v>-1504.736432340002</v>
      </c>
      <c r="AG34" s="271">
        <f t="shared" si="22"/>
        <v>-1561.7224280400073</v>
      </c>
      <c r="AH34" s="350">
        <f t="shared" si="11"/>
        <v>3.8</v>
      </c>
      <c r="AI34" s="350"/>
      <c r="AJ34" s="350"/>
      <c r="AK34" s="350"/>
    </row>
    <row r="35" spans="1:39" s="370" customFormat="1" ht="18.75" customHeight="1" x14ac:dyDescent="0.3">
      <c r="A35" s="464" t="s">
        <v>276</v>
      </c>
      <c r="B35" s="147">
        <f>SUM(B14+B15+B16+B17+B21+B30+B31+B32+B33+B34)</f>
        <v>748.90627143999927</v>
      </c>
      <c r="C35" s="716">
        <f>SUM(C14+C15+C16+C17+C21+C30+C31+C32+C33+C34)</f>
        <v>1169.5840000000046</v>
      </c>
      <c r="D35" s="355">
        <f>IF(B35=0, "    ---- ", IF(ABS(ROUND(100/B35*C35-100,1))&lt;999,ROUND(100/B35*C35-100,1),IF(ROUND(100/B35*C35-100,1)&gt;999,999,-999)))</f>
        <v>56.2</v>
      </c>
      <c r="E35" s="147">
        <f>SUM(E14+E15+E16+E17+E21+E30+E31+E32+E33+E34)</f>
        <v>993.07877683000117</v>
      </c>
      <c r="F35" s="354">
        <f>SUM(F14+F15+F16+F17+F21+F30+F31+F32+F33+F34)</f>
        <v>1295.6162987599996</v>
      </c>
      <c r="G35" s="355">
        <f>IF(E35=0, "    ---- ", IF(ABS(ROUND(100/E35*F35-100,1))&lt;999,ROUND(100/E35*F35-100,1),IF(ROUND(100/E35*F35-100,1)&gt;999,999,-999)))</f>
        <v>30.5</v>
      </c>
      <c r="H35" s="147">
        <f>SUM(H14+H15+H16+H17+H21+H30+H31+H32+H33+H34)</f>
        <v>-8.2700000000000387</v>
      </c>
      <c r="I35" s="354">
        <f>SUM(I14+I15+I16+I17+I21+I30+I31+I32+I33+I34)</f>
        <v>96.741000000000042</v>
      </c>
      <c r="J35" s="355">
        <f>IF(H35=0, "    ---- ", IF(ABS(ROUND(100/H35*I35-100,1))&lt;999,ROUND(100/H35*I35-100,1),IF(ROUND(100/H35*I35-100,1)&gt;999,999,-999)))</f>
        <v>-999</v>
      </c>
      <c r="K35" s="147">
        <f>SUM(K14+K15+K16+K17+K21+K30+K31+K32+K33+K34)</f>
        <v>-30</v>
      </c>
      <c r="L35" s="354">
        <f>SUM(L14+L15+L16+L17+L21+L30+L31+L32+L33+L34)</f>
        <v>220</v>
      </c>
      <c r="M35" s="355">
        <f>IF(K35=0, "    ---- ", IF(ABS(ROUND(100/K35*L35-100,1))&lt;999,ROUND(100/K35*L35-100,1),IF(ROUND(100/K35*L35-100,1)&gt;999,999,-999)))</f>
        <v>-833.3</v>
      </c>
      <c r="N35" s="147">
        <f>SUM(N14+N15+N16+N17+N21+N30+N31+N32+N33+N34)</f>
        <v>220.97861213998749</v>
      </c>
      <c r="O35" s="354">
        <v>415.92496981998602</v>
      </c>
      <c r="P35" s="355">
        <f>IF(N35=0, "    ---- ", IF(ABS(ROUND(100/N35*O35-100,1))&lt;999,ROUND(100/N35*O35-100,1),IF(ROUND(100/N35*O35-100,1)&gt;999,999,-999)))</f>
        <v>88.2</v>
      </c>
      <c r="Q35" s="147">
        <f>SUM(Q14+Q15+Q16+Q17+Q21+Q30+Q31+Q32+Q33+Q34)</f>
        <v>1008.7734496500034</v>
      </c>
      <c r="R35" s="354">
        <f>SUM(R14+R15+R16+R17+R21+R30+R31+R32+R33+R34)</f>
        <v>1327.4069602000002</v>
      </c>
      <c r="S35" s="355">
        <f>IF(Q35=0, "    ---- ", IF(ABS(ROUND(100/Q35*R35-100,1))&lt;999,ROUND(100/Q35*R35-100,1),IF(ROUND(100/Q35*R35-100,1)&gt;999,999,-999)))</f>
        <v>31.6</v>
      </c>
      <c r="T35" s="147">
        <f>SUM(T14+T15+T16+T17+T21+T30+T31+T32+T33+T34)</f>
        <v>558</v>
      </c>
      <c r="U35" s="354">
        <f>SUM(U14+U15+U16+U17+U21+U30+U31+U32+U33+U34)</f>
        <v>627</v>
      </c>
      <c r="V35" s="355">
        <f>IF(T35=0, "    ---- ", IF(ABS(ROUND(100/T35*U35-100,1))&lt;999,ROUND(100/T35*U35-100,1),IF(ROUND(100/T35*U35-100,1)&gt;999,999,-999)))</f>
        <v>12.4</v>
      </c>
      <c r="W35" s="147">
        <f>SUM(W14+W15+W16+W17+W21+W30+W31+W32+W33+W34)</f>
        <v>2.9941137336034918</v>
      </c>
      <c r="X35" s="354">
        <f>SUM(X14+X15+X16+X17+X21+X30+X31+X32+X33+X34)</f>
        <v>125.35585266089727</v>
      </c>
      <c r="Y35" s="355">
        <f>IF(W35=0, "    ---- ", IF(ABS(ROUND(100/W35*X35-100,1))&lt;999,ROUND(100/W35*X35-100,1),IF(ROUND(100/W35*X35-100,1)&gt;999,999,-999)))</f>
        <v>999</v>
      </c>
      <c r="Z35" s="147">
        <f>SUM(Z14+Z15+Z16+Z17+Z21+Z30+Z31+Z32+Z33+Z34)</f>
        <v>1284.4753624714479</v>
      </c>
      <c r="AA35" s="354">
        <f>SUM(AA14+AA15+AA16+AA17+AA21+AA30+AA31+AA32+AA33+AA34)</f>
        <v>1820.2838675099811</v>
      </c>
      <c r="AB35" s="355">
        <f>IF(Z35=0, "    ---- ", IF(ABS(ROUND(100/Z35*AA35-100,1))&lt;999,ROUND(100/Z35*AA35-100,1),IF(ROUND(100/Z35*AA35-100,1)&gt;999,999,-999)))</f>
        <v>41.7</v>
      </c>
      <c r="AC35" s="147">
        <f>SUM(AC14+AC15+AC16+AC17+AC21+AC30+AC31+AC32+AC33+AC34)</f>
        <v>-37</v>
      </c>
      <c r="AD35" s="354">
        <f>SUM(AD14+AD15+AD16+AD17+AD21+AD30+AD31+AD32+AD33+AD34)</f>
        <v>-37</v>
      </c>
      <c r="AE35" s="355">
        <f>IF(AC35=0, "    ---- ", IF(ABS(ROUND(100/AC35*AD35-100,1))&lt;999,ROUND(100/AC35*AD35-100,1),IF(ROUND(100/AC35*AD35-100,1)&gt;999,999,-999)))</f>
        <v>0</v>
      </c>
      <c r="AF35" s="355">
        <f t="shared" si="22"/>
        <v>4778.9365862650429</v>
      </c>
      <c r="AG35" s="355">
        <f t="shared" si="22"/>
        <v>7097.9129489508696</v>
      </c>
      <c r="AH35" s="355">
        <f t="shared" si="11"/>
        <v>48.5</v>
      </c>
      <c r="AI35" s="355"/>
      <c r="AJ35" s="355"/>
      <c r="AK35" s="355"/>
      <c r="AM35" s="764"/>
    </row>
    <row r="36" spans="1:39" s="370" customFormat="1" ht="18.75" customHeight="1" x14ac:dyDescent="0.3">
      <c r="A36" s="465"/>
      <c r="B36" s="671"/>
      <c r="C36" s="717"/>
      <c r="D36" s="348"/>
      <c r="E36" s="671"/>
      <c r="F36" s="377"/>
      <c r="G36" s="348"/>
      <c r="H36" s="671"/>
      <c r="I36" s="377"/>
      <c r="J36" s="348"/>
      <c r="K36" s="671"/>
      <c r="L36" s="377"/>
      <c r="M36" s="348"/>
      <c r="N36" s="671"/>
      <c r="O36" s="377"/>
      <c r="P36" s="348"/>
      <c r="Q36" s="671"/>
      <c r="R36" s="377"/>
      <c r="S36" s="348"/>
      <c r="T36" s="671"/>
      <c r="U36" s="377"/>
      <c r="V36" s="348"/>
      <c r="W36" s="671"/>
      <c r="X36" s="377"/>
      <c r="Y36" s="466"/>
      <c r="Z36" s="671"/>
      <c r="AA36" s="377"/>
      <c r="AB36" s="466"/>
      <c r="AC36" s="671"/>
      <c r="AD36" s="377"/>
      <c r="AE36" s="466"/>
      <c r="AF36" s="466"/>
      <c r="AG36" s="466"/>
      <c r="AH36" s="466"/>
      <c r="AI36" s="467"/>
      <c r="AJ36" s="468"/>
      <c r="AK36" s="469"/>
    </row>
    <row r="37" spans="1:39" s="370" customFormat="1" ht="18.75" customHeight="1" x14ac:dyDescent="0.3">
      <c r="A37" s="455" t="s">
        <v>277</v>
      </c>
      <c r="B37" s="671"/>
      <c r="C37" s="717"/>
      <c r="D37" s="348"/>
      <c r="E37" s="671"/>
      <c r="F37" s="377"/>
      <c r="G37" s="348"/>
      <c r="H37" s="671"/>
      <c r="I37" s="377"/>
      <c r="J37" s="348"/>
      <c r="K37" s="671"/>
      <c r="L37" s="377"/>
      <c r="M37" s="348"/>
      <c r="N37" s="671"/>
      <c r="O37" s="377"/>
      <c r="P37" s="348"/>
      <c r="Q37" s="671"/>
      <c r="R37" s="377"/>
      <c r="S37" s="348"/>
      <c r="T37" s="671"/>
      <c r="U37" s="377"/>
      <c r="V37" s="348"/>
      <c r="W37" s="671"/>
      <c r="X37" s="377"/>
      <c r="Y37" s="348"/>
      <c r="Z37" s="671"/>
      <c r="AA37" s="377"/>
      <c r="AB37" s="348"/>
      <c r="AC37" s="671"/>
      <c r="AD37" s="377"/>
      <c r="AE37" s="348"/>
      <c r="AF37" s="348"/>
      <c r="AG37" s="348"/>
      <c r="AH37" s="348"/>
      <c r="AI37" s="470"/>
      <c r="AJ37" s="471"/>
      <c r="AK37" s="472"/>
    </row>
    <row r="38" spans="1:39" s="360" customFormat="1" ht="18.75" customHeight="1" x14ac:dyDescent="0.3">
      <c r="A38" s="453" t="s">
        <v>278</v>
      </c>
      <c r="B38" s="672">
        <v>1138.2925787999998</v>
      </c>
      <c r="C38" s="718">
        <v>1438.4190000000001</v>
      </c>
      <c r="D38" s="271">
        <f t="shared" ref="D38:D45" si="23">IF(B38=0, "    ---- ", IF(ABS(ROUND(100/B38*C38-100,1))&lt;999,ROUND(100/B38*C38-100,1),IF(ROUND(100/B38*C38-100,1)&gt;999,999,-999)))</f>
        <v>26.4</v>
      </c>
      <c r="E38" s="672">
        <v>137.33558091</v>
      </c>
      <c r="F38" s="372">
        <v>135.97304202999999</v>
      </c>
      <c r="G38" s="271">
        <f t="shared" ref="G38:G44" si="24">IF(E38=0, "    ---- ", IF(ABS(ROUND(100/E38*F38-100,1))&lt;999,ROUND(100/E38*F38-100,1),IF(ROUND(100/E38*F38-100,1)&gt;999,999,-999)))</f>
        <v>-1</v>
      </c>
      <c r="H38" s="672">
        <v>15.680999999999999</v>
      </c>
      <c r="I38" s="372">
        <v>29.149000000000001</v>
      </c>
      <c r="J38" s="271">
        <f t="shared" ref="J38:J44" si="25">IF(H38=0, "    ---- ", IF(ABS(ROUND(100/H38*I38-100,1))&lt;999,ROUND(100/H38*I38-100,1),IF(ROUND(100/H38*I38-100,1)&gt;999,999,-999)))</f>
        <v>85.9</v>
      </c>
      <c r="K38" s="672">
        <v>62</v>
      </c>
      <c r="L38" s="372">
        <v>54</v>
      </c>
      <c r="M38" s="271">
        <f t="shared" ref="M38:M45" si="26">IF(K38=0, "    ---- ", IF(ABS(ROUND(100/K38*L38-100,1))&lt;999,ROUND(100/K38*L38-100,1),IF(ROUND(100/K38*L38-100,1)&gt;999,999,-999)))</f>
        <v>-12.9</v>
      </c>
      <c r="N38" s="672">
        <v>1281.57834501</v>
      </c>
      <c r="O38" s="372">
        <v>1988.8464569800001</v>
      </c>
      <c r="P38" s="271">
        <f t="shared" ref="P38:P45" si="27">IF(N38=0, "    ---- ", IF(ABS(ROUND(100/N38*O38-100,1))&lt;999,ROUND(100/N38*O38-100,1),IF(ROUND(100/N38*O38-100,1)&gt;999,999,-999)))</f>
        <v>55.2</v>
      </c>
      <c r="Q38" s="672">
        <v>402.31</v>
      </c>
      <c r="R38" s="372">
        <v>584.49</v>
      </c>
      <c r="S38" s="271">
        <f t="shared" ref="S38:S45" si="28">IF(Q38=0, "    ---- ", IF(ABS(ROUND(100/Q38*R38-100,1))&lt;999,ROUND(100/Q38*R38-100,1),IF(ROUND(100/Q38*R38-100,1)&gt;999,999,-999)))</f>
        <v>45.3</v>
      </c>
      <c r="T38" s="672">
        <v>492</v>
      </c>
      <c r="U38" s="372">
        <v>742</v>
      </c>
      <c r="V38" s="271">
        <f t="shared" ref="V38:V44" si="29">IF(T38=0, "    ---- ", IF(ABS(ROUND(100/T38*U38-100,1))&lt;999,ROUND(100/T38*U38-100,1),IF(ROUND(100/T38*U38-100,1)&gt;999,999,-999)))</f>
        <v>50.8</v>
      </c>
      <c r="W38" s="672">
        <v>239.45469019999854</v>
      </c>
      <c r="X38" s="372">
        <v>243.35428464000148</v>
      </c>
      <c r="Y38" s="271">
        <f t="shared" ref="Y38:Y45" si="30">IF(W38=0, "    ---- ", IF(ABS(ROUND(100/W38*X38-100,1))&lt;999,ROUND(100/W38*X38-100,1),IF(ROUND(100/W38*X38-100,1)&gt;999,999,-999)))</f>
        <v>1.6</v>
      </c>
      <c r="Z38" s="672">
        <v>1900.116769692165</v>
      </c>
      <c r="AA38" s="372">
        <v>2160.1896908799999</v>
      </c>
      <c r="AB38" s="271">
        <f t="shared" ref="AB38:AB45" si="31">IF(Z38=0, "    ---- ", IF(ABS(ROUND(100/Z38*AA38-100,1))&lt;999,ROUND(100/Z38*AA38-100,1),IF(ROUND(100/Z38*AA38-100,1)&gt;999,999,-999)))</f>
        <v>13.7</v>
      </c>
      <c r="AC38" s="672"/>
      <c r="AD38" s="372">
        <v>2</v>
      </c>
      <c r="AE38" s="271" t="str">
        <f t="shared" ref="AE38:AE44" si="32">IF(AC38=0, "    ---- ", IF(ABS(ROUND(100/AC38*AD38-100,1))&lt;999,ROUND(100/AC38*AD38-100,1),IF(ROUND(100/AC38*AD38-100,1)&gt;999,999,-999)))</f>
        <v xml:space="preserve">    ---- </v>
      </c>
      <c r="AF38" s="271">
        <f t="shared" ref="AF38:AG46" si="33">B38+E38+H38+K38+N38+Q38+T38+W38+Z38</f>
        <v>5668.7689646121635</v>
      </c>
      <c r="AG38" s="271">
        <f t="shared" si="33"/>
        <v>7376.4214745300014</v>
      </c>
      <c r="AH38" s="271">
        <f t="shared" si="11"/>
        <v>30.1</v>
      </c>
      <c r="AI38" s="462"/>
      <c r="AJ38" s="473"/>
      <c r="AK38" s="382"/>
    </row>
    <row r="39" spans="1:39" s="360" customFormat="1" ht="18.75" customHeight="1" x14ac:dyDescent="0.3">
      <c r="A39" s="453" t="s">
        <v>279</v>
      </c>
      <c r="B39" s="672">
        <v>13.692332</v>
      </c>
      <c r="C39" s="718">
        <v>11.124000000000001</v>
      </c>
      <c r="D39" s="271">
        <f t="shared" si="23"/>
        <v>-18.8</v>
      </c>
      <c r="E39" s="672"/>
      <c r="F39" s="372"/>
      <c r="G39" s="271"/>
      <c r="H39" s="672"/>
      <c r="I39" s="372"/>
      <c r="J39" s="271"/>
      <c r="K39" s="672">
        <v>0</v>
      </c>
      <c r="L39" s="372">
        <v>0</v>
      </c>
      <c r="M39" s="271" t="str">
        <f t="shared" si="26"/>
        <v xml:space="preserve">    ---- </v>
      </c>
      <c r="N39" s="672">
        <v>48.425684950000004</v>
      </c>
      <c r="O39" s="372">
        <v>72.751381849999987</v>
      </c>
      <c r="P39" s="271">
        <f t="shared" si="27"/>
        <v>50.2</v>
      </c>
      <c r="Q39" s="672">
        <v>2.67</v>
      </c>
      <c r="R39" s="372">
        <v>2.14</v>
      </c>
      <c r="S39" s="271">
        <f t="shared" si="28"/>
        <v>-19.899999999999999</v>
      </c>
      <c r="T39" s="672">
        <v>28</v>
      </c>
      <c r="U39" s="372">
        <v>36</v>
      </c>
      <c r="V39" s="271">
        <f t="shared" si="29"/>
        <v>28.6</v>
      </c>
      <c r="W39" s="672">
        <v>19.421955849999996</v>
      </c>
      <c r="X39" s="372">
        <v>27.13754252</v>
      </c>
      <c r="Y39" s="271">
        <f t="shared" si="30"/>
        <v>39.700000000000003</v>
      </c>
      <c r="Z39" s="672">
        <v>90.465617659999992</v>
      </c>
      <c r="AA39" s="372">
        <v>57.213328019999999</v>
      </c>
      <c r="AB39" s="271">
        <f t="shared" si="31"/>
        <v>-36.799999999999997</v>
      </c>
      <c r="AC39" s="672"/>
      <c r="AD39" s="372"/>
      <c r="AE39" s="271"/>
      <c r="AF39" s="271">
        <f t="shared" si="33"/>
        <v>202.67559046</v>
      </c>
      <c r="AG39" s="271">
        <f t="shared" si="33"/>
        <v>206.36625239</v>
      </c>
      <c r="AH39" s="271">
        <f t="shared" si="11"/>
        <v>1.8</v>
      </c>
      <c r="AI39" s="271"/>
      <c r="AJ39" s="474"/>
      <c r="AK39" s="271"/>
    </row>
    <row r="40" spans="1:39" s="360" customFormat="1" ht="18.75" customHeight="1" x14ac:dyDescent="0.3">
      <c r="A40" s="453" t="s">
        <v>280</v>
      </c>
      <c r="B40" s="672">
        <v>-478.32711668000002</v>
      </c>
      <c r="C40" s="718">
        <v>-535.37300000000005</v>
      </c>
      <c r="D40" s="271">
        <f t="shared" si="23"/>
        <v>11.9</v>
      </c>
      <c r="E40" s="672">
        <v>-39.332165340000003</v>
      </c>
      <c r="F40" s="372">
        <v>-42.314270960000002</v>
      </c>
      <c r="G40" s="271">
        <f t="shared" si="24"/>
        <v>7.6</v>
      </c>
      <c r="H40" s="672"/>
      <c r="I40" s="372"/>
      <c r="J40" s="271"/>
      <c r="K40" s="672">
        <v>-17</v>
      </c>
      <c r="L40" s="372">
        <v>-19</v>
      </c>
      <c r="M40" s="271">
        <f t="shared" si="26"/>
        <v>11.8</v>
      </c>
      <c r="N40" s="672">
        <v>-306.35412100000002</v>
      </c>
      <c r="O40" s="372">
        <v>-308.95238823</v>
      </c>
      <c r="P40" s="271">
        <f t="shared" si="27"/>
        <v>0.8</v>
      </c>
      <c r="Q40" s="672">
        <v>-178.76</v>
      </c>
      <c r="R40" s="372">
        <v>-191.69</v>
      </c>
      <c r="S40" s="271">
        <f t="shared" si="28"/>
        <v>7.2</v>
      </c>
      <c r="T40" s="672">
        <v>-116</v>
      </c>
      <c r="U40" s="372">
        <v>-36</v>
      </c>
      <c r="V40" s="271">
        <f t="shared" si="29"/>
        <v>-69</v>
      </c>
      <c r="W40" s="672">
        <v>-43.420073483600007</v>
      </c>
      <c r="X40" s="372">
        <v>-19.965687150899299</v>
      </c>
      <c r="Y40" s="271">
        <f t="shared" si="30"/>
        <v>-54</v>
      </c>
      <c r="Z40" s="672">
        <f>-1147.220972-19</f>
        <v>-1166.2209720000001</v>
      </c>
      <c r="AA40" s="372">
        <v>-953.44613661000005</v>
      </c>
      <c r="AB40" s="271">
        <f t="shared" si="31"/>
        <v>-18.2</v>
      </c>
      <c r="AC40" s="672"/>
      <c r="AD40" s="372"/>
      <c r="AE40" s="271"/>
      <c r="AF40" s="271">
        <f t="shared" si="33"/>
        <v>-2345.4144485035999</v>
      </c>
      <c r="AG40" s="271">
        <f t="shared" si="33"/>
        <v>-2106.7414829508994</v>
      </c>
      <c r="AH40" s="271">
        <f t="shared" si="11"/>
        <v>-10.199999999999999</v>
      </c>
      <c r="AI40" s="271"/>
      <c r="AJ40" s="474"/>
      <c r="AK40" s="271"/>
    </row>
    <row r="41" spans="1:39" s="476" customFormat="1" ht="18.75" customHeight="1" x14ac:dyDescent="0.3">
      <c r="A41" s="465" t="s">
        <v>281</v>
      </c>
      <c r="B41" s="671">
        <f>SUM(B38:B40)</f>
        <v>673.65779411999983</v>
      </c>
      <c r="C41" s="717">
        <f>SUM(C38:C40)</f>
        <v>914.17000000000007</v>
      </c>
      <c r="D41" s="348">
        <f t="shared" si="23"/>
        <v>35.700000000000003</v>
      </c>
      <c r="E41" s="671">
        <f>SUM(E38:E40)</f>
        <v>98.003415570000001</v>
      </c>
      <c r="F41" s="377">
        <f>SUM(F38:F40)</f>
        <v>93.658771069999986</v>
      </c>
      <c r="G41" s="348">
        <f t="shared" si="24"/>
        <v>-4.4000000000000004</v>
      </c>
      <c r="H41" s="671">
        <f>SUM(H38:H40)</f>
        <v>15.680999999999999</v>
      </c>
      <c r="I41" s="377">
        <f>SUM(I38:I40)</f>
        <v>29.149000000000001</v>
      </c>
      <c r="J41" s="348">
        <f t="shared" si="25"/>
        <v>85.9</v>
      </c>
      <c r="K41" s="671">
        <f>SUM(K38:K40)</f>
        <v>45</v>
      </c>
      <c r="L41" s="377">
        <f>SUM(L38:L40)</f>
        <v>35</v>
      </c>
      <c r="M41" s="348">
        <f t="shared" si="26"/>
        <v>-22.2</v>
      </c>
      <c r="N41" s="671">
        <v>1023.6499089599999</v>
      </c>
      <c r="O41" s="377">
        <v>1752.6454506</v>
      </c>
      <c r="P41" s="348">
        <f t="shared" si="27"/>
        <v>71.2</v>
      </c>
      <c r="Q41" s="671">
        <f>SUM(Q38:Q40)</f>
        <v>226.22000000000003</v>
      </c>
      <c r="R41" s="377">
        <f>SUM(R38:R40)</f>
        <v>394.94</v>
      </c>
      <c r="S41" s="348">
        <f t="shared" si="28"/>
        <v>74.599999999999994</v>
      </c>
      <c r="T41" s="671">
        <f>SUM(T38:T40)</f>
        <v>404</v>
      </c>
      <c r="U41" s="377">
        <f>SUM(U38:U40)</f>
        <v>742</v>
      </c>
      <c r="V41" s="348">
        <f t="shared" si="29"/>
        <v>83.7</v>
      </c>
      <c r="W41" s="671">
        <f>SUM(W38:W40)</f>
        <v>215.45657256639856</v>
      </c>
      <c r="X41" s="377">
        <f>SUM(X38:X40)</f>
        <v>250.52614000910219</v>
      </c>
      <c r="Y41" s="348">
        <f t="shared" si="30"/>
        <v>16.3</v>
      </c>
      <c r="Z41" s="671">
        <f>SUM(Z38:Z40)</f>
        <v>824.36141535216484</v>
      </c>
      <c r="AA41" s="377">
        <f>SUM(AA38:AA40)</f>
        <v>1263.9568822900001</v>
      </c>
      <c r="AB41" s="348">
        <f t="shared" si="31"/>
        <v>53.3</v>
      </c>
      <c r="AC41" s="671"/>
      <c r="AD41" s="377">
        <f>SUM(AD38:AD40)</f>
        <v>2</v>
      </c>
      <c r="AE41" s="348" t="str">
        <f t="shared" si="32"/>
        <v xml:space="preserve">    ---- </v>
      </c>
      <c r="AF41" s="348">
        <f t="shared" si="33"/>
        <v>3526.0301065685635</v>
      </c>
      <c r="AG41" s="348">
        <f t="shared" si="33"/>
        <v>5476.0462439691028</v>
      </c>
      <c r="AH41" s="348">
        <f t="shared" si="11"/>
        <v>55.3</v>
      </c>
      <c r="AI41" s="348"/>
      <c r="AJ41" s="475"/>
      <c r="AK41" s="348"/>
    </row>
    <row r="42" spans="1:39" s="476" customFormat="1" ht="18.75" customHeight="1" x14ac:dyDescent="0.3">
      <c r="A42" s="465" t="s">
        <v>282</v>
      </c>
      <c r="B42" s="671">
        <f>B35+B41</f>
        <v>1422.5640655599991</v>
      </c>
      <c r="C42" s="717">
        <f>C35+C41</f>
        <v>2083.7540000000045</v>
      </c>
      <c r="D42" s="348">
        <f t="shared" si="23"/>
        <v>46.5</v>
      </c>
      <c r="E42" s="671">
        <f>E35+E41</f>
        <v>1091.0821924000011</v>
      </c>
      <c r="F42" s="377">
        <f>F35+F41</f>
        <v>1389.2750698299997</v>
      </c>
      <c r="G42" s="348">
        <f t="shared" si="24"/>
        <v>27.3</v>
      </c>
      <c r="H42" s="671">
        <f>H35+H41</f>
        <v>7.4109999999999605</v>
      </c>
      <c r="I42" s="377">
        <f>I35+I41</f>
        <v>125.89000000000004</v>
      </c>
      <c r="J42" s="348">
        <f t="shared" si="25"/>
        <v>999</v>
      </c>
      <c r="K42" s="671">
        <f>K35+K41</f>
        <v>15</v>
      </c>
      <c r="L42" s="377">
        <f>L35+L41</f>
        <v>255</v>
      </c>
      <c r="M42" s="348">
        <f t="shared" si="26"/>
        <v>999</v>
      </c>
      <c r="N42" s="671">
        <v>1244.6285210999874</v>
      </c>
      <c r="O42" s="377">
        <v>2168.570420419986</v>
      </c>
      <c r="P42" s="348">
        <f t="shared" si="27"/>
        <v>74.2</v>
      </c>
      <c r="Q42" s="671">
        <f>Q35+Q41</f>
        <v>1234.9934496500034</v>
      </c>
      <c r="R42" s="377">
        <f>R35+R41</f>
        <v>1722.3469602000002</v>
      </c>
      <c r="S42" s="348">
        <f t="shared" si="28"/>
        <v>39.5</v>
      </c>
      <c r="T42" s="671">
        <f>T35+T41</f>
        <v>962</v>
      </c>
      <c r="U42" s="377">
        <f>U35+U41</f>
        <v>1369</v>
      </c>
      <c r="V42" s="348">
        <f t="shared" si="29"/>
        <v>42.3</v>
      </c>
      <c r="W42" s="671">
        <f>W35+W41</f>
        <v>218.45068630000205</v>
      </c>
      <c r="X42" s="377">
        <f>X35+X41</f>
        <v>375.88199266999948</v>
      </c>
      <c r="Y42" s="348">
        <f t="shared" si="30"/>
        <v>72.099999999999994</v>
      </c>
      <c r="Z42" s="671">
        <f>Z35+Z41</f>
        <v>2108.8367778236125</v>
      </c>
      <c r="AA42" s="377">
        <f>AA35+AA41</f>
        <v>3084.2407497999811</v>
      </c>
      <c r="AB42" s="348">
        <f t="shared" si="31"/>
        <v>46.3</v>
      </c>
      <c r="AC42" s="671">
        <f>AC35+AC41</f>
        <v>-37</v>
      </c>
      <c r="AD42" s="377">
        <f>AD35+AD41</f>
        <v>-35</v>
      </c>
      <c r="AE42" s="348">
        <f t="shared" si="32"/>
        <v>-5.4</v>
      </c>
      <c r="AF42" s="348">
        <f t="shared" si="33"/>
        <v>8304.9666928336064</v>
      </c>
      <c r="AG42" s="348">
        <f t="shared" si="33"/>
        <v>12573.959192919972</v>
      </c>
      <c r="AH42" s="348">
        <f t="shared" si="11"/>
        <v>51.4</v>
      </c>
      <c r="AI42" s="348"/>
      <c r="AJ42" s="475"/>
      <c r="AK42" s="348"/>
    </row>
    <row r="43" spans="1:39" s="360" customFormat="1" ht="18.75" customHeight="1" x14ac:dyDescent="0.3">
      <c r="A43" s="453" t="s">
        <v>283</v>
      </c>
      <c r="B43" s="672">
        <v>-369.45735200000001</v>
      </c>
      <c r="C43" s="718">
        <v>-424.75200000000001</v>
      </c>
      <c r="D43" s="271">
        <f t="shared" si="23"/>
        <v>15</v>
      </c>
      <c r="E43" s="672">
        <v>-303.94600050000008</v>
      </c>
      <c r="F43" s="372">
        <v>-378.20846699999993</v>
      </c>
      <c r="G43" s="271">
        <f t="shared" si="24"/>
        <v>24.4</v>
      </c>
      <c r="H43" s="672"/>
      <c r="I43" s="372"/>
      <c r="J43" s="271"/>
      <c r="K43" s="672"/>
      <c r="L43" s="372"/>
      <c r="M43" s="271" t="str">
        <f t="shared" si="26"/>
        <v xml:space="preserve">    ---- </v>
      </c>
      <c r="N43" s="672">
        <v>-286.91452712499995</v>
      </c>
      <c r="O43" s="372">
        <v>-366.05574847499997</v>
      </c>
      <c r="P43" s="271">
        <f t="shared" si="27"/>
        <v>27.6</v>
      </c>
      <c r="Q43" s="672">
        <v>-304.57</v>
      </c>
      <c r="R43" s="372">
        <v>-429.96</v>
      </c>
      <c r="S43" s="271">
        <f t="shared" si="28"/>
        <v>41.2</v>
      </c>
      <c r="T43" s="672">
        <v>-235</v>
      </c>
      <c r="U43" s="372">
        <v>-272</v>
      </c>
      <c r="V43" s="271">
        <f t="shared" si="29"/>
        <v>15.7</v>
      </c>
      <c r="W43" s="672">
        <v>-54.957476580000005</v>
      </c>
      <c r="X43" s="372">
        <v>-83.483345060000005</v>
      </c>
      <c r="Y43" s="271">
        <f t="shared" si="30"/>
        <v>51.9</v>
      </c>
      <c r="Z43" s="672">
        <v>326.00705891000001</v>
      </c>
      <c r="AA43" s="372">
        <v>-485.80039807999998</v>
      </c>
      <c r="AB43" s="271">
        <f t="shared" si="31"/>
        <v>-249</v>
      </c>
      <c r="AC43" s="672"/>
      <c r="AD43" s="372"/>
      <c r="AE43" s="271"/>
      <c r="AF43" s="271">
        <f t="shared" si="33"/>
        <v>-1228.8382972950001</v>
      </c>
      <c r="AG43" s="271">
        <f t="shared" si="33"/>
        <v>-2440.259958615</v>
      </c>
      <c r="AH43" s="271">
        <f t="shared" si="11"/>
        <v>98.6</v>
      </c>
      <c r="AI43" s="271"/>
      <c r="AJ43" s="474"/>
      <c r="AK43" s="271"/>
    </row>
    <row r="44" spans="1:39" s="476" customFormat="1" ht="18.75" customHeight="1" x14ac:dyDescent="0.3">
      <c r="A44" s="465" t="s">
        <v>439</v>
      </c>
      <c r="B44" s="671">
        <f>B42+B43</f>
        <v>1053.1067135599992</v>
      </c>
      <c r="C44" s="717">
        <f>C42+C43</f>
        <v>1659.0020000000045</v>
      </c>
      <c r="D44" s="348">
        <f t="shared" si="23"/>
        <v>57.5</v>
      </c>
      <c r="E44" s="671">
        <f>E42+E43</f>
        <v>787.13619190000099</v>
      </c>
      <c r="F44" s="377">
        <f>F42+F43</f>
        <v>1011.0666028299997</v>
      </c>
      <c r="G44" s="348">
        <f t="shared" si="24"/>
        <v>28.4</v>
      </c>
      <c r="H44" s="671">
        <f>H42+H43</f>
        <v>7.4109999999999605</v>
      </c>
      <c r="I44" s="377">
        <f>I42+I43</f>
        <v>125.89000000000004</v>
      </c>
      <c r="J44" s="348">
        <f t="shared" si="25"/>
        <v>999</v>
      </c>
      <c r="K44" s="671">
        <f>K42+K43</f>
        <v>15</v>
      </c>
      <c r="L44" s="377">
        <f>L42+L43</f>
        <v>255</v>
      </c>
      <c r="M44" s="348">
        <f t="shared" si="26"/>
        <v>999</v>
      </c>
      <c r="N44" s="671">
        <v>957.71399397498749</v>
      </c>
      <c r="O44" s="377">
        <v>1802.514671944986</v>
      </c>
      <c r="P44" s="348">
        <f t="shared" si="27"/>
        <v>88.2</v>
      </c>
      <c r="Q44" s="671">
        <f>Q42+Q43</f>
        <v>930.42344965000348</v>
      </c>
      <c r="R44" s="377">
        <f>R42+R43</f>
        <v>1292.3869602000002</v>
      </c>
      <c r="S44" s="348">
        <f t="shared" si="28"/>
        <v>38.9</v>
      </c>
      <c r="T44" s="671">
        <f>T42+T43</f>
        <v>727</v>
      </c>
      <c r="U44" s="377">
        <f>U42+U43</f>
        <v>1097</v>
      </c>
      <c r="V44" s="348">
        <f t="shared" si="29"/>
        <v>50.9</v>
      </c>
      <c r="W44" s="671">
        <f>W42+W43</f>
        <v>163.49320972000203</v>
      </c>
      <c r="X44" s="377">
        <f>X42+X43</f>
        <v>292.39864760999944</v>
      </c>
      <c r="Y44" s="348">
        <f t="shared" si="30"/>
        <v>78.8</v>
      </c>
      <c r="Z44" s="671">
        <f>Z42+Z43</f>
        <v>2434.8438367336125</v>
      </c>
      <c r="AA44" s="377">
        <f>AA42+AA43</f>
        <v>2598.4403517199812</v>
      </c>
      <c r="AB44" s="348">
        <f t="shared" si="31"/>
        <v>6.7</v>
      </c>
      <c r="AC44" s="671">
        <f>AC42+AC43</f>
        <v>-37</v>
      </c>
      <c r="AD44" s="377">
        <f>AD42+AD43</f>
        <v>-35</v>
      </c>
      <c r="AE44" s="348">
        <f t="shared" si="32"/>
        <v>-5.4</v>
      </c>
      <c r="AF44" s="348">
        <f t="shared" si="33"/>
        <v>7076.1283955386061</v>
      </c>
      <c r="AG44" s="348">
        <f t="shared" si="33"/>
        <v>10133.699234304971</v>
      </c>
      <c r="AH44" s="348">
        <f t="shared" si="11"/>
        <v>43.2</v>
      </c>
      <c r="AI44" s="348"/>
      <c r="AJ44" s="475"/>
      <c r="AK44" s="348"/>
    </row>
    <row r="45" spans="1:39" s="360" customFormat="1" ht="18.75" customHeight="1" x14ac:dyDescent="0.3">
      <c r="A45" s="453" t="s">
        <v>440</v>
      </c>
      <c r="B45" s="672">
        <v>-6.1139478799999996</v>
      </c>
      <c r="C45" s="718">
        <v>-0.92200000000000004</v>
      </c>
      <c r="D45" s="271">
        <f t="shared" si="23"/>
        <v>-84.9</v>
      </c>
      <c r="E45" s="672"/>
      <c r="F45" s="372"/>
      <c r="G45" s="271"/>
      <c r="H45" s="672"/>
      <c r="I45" s="372"/>
      <c r="J45" s="271"/>
      <c r="K45" s="672">
        <v>-4</v>
      </c>
      <c r="L45" s="372">
        <v>-2</v>
      </c>
      <c r="M45" s="271">
        <f t="shared" si="26"/>
        <v>-50</v>
      </c>
      <c r="N45" s="672">
        <v>-101.57286598499999</v>
      </c>
      <c r="O45" s="372">
        <v>339.23957232499998</v>
      </c>
      <c r="P45" s="271">
        <f t="shared" si="27"/>
        <v>-434</v>
      </c>
      <c r="Q45" s="672">
        <v>-8.0399999999999991</v>
      </c>
      <c r="R45" s="372">
        <v>-19.05</v>
      </c>
      <c r="S45" s="271">
        <f t="shared" si="28"/>
        <v>136.9</v>
      </c>
      <c r="T45" s="672">
        <v>-2</v>
      </c>
      <c r="U45" s="372">
        <v>17</v>
      </c>
      <c r="V45" s="271">
        <f>IF(T45=0, "    ---- ", IF(ABS(ROUND(100/T45*U45-100,1))&lt;999,ROUND(100/T45*U45-100,1),IF(ROUND(100/T45*U45-100,1)&gt;999,999,-999)))</f>
        <v>-950</v>
      </c>
      <c r="W45" s="672">
        <v>0.21814618</v>
      </c>
      <c r="X45" s="372"/>
      <c r="Y45" s="271">
        <f t="shared" si="30"/>
        <v>-100</v>
      </c>
      <c r="Z45" s="672">
        <v>-10.003694940803834</v>
      </c>
      <c r="AA45" s="372">
        <v>-3.1946105882525399E-8</v>
      </c>
      <c r="AB45" s="271">
        <f t="shared" si="31"/>
        <v>-100</v>
      </c>
      <c r="AC45" s="672"/>
      <c r="AD45" s="372"/>
      <c r="AE45" s="271"/>
      <c r="AF45" s="271">
        <f t="shared" si="33"/>
        <v>-131.51236262580383</v>
      </c>
      <c r="AG45" s="271">
        <f t="shared" si="33"/>
        <v>334.26757229305383</v>
      </c>
      <c r="AH45" s="271">
        <f t="shared" si="11"/>
        <v>-354.2</v>
      </c>
      <c r="AI45" s="271"/>
      <c r="AJ45" s="474"/>
      <c r="AK45" s="271"/>
    </row>
    <row r="46" spans="1:39" s="476" customFormat="1" ht="18.75" customHeight="1" x14ac:dyDescent="0.3">
      <c r="A46" s="464" t="s">
        <v>284</v>
      </c>
      <c r="B46" s="673">
        <f>B44+B45</f>
        <v>1046.9927656799991</v>
      </c>
      <c r="C46" s="719">
        <f>C44+C45</f>
        <v>1658.0800000000045</v>
      </c>
      <c r="D46" s="355">
        <f>IF(B46=0, "    ---- ", IF(ABS(ROUND(100/B46*C46-100,1))&lt;999,ROUND(100/B46*C46-100,1),IF(ROUND(100/B46*C46-100,1)&gt;999,999,-999)))</f>
        <v>58.4</v>
      </c>
      <c r="E46" s="673">
        <f>E44+E45</f>
        <v>787.13619190000099</v>
      </c>
      <c r="F46" s="378">
        <f>F44+F45</f>
        <v>1011.0666028299997</v>
      </c>
      <c r="G46" s="355">
        <f>IF(E46=0, "    ---- ", IF(ABS(ROUND(100/E46*F46-100,1))&lt;999,ROUND(100/E46*F46-100,1),IF(ROUND(100/E46*F46-100,1)&gt;999,999,-999)))</f>
        <v>28.4</v>
      </c>
      <c r="H46" s="673">
        <f>H44+H45</f>
        <v>7.4109999999999605</v>
      </c>
      <c r="I46" s="378">
        <f>I44+I45</f>
        <v>125.89000000000004</v>
      </c>
      <c r="J46" s="355">
        <f>IF(H46=0, "    ---- ", IF(ABS(ROUND(100/H46*I46-100,1))&lt;999,ROUND(100/H46*I46-100,1),IF(ROUND(100/H46*I46-100,1)&gt;999,999,-999)))</f>
        <v>999</v>
      </c>
      <c r="K46" s="673">
        <f>K44+K45</f>
        <v>11</v>
      </c>
      <c r="L46" s="378">
        <f>L44+L45</f>
        <v>253</v>
      </c>
      <c r="M46" s="355">
        <f>IF(K46=0, "    ---- ", IF(ABS(ROUND(100/K46*L46-100,1))&lt;999,ROUND(100/K46*L46-100,1),IF(ROUND(100/K46*L46-100,1)&gt;999,999,-999)))</f>
        <v>999</v>
      </c>
      <c r="N46" s="673">
        <f>N44+N45</f>
        <v>856.14112798998747</v>
      </c>
      <c r="O46" s="378">
        <v>2141.754244269986</v>
      </c>
      <c r="P46" s="355">
        <f>IF(N46=0, "    ---- ", IF(ABS(ROUND(100/N46*O46-100,1))&lt;999,ROUND(100/N46*O46-100,1),IF(ROUND(100/N46*O46-100,1)&gt;999,999,-999)))</f>
        <v>150.19999999999999</v>
      </c>
      <c r="Q46" s="673">
        <f>Q44+Q45</f>
        <v>922.38344965000351</v>
      </c>
      <c r="R46" s="378">
        <f>R44+R45</f>
        <v>1273.3369602000002</v>
      </c>
      <c r="S46" s="355">
        <f>IF(Q46=0, "    ---- ", IF(ABS(ROUND(100/Q46*R46-100,1))&lt;999,ROUND(100/Q46*R46-100,1),IF(ROUND(100/Q46*R46-100,1)&gt;999,999,-999)))</f>
        <v>38</v>
      </c>
      <c r="T46" s="673">
        <f>T44+T45</f>
        <v>725</v>
      </c>
      <c r="U46" s="378">
        <f>U44+U45</f>
        <v>1114</v>
      </c>
      <c r="V46" s="355">
        <f>IF(T46=0, "    ---- ", IF(ABS(ROUND(100/T46*U46-100,1))&lt;999,ROUND(100/T46*U46-100,1),IF(ROUND(100/T46*U46-100,1)&gt;999,999,-999)))</f>
        <v>53.7</v>
      </c>
      <c r="W46" s="673">
        <f>W44+W45</f>
        <v>163.71135590000202</v>
      </c>
      <c r="X46" s="378">
        <f>X44+X45</f>
        <v>292.39864760999944</v>
      </c>
      <c r="Y46" s="355">
        <f>IF(W46=0, "    ---- ", IF(ABS(ROUND(100/W46*X46-100,1))&lt;999,ROUND(100/W46*X46-100,1),IF(ROUND(100/W46*X46-100,1)&gt;999,999,-999)))</f>
        <v>78.599999999999994</v>
      </c>
      <c r="Z46" s="673">
        <f>Z44+Z45</f>
        <v>2424.8401417928085</v>
      </c>
      <c r="AA46" s="378">
        <f>AA44+AA45</f>
        <v>2598.4403516880352</v>
      </c>
      <c r="AB46" s="355">
        <f>IF(Z46=0, "    ---- ", IF(ABS(ROUND(100/Z46*AA46-100,1))&lt;999,ROUND(100/Z46*AA46-100,1),IF(ROUND(100/Z46*AA46-100,1)&gt;999,999,-999)))</f>
        <v>7.2</v>
      </c>
      <c r="AC46" s="673">
        <f>AC44+AC45</f>
        <v>-37</v>
      </c>
      <c r="AD46" s="378">
        <f>AD44+AD45</f>
        <v>-35</v>
      </c>
      <c r="AE46" s="355">
        <f>IF(AC46=0, "    ---- ", IF(ABS(ROUND(100/AC46*AD46-100,1))&lt;999,ROUND(100/AC46*AD46-100,1),IF(ROUND(100/AC46*AD46-100,1)&gt;999,999,-999)))</f>
        <v>-5.4</v>
      </c>
      <c r="AF46" s="348">
        <f t="shared" si="33"/>
        <v>6944.6160329128015</v>
      </c>
      <c r="AG46" s="348">
        <f t="shared" si="33"/>
        <v>10467.966806598026</v>
      </c>
      <c r="AH46" s="355">
        <f t="shared" si="11"/>
        <v>50.7</v>
      </c>
      <c r="AI46" s="477"/>
      <c r="AJ46" s="478"/>
      <c r="AK46" s="479"/>
    </row>
    <row r="47" spans="1:39" s="476" customFormat="1" ht="18.75" customHeight="1" x14ac:dyDescent="0.3">
      <c r="A47" s="480"/>
      <c r="B47" s="683"/>
      <c r="C47" s="720"/>
      <c r="D47" s="720"/>
      <c r="E47" s="683"/>
      <c r="F47" s="481"/>
      <c r="G47" s="481"/>
      <c r="H47" s="674"/>
      <c r="I47" s="481"/>
      <c r="J47" s="481"/>
      <c r="K47" s="683"/>
      <c r="L47" s="675"/>
      <c r="M47" s="482"/>
      <c r="N47" s="683"/>
      <c r="O47" s="675"/>
      <c r="P47" s="675"/>
      <c r="Q47" s="683"/>
      <c r="R47" s="675"/>
      <c r="S47" s="675"/>
      <c r="T47" s="674"/>
      <c r="U47" s="675"/>
      <c r="V47" s="466"/>
      <c r="W47" s="683"/>
      <c r="X47" s="675"/>
      <c r="Y47" s="695"/>
      <c r="Z47" s="683"/>
      <c r="AA47" s="675"/>
      <c r="AB47" s="674"/>
      <c r="AC47" s="674"/>
      <c r="AD47" s="675"/>
      <c r="AE47" s="466"/>
      <c r="AF47" s="482"/>
      <c r="AG47" s="482"/>
      <c r="AH47" s="466"/>
      <c r="AI47" s="483"/>
      <c r="AJ47" s="483"/>
      <c r="AK47" s="484"/>
    </row>
    <row r="48" spans="1:39" s="476" customFormat="1" ht="18.75" customHeight="1" x14ac:dyDescent="0.3">
      <c r="A48" s="762" t="s">
        <v>285</v>
      </c>
      <c r="B48" s="58"/>
      <c r="C48" s="721"/>
      <c r="D48" s="721"/>
      <c r="E48" s="58"/>
      <c r="F48" s="487"/>
      <c r="G48" s="487"/>
      <c r="H48" s="58"/>
      <c r="I48" s="487"/>
      <c r="J48" s="487"/>
      <c r="K48" s="58"/>
      <c r="L48" s="487"/>
      <c r="M48" s="487"/>
      <c r="N48" s="58"/>
      <c r="O48" s="487"/>
      <c r="P48" s="487"/>
      <c r="Q48" s="58"/>
      <c r="R48" s="487"/>
      <c r="S48" s="487"/>
      <c r="T48" s="58"/>
      <c r="U48" s="487"/>
      <c r="V48" s="487"/>
      <c r="W48" s="58"/>
      <c r="X48" s="487"/>
      <c r="Y48" s="487"/>
      <c r="Z48" s="58"/>
      <c r="AA48" s="487"/>
      <c r="AB48" s="58"/>
      <c r="AC48" s="58"/>
      <c r="AD48" s="487"/>
      <c r="AE48" s="487"/>
      <c r="AF48" s="487"/>
      <c r="AG48" s="487"/>
      <c r="AH48" s="487"/>
      <c r="AI48" s="487"/>
      <c r="AJ48" s="487"/>
      <c r="AK48" s="487"/>
    </row>
    <row r="49" spans="1:37" s="360" customFormat="1" ht="18.75" customHeight="1" x14ac:dyDescent="0.3">
      <c r="A49" s="487" t="s">
        <v>286</v>
      </c>
      <c r="B49" s="58"/>
      <c r="C49" s="487"/>
      <c r="D49" s="487"/>
      <c r="E49" s="58"/>
      <c r="F49" s="487"/>
      <c r="G49" s="487"/>
      <c r="H49" s="58"/>
      <c r="I49" s="487"/>
      <c r="J49" s="487"/>
      <c r="K49" s="58"/>
      <c r="L49" s="487"/>
      <c r="M49" s="487"/>
      <c r="N49" s="58"/>
      <c r="O49" s="487"/>
      <c r="P49" s="487"/>
      <c r="Q49" s="58"/>
      <c r="R49" s="487"/>
      <c r="S49" s="487"/>
      <c r="T49" s="58"/>
      <c r="U49" s="487"/>
      <c r="V49" s="487"/>
      <c r="W49" s="58"/>
      <c r="X49" s="487"/>
      <c r="Y49" s="487"/>
      <c r="Z49" s="58"/>
      <c r="AA49" s="487"/>
      <c r="AB49" s="58"/>
      <c r="AC49" s="58"/>
      <c r="AD49" s="487"/>
      <c r="AE49" s="487"/>
      <c r="AF49" s="487"/>
      <c r="AG49" s="487"/>
      <c r="AH49" s="487"/>
      <c r="AI49" s="487"/>
      <c r="AJ49" s="487"/>
      <c r="AK49" s="487"/>
    </row>
    <row r="50" spans="1:37" s="360" customFormat="1" ht="18.75" customHeight="1" x14ac:dyDescent="0.3">
      <c r="A50" s="487" t="s">
        <v>287</v>
      </c>
      <c r="B50" s="58"/>
      <c r="C50" s="487"/>
      <c r="D50" s="487"/>
      <c r="E50" s="58"/>
      <c r="F50" s="487"/>
      <c r="G50" s="487"/>
      <c r="H50" s="58"/>
      <c r="I50" s="487"/>
      <c r="J50" s="487"/>
      <c r="K50" s="58"/>
      <c r="L50" s="487"/>
      <c r="M50" s="487"/>
      <c r="N50" s="58"/>
      <c r="O50" s="487"/>
      <c r="P50" s="487"/>
      <c r="Q50" s="58"/>
      <c r="R50" s="487"/>
      <c r="S50" s="487"/>
      <c r="T50" s="58"/>
      <c r="U50" s="487"/>
      <c r="V50" s="487"/>
      <c r="W50" s="58"/>
      <c r="X50" s="487"/>
      <c r="Y50" s="487"/>
      <c r="Z50" s="58"/>
      <c r="AA50" s="487"/>
      <c r="AB50" s="58"/>
      <c r="AC50" s="58"/>
      <c r="AD50" s="487"/>
      <c r="AE50" s="487"/>
      <c r="AF50" s="487"/>
      <c r="AG50" s="487"/>
      <c r="AH50" s="487"/>
      <c r="AI50" s="487"/>
      <c r="AJ50" s="487"/>
      <c r="AK50" s="487"/>
    </row>
    <row r="51" spans="1:37" s="360" customFormat="1" ht="18.75" customHeight="1" x14ac:dyDescent="0.3">
      <c r="A51" s="487" t="s">
        <v>288</v>
      </c>
      <c r="B51" s="58"/>
      <c r="C51" s="487"/>
      <c r="D51" s="487"/>
      <c r="E51" s="58"/>
      <c r="F51" s="487"/>
      <c r="G51" s="487"/>
      <c r="H51" s="58"/>
      <c r="I51" s="487"/>
      <c r="J51" s="487"/>
      <c r="K51" s="58"/>
      <c r="L51" s="487"/>
      <c r="M51" s="487"/>
      <c r="N51" s="58"/>
      <c r="O51" s="487"/>
      <c r="P51" s="487"/>
      <c r="Q51" s="58"/>
      <c r="R51" s="487"/>
      <c r="S51" s="487"/>
      <c r="T51" s="58"/>
      <c r="U51" s="487"/>
      <c r="V51" s="487"/>
      <c r="W51" s="58"/>
      <c r="X51" s="487"/>
      <c r="Y51" s="487"/>
      <c r="Z51" s="58"/>
      <c r="AA51" s="487"/>
      <c r="AB51" s="58"/>
      <c r="AC51" s="58"/>
      <c r="AD51" s="487"/>
      <c r="AE51" s="487"/>
      <c r="AF51" s="487"/>
      <c r="AG51" s="487"/>
      <c r="AH51" s="487"/>
      <c r="AI51" s="487"/>
      <c r="AJ51" s="487"/>
      <c r="AK51" s="487"/>
    </row>
    <row r="52" spans="1:37" s="360" customFormat="1" ht="18.75" customHeight="1" x14ac:dyDescent="0.3">
      <c r="A52" s="487" t="s">
        <v>289</v>
      </c>
      <c r="B52" s="58"/>
      <c r="C52" s="487"/>
      <c r="D52" s="487"/>
      <c r="E52" s="58"/>
      <c r="F52" s="487"/>
      <c r="G52" s="487"/>
      <c r="H52" s="58"/>
      <c r="I52" s="487"/>
      <c r="J52" s="487"/>
      <c r="K52" s="58"/>
      <c r="L52" s="487"/>
      <c r="M52" s="487"/>
      <c r="N52" s="58"/>
      <c r="O52" s="487"/>
      <c r="P52" s="487"/>
      <c r="Q52" s="58"/>
      <c r="R52" s="487"/>
      <c r="S52" s="487"/>
      <c r="T52" s="58"/>
      <c r="U52" s="487"/>
      <c r="V52" s="487"/>
      <c r="W52" s="58"/>
      <c r="X52" s="487"/>
      <c r="Y52" s="487"/>
      <c r="Z52" s="58"/>
      <c r="AA52" s="487"/>
      <c r="AB52" s="58"/>
      <c r="AC52" s="58"/>
      <c r="AD52" s="487"/>
      <c r="AE52" s="487"/>
      <c r="AF52" s="487"/>
      <c r="AG52" s="487"/>
      <c r="AH52" s="487"/>
      <c r="AI52" s="487"/>
      <c r="AJ52" s="487"/>
      <c r="AK52" s="487"/>
    </row>
    <row r="53" spans="1:37" s="360" customFormat="1" ht="18.75" customHeight="1" x14ac:dyDescent="0.3">
      <c r="A53" s="487" t="s">
        <v>290</v>
      </c>
      <c r="B53" s="58"/>
      <c r="C53" s="487"/>
      <c r="D53" s="487"/>
      <c r="E53" s="58"/>
      <c r="F53" s="487"/>
      <c r="G53" s="487"/>
      <c r="H53" s="58"/>
      <c r="I53" s="487"/>
      <c r="J53" s="487"/>
      <c r="K53" s="58"/>
      <c r="L53" s="487"/>
      <c r="M53" s="487"/>
      <c r="N53" s="58"/>
      <c r="O53" s="487"/>
      <c r="P53" s="487"/>
      <c r="Q53" s="58"/>
      <c r="R53" s="487"/>
      <c r="S53" s="487"/>
      <c r="T53" s="58"/>
      <c r="U53" s="487"/>
      <c r="V53" s="487"/>
      <c r="W53" s="58"/>
      <c r="X53" s="487"/>
      <c r="Y53" s="487"/>
      <c r="Z53" s="58"/>
      <c r="AA53" s="487"/>
      <c r="AB53" s="58"/>
      <c r="AC53" s="58"/>
      <c r="AD53" s="487"/>
      <c r="AE53" s="487"/>
      <c r="AF53" s="487"/>
      <c r="AG53" s="487"/>
      <c r="AH53" s="487"/>
      <c r="AI53" s="487"/>
      <c r="AJ53" s="487"/>
      <c r="AK53" s="487"/>
    </row>
    <row r="54" spans="1:37" s="360" customFormat="1" ht="18.75" customHeight="1" x14ac:dyDescent="0.3">
      <c r="A54" s="487" t="s">
        <v>291</v>
      </c>
      <c r="B54" s="58"/>
      <c r="C54" s="487"/>
      <c r="D54" s="487"/>
      <c r="E54" s="58"/>
      <c r="F54" s="487"/>
      <c r="G54" s="487"/>
      <c r="H54" s="58"/>
      <c r="I54" s="487"/>
      <c r="J54" s="487"/>
      <c r="K54" s="58"/>
      <c r="L54" s="487"/>
      <c r="M54" s="487"/>
      <c r="N54" s="58"/>
      <c r="O54" s="487"/>
      <c r="P54" s="487"/>
      <c r="Q54" s="58"/>
      <c r="R54" s="487"/>
      <c r="S54" s="487"/>
      <c r="T54" s="58"/>
      <c r="U54" s="487"/>
      <c r="V54" s="487"/>
      <c r="W54" s="58"/>
      <c r="X54" s="487"/>
      <c r="Y54" s="487"/>
      <c r="Z54" s="58"/>
      <c r="AA54" s="487"/>
      <c r="AB54" s="58"/>
      <c r="AC54" s="58"/>
      <c r="AD54" s="487"/>
      <c r="AE54" s="487"/>
      <c r="AF54" s="487"/>
      <c r="AG54" s="487"/>
      <c r="AH54" s="487"/>
      <c r="AI54" s="487"/>
      <c r="AJ54" s="487"/>
      <c r="AK54" s="487"/>
    </row>
    <row r="55" spans="1:37" s="360" customFormat="1" ht="18.75" customHeight="1" x14ac:dyDescent="0.3">
      <c r="A55" s="487" t="s">
        <v>292</v>
      </c>
      <c r="B55" s="58"/>
      <c r="C55" s="487"/>
      <c r="D55" s="487"/>
      <c r="E55" s="58"/>
      <c r="F55" s="487"/>
      <c r="G55" s="487"/>
      <c r="H55" s="58"/>
      <c r="I55" s="487"/>
      <c r="J55" s="487"/>
      <c r="K55" s="58"/>
      <c r="L55" s="487"/>
      <c r="M55" s="487"/>
      <c r="N55" s="58"/>
      <c r="O55" s="487"/>
      <c r="P55" s="487"/>
      <c r="Q55" s="58"/>
      <c r="R55" s="487"/>
      <c r="S55" s="487"/>
      <c r="T55" s="58"/>
      <c r="U55" s="487"/>
      <c r="V55" s="487"/>
      <c r="W55" s="58"/>
      <c r="X55" s="487">
        <v>-251</v>
      </c>
      <c r="Y55" s="487"/>
      <c r="Z55" s="130">
        <v>3439</v>
      </c>
      <c r="AA55" s="703">
        <v>4149.5</v>
      </c>
      <c r="AB55" s="58"/>
      <c r="AC55" s="58"/>
      <c r="AD55" s="487"/>
      <c r="AE55" s="487"/>
      <c r="AF55" s="487"/>
      <c r="AG55" s="487"/>
      <c r="AH55" s="487"/>
      <c r="AI55" s="487"/>
      <c r="AJ55" s="487"/>
      <c r="AK55" s="487"/>
    </row>
    <row r="56" spans="1:37" s="360" customFormat="1" ht="18.75" customHeight="1" x14ac:dyDescent="0.3">
      <c r="A56" s="487" t="s">
        <v>293</v>
      </c>
      <c r="B56" s="58"/>
      <c r="C56" s="487"/>
      <c r="D56" s="487"/>
      <c r="E56" s="58"/>
      <c r="F56" s="487"/>
      <c r="G56" s="487"/>
      <c r="H56" s="58"/>
      <c r="I56" s="487"/>
      <c r="J56" s="487"/>
      <c r="K56" s="58">
        <v>11</v>
      </c>
      <c r="L56" s="487"/>
      <c r="M56" s="487"/>
      <c r="N56" s="58"/>
      <c r="O56" s="487"/>
      <c r="P56" s="487"/>
      <c r="Q56" s="684">
        <v>922.38344965000897</v>
      </c>
      <c r="R56" s="686">
        <v>1273.3369602000018</v>
      </c>
      <c r="S56" s="487"/>
      <c r="T56" s="58"/>
      <c r="U56" s="487"/>
      <c r="V56" s="487"/>
      <c r="W56" s="58"/>
      <c r="X56" s="487">
        <v>-41</v>
      </c>
      <c r="Y56" s="487"/>
      <c r="Z56" s="130">
        <v>-1014</v>
      </c>
      <c r="AA56" s="703">
        <v>-1548.9563366499999</v>
      </c>
      <c r="AB56" s="58"/>
      <c r="AC56" s="58"/>
      <c r="AD56" s="487">
        <v>35</v>
      </c>
      <c r="AE56" s="487"/>
      <c r="AF56" s="487"/>
      <c r="AG56" s="487"/>
      <c r="AH56" s="487"/>
      <c r="AI56" s="487"/>
      <c r="AJ56" s="487"/>
      <c r="AK56" s="487"/>
    </row>
    <row r="57" spans="1:37" s="360" customFormat="1" ht="18.75" customHeight="1" x14ac:dyDescent="0.3">
      <c r="A57" s="487" t="s">
        <v>294</v>
      </c>
      <c r="B57" s="58"/>
      <c r="C57" s="487"/>
      <c r="D57" s="487"/>
      <c r="E57" s="58"/>
      <c r="F57" s="487"/>
      <c r="G57" s="487"/>
      <c r="H57" s="58"/>
      <c r="I57" s="487"/>
      <c r="J57" s="487"/>
      <c r="K57" s="58">
        <f>K54+K55+K56</f>
        <v>11</v>
      </c>
      <c r="L57" s="487"/>
      <c r="M57" s="487"/>
      <c r="N57" s="58"/>
      <c r="O57" s="487"/>
      <c r="P57" s="487"/>
      <c r="Q57" s="684">
        <f>Q54+Q55+Q56</f>
        <v>922.38344965000897</v>
      </c>
      <c r="R57" s="686">
        <f>R54+R55+R56</f>
        <v>1273.3369602000018</v>
      </c>
      <c r="S57" s="487"/>
      <c r="T57" s="58"/>
      <c r="U57" s="487"/>
      <c r="V57" s="487"/>
      <c r="W57" s="58"/>
      <c r="X57" s="487">
        <f>X54+X55+X56</f>
        <v>-292</v>
      </c>
      <c r="Y57" s="487"/>
      <c r="Z57" s="130">
        <f>Z54+Z55+Z56</f>
        <v>2425</v>
      </c>
      <c r="AA57" s="703">
        <f>AA54+AA55+AA56</f>
        <v>2600.5436633500003</v>
      </c>
      <c r="AB57" s="58"/>
      <c r="AC57" s="58"/>
      <c r="AD57" s="487">
        <f>AD54+AD55+AD56</f>
        <v>35</v>
      </c>
      <c r="AE57" s="487"/>
      <c r="AF57" s="487"/>
      <c r="AG57" s="487"/>
      <c r="AH57" s="487"/>
      <c r="AI57" s="487"/>
      <c r="AJ57" s="487"/>
      <c r="AK57" s="487"/>
    </row>
    <row r="58" spans="1:37" s="476" customFormat="1" ht="18.75" customHeight="1" x14ac:dyDescent="0.3">
      <c r="A58" s="763" t="s">
        <v>295</v>
      </c>
      <c r="B58" s="676"/>
      <c r="C58" s="677"/>
      <c r="D58" s="677"/>
      <c r="E58" s="676"/>
      <c r="F58" s="677"/>
      <c r="G58" s="677"/>
      <c r="H58" s="676"/>
      <c r="I58" s="677"/>
      <c r="J58" s="677"/>
      <c r="K58" s="676">
        <f>K52+K57</f>
        <v>11</v>
      </c>
      <c r="L58" s="677"/>
      <c r="M58" s="677"/>
      <c r="N58" s="676"/>
      <c r="O58" s="677"/>
      <c r="P58" s="677"/>
      <c r="Q58" s="685">
        <f>Q52+Q57</f>
        <v>922.38344965000897</v>
      </c>
      <c r="R58" s="687">
        <f>R52+R57</f>
        <v>1273.3369602000018</v>
      </c>
      <c r="S58" s="677"/>
      <c r="T58" s="676"/>
      <c r="U58" s="677"/>
      <c r="V58" s="677"/>
      <c r="W58" s="676"/>
      <c r="X58" s="677">
        <f>X52+X57</f>
        <v>-292</v>
      </c>
      <c r="Y58" s="677"/>
      <c r="Z58" s="704">
        <f>Z52+Z57</f>
        <v>2425</v>
      </c>
      <c r="AA58" s="705">
        <f>AA52+AA57</f>
        <v>2600.5436633500003</v>
      </c>
      <c r="AB58" s="676"/>
      <c r="AC58" s="676"/>
      <c r="AD58" s="677">
        <f>AD52+AD57</f>
        <v>35</v>
      </c>
      <c r="AE58" s="702"/>
      <c r="AF58" s="677"/>
      <c r="AG58" s="677"/>
      <c r="AH58" s="677"/>
      <c r="AI58" s="677"/>
      <c r="AJ58" s="677"/>
      <c r="AK58" s="677"/>
    </row>
    <row r="59" spans="1:37" s="363" customFormat="1" ht="18.75" customHeight="1" x14ac:dyDescent="0.3">
      <c r="A59" s="360" t="s">
        <v>223</v>
      </c>
    </row>
    <row r="60" spans="1:37" s="363" customFormat="1" ht="18.75" customHeight="1" x14ac:dyDescent="0.3">
      <c r="A60" s="360" t="s">
        <v>224</v>
      </c>
    </row>
    <row r="61" spans="1:37" s="363" customFormat="1" ht="18.75" customHeight="1" x14ac:dyDescent="0.3">
      <c r="A61" s="360" t="s">
        <v>225</v>
      </c>
    </row>
    <row r="62" spans="1:37" s="363" customFormat="1" ht="18.75" x14ac:dyDescent="0.3"/>
  </sheetData>
  <mergeCells count="23">
    <mergeCell ref="AI6:AK6"/>
    <mergeCell ref="Q6:S6"/>
    <mergeCell ref="T6:V6"/>
    <mergeCell ref="W6:Y6"/>
    <mergeCell ref="Z6:AB6"/>
    <mergeCell ref="AC6:AE6"/>
    <mergeCell ref="AF6:AH6"/>
    <mergeCell ref="W5:Y5"/>
    <mergeCell ref="Z5:AB5"/>
    <mergeCell ref="AC5:AE5"/>
    <mergeCell ref="AF5:AH5"/>
    <mergeCell ref="AI5:AK5"/>
    <mergeCell ref="B6:D6"/>
    <mergeCell ref="E6:G6"/>
    <mergeCell ref="H6:J6"/>
    <mergeCell ref="K6:M6"/>
    <mergeCell ref="N6:P6"/>
    <mergeCell ref="T5:V5"/>
    <mergeCell ref="B5:D5"/>
    <mergeCell ref="E5:G5"/>
    <mergeCell ref="H5:J5"/>
    <mergeCell ref="K5:M5"/>
    <mergeCell ref="N5:P5"/>
  </mergeCells>
  <conditionalFormatting sqref="B14:C14">
    <cfRule type="expression" dxfId="683" priority="24">
      <formula>#REF! ="14≠11+12+13"</formula>
    </cfRule>
  </conditionalFormatting>
  <conditionalFormatting sqref="B21:C21">
    <cfRule type="expression" dxfId="682" priority="25">
      <formula>#REF! ="22≠19+20+21"</formula>
    </cfRule>
  </conditionalFormatting>
  <conditionalFormatting sqref="B30:C30">
    <cfRule type="expression" dxfId="681" priority="22">
      <formula>#REF! ="30≠24+25+26+27+28+29"</formula>
    </cfRule>
  </conditionalFormatting>
  <conditionalFormatting sqref="B35:C35">
    <cfRule type="expression" dxfId="680" priority="23">
      <formula>#REF! ="35≠14+15+16+17+22+30+31+32+33+34"</formula>
    </cfRule>
  </conditionalFormatting>
  <conditionalFormatting sqref="B46:C46">
    <cfRule type="expression" dxfId="679" priority="21">
      <formula>#REF! ="46≠35+38+39+40+43+45"</formula>
    </cfRule>
  </conditionalFormatting>
  <conditionalFormatting sqref="C25 C27">
    <cfRule type="expression" dxfId="678" priority="26">
      <formula>kvartal &lt; 4</formula>
    </cfRule>
  </conditionalFormatting>
  <conditionalFormatting sqref="E14:F14">
    <cfRule type="expression" dxfId="677" priority="11">
      <formula>#REF! ="14≠11+12+13"</formula>
    </cfRule>
  </conditionalFormatting>
  <conditionalFormatting sqref="E21:F21">
    <cfRule type="expression" dxfId="676" priority="12">
      <formula>#REF! ="22≠19+20+21"</formula>
    </cfRule>
  </conditionalFormatting>
  <conditionalFormatting sqref="E30:F30">
    <cfRule type="expression" dxfId="675" priority="10">
      <formula>#REF! ="30≠24+25+26+27+28+29"</formula>
    </cfRule>
  </conditionalFormatting>
  <conditionalFormatting sqref="E35:F35">
    <cfRule type="expression" dxfId="674" priority="15">
      <formula>#REF! ="35≠14+15+16+17+22+30+31+32+33+34"</formula>
    </cfRule>
  </conditionalFormatting>
  <conditionalFormatting sqref="E46:F46">
    <cfRule type="expression" dxfId="673" priority="14">
      <formula>#REF! ="46≠35+38+39+40+43+45"</formula>
    </cfRule>
  </conditionalFormatting>
  <conditionalFormatting sqref="F25 F27">
    <cfRule type="expression" dxfId="672" priority="13">
      <formula>kvartal &lt; 4</formula>
    </cfRule>
  </conditionalFormatting>
  <conditionalFormatting sqref="H14:I14">
    <cfRule type="expression" dxfId="671" priority="34">
      <formula>#REF! ="14≠11+12+13"</formula>
    </cfRule>
  </conditionalFormatting>
  <conditionalFormatting sqref="H21:I21">
    <cfRule type="expression" dxfId="670" priority="35">
      <formula>#REF! ="22≠19+20+21"</formula>
    </cfRule>
  </conditionalFormatting>
  <conditionalFormatting sqref="H30:I30">
    <cfRule type="expression" dxfId="669" priority="32">
      <formula>#REF! ="30≠24+25+26+27+28+29"</formula>
    </cfRule>
  </conditionalFormatting>
  <conditionalFormatting sqref="H35:I35">
    <cfRule type="expression" dxfId="668" priority="33">
      <formula>#REF! ="35≠14+15+16+17+22+30+31+32+33+34"</formula>
    </cfRule>
  </conditionalFormatting>
  <conditionalFormatting sqref="H46:I46">
    <cfRule type="expression" dxfId="667" priority="37">
      <formula>#REF! ="46≠35+38+39+40+43+45"</formula>
    </cfRule>
  </conditionalFormatting>
  <conditionalFormatting sqref="I25 I27">
    <cfRule type="expression" dxfId="666" priority="36">
      <formula>kvartal &lt; 4</formula>
    </cfRule>
  </conditionalFormatting>
  <conditionalFormatting sqref="K14:L14">
    <cfRule type="expression" dxfId="665" priority="79">
      <formula>#REF! ="14≠11+12+13"</formula>
    </cfRule>
  </conditionalFormatting>
  <conditionalFormatting sqref="K21:L21">
    <cfRule type="expression" dxfId="664" priority="80">
      <formula>#REF! ="22≠19+20+21"</formula>
    </cfRule>
  </conditionalFormatting>
  <conditionalFormatting sqref="K30:L30">
    <cfRule type="expression" dxfId="663" priority="76">
      <formula>#REF! ="30≠24+25+26+27+28+29"</formula>
    </cfRule>
  </conditionalFormatting>
  <conditionalFormatting sqref="K35:L35">
    <cfRule type="expression" dxfId="662" priority="77">
      <formula>#REF! ="35≠14+15+16+17+22+30+31+32+33+34"</formula>
    </cfRule>
  </conditionalFormatting>
  <conditionalFormatting sqref="K46:L46">
    <cfRule type="expression" dxfId="661" priority="78">
      <formula>#REF! ="46≠35+38+39+40+43+45"</formula>
    </cfRule>
  </conditionalFormatting>
  <conditionalFormatting sqref="L25 L27">
    <cfRule type="expression" dxfId="660" priority="81">
      <formula>kvartal &lt; 4</formula>
    </cfRule>
  </conditionalFormatting>
  <conditionalFormatting sqref="N14:O14">
    <cfRule type="expression" dxfId="659" priority="2">
      <formula>#REF! ="14≠11+12+13"</formula>
    </cfRule>
  </conditionalFormatting>
  <conditionalFormatting sqref="N21:O21">
    <cfRule type="expression" dxfId="658" priority="3">
      <formula>#REF! ="22≠19+20+21"</formula>
    </cfRule>
  </conditionalFormatting>
  <conditionalFormatting sqref="N30:O30">
    <cfRule type="expression" dxfId="657" priority="1">
      <formula>#REF! ="30≠24+25+26+27+28+29"</formula>
    </cfRule>
  </conditionalFormatting>
  <conditionalFormatting sqref="N35:O35 AF35:AG35 AI35:AJ35">
    <cfRule type="expression" dxfId="656" priority="612">
      <formula>#REF! ="35≠14+15+16+17+22+30+31+32+33+34"</formula>
    </cfRule>
  </conditionalFormatting>
  <conditionalFormatting sqref="N46:O46 AI46:AJ46">
    <cfRule type="expression" dxfId="655" priority="614">
      <formula>#REF! ="46≠35+38+39+40+43+45"</formula>
    </cfRule>
  </conditionalFormatting>
  <conditionalFormatting sqref="O25 O27">
    <cfRule type="expression" dxfId="654" priority="4">
      <formula>kvartal &lt; 4</formula>
    </cfRule>
  </conditionalFormatting>
  <conditionalFormatting sqref="Q14:R14">
    <cfRule type="expression" dxfId="653" priority="88">
      <formula>#REF! ="14≠11+12+13"</formula>
    </cfRule>
  </conditionalFormatting>
  <conditionalFormatting sqref="Q21:R21">
    <cfRule type="expression" dxfId="652" priority="89">
      <formula>#REF! ="22≠19+20+21"</formula>
    </cfRule>
  </conditionalFormatting>
  <conditionalFormatting sqref="Q30:R30">
    <cfRule type="expression" dxfId="651" priority="87">
      <formula>#REF! ="30≠24+25+26+27+28+29"</formula>
    </cfRule>
  </conditionalFormatting>
  <conditionalFormatting sqref="Q35:R35">
    <cfRule type="expression" dxfId="650" priority="91">
      <formula>#REF! ="35≠14+15+16+17+22+30+31+32+33+34"</formula>
    </cfRule>
  </conditionalFormatting>
  <conditionalFormatting sqref="Q46:R46">
    <cfRule type="expression" dxfId="649" priority="92">
      <formula>#REF! ="46≠35+38+39+40+43+45"</formula>
    </cfRule>
  </conditionalFormatting>
  <conditionalFormatting sqref="R25 R27">
    <cfRule type="expression" dxfId="648" priority="90">
      <formula>kvartal &lt; 4</formula>
    </cfRule>
  </conditionalFormatting>
  <conditionalFormatting sqref="T14:U14">
    <cfRule type="expression" dxfId="647" priority="98">
      <formula>#REF! ="14≠11+12+13"</formula>
    </cfRule>
  </conditionalFormatting>
  <conditionalFormatting sqref="T21:U21">
    <cfRule type="expression" dxfId="646" priority="102">
      <formula>#REF! ="22≠19+20+21"</formula>
    </cfRule>
  </conditionalFormatting>
  <conditionalFormatting sqref="T30:U30">
    <cfRule type="expression" dxfId="645" priority="99">
      <formula>#REF! ="30≠24+25+26+27+28+29"</formula>
    </cfRule>
  </conditionalFormatting>
  <conditionalFormatting sqref="T35:U35">
    <cfRule type="expression" dxfId="644" priority="100">
      <formula>#REF! ="35≠14+15+16+17+22+30+31+32+33+34"</formula>
    </cfRule>
  </conditionalFormatting>
  <conditionalFormatting sqref="T46:U46">
    <cfRule type="expression" dxfId="643" priority="101">
      <formula>#REF! ="46≠35+38+39+40+43+45"</formula>
    </cfRule>
  </conditionalFormatting>
  <conditionalFormatting sqref="U25 U27">
    <cfRule type="expression" dxfId="642" priority="103">
      <formula>kvartal &lt; 4</formula>
    </cfRule>
  </conditionalFormatting>
  <conditionalFormatting sqref="W14:X14">
    <cfRule type="expression" dxfId="641" priority="66">
      <formula>#REF! ="14≠11+12+13"</formula>
    </cfRule>
  </conditionalFormatting>
  <conditionalFormatting sqref="W21:X21">
    <cfRule type="expression" dxfId="640" priority="67">
      <formula>#REF! ="22≠19+20+21"</formula>
    </cfRule>
  </conditionalFormatting>
  <conditionalFormatting sqref="W30:X30">
    <cfRule type="expression" dxfId="639" priority="65">
      <formula>#REF! ="30≠24+25+26+27+28+29"</formula>
    </cfRule>
  </conditionalFormatting>
  <conditionalFormatting sqref="W35:X35">
    <cfRule type="expression" dxfId="638" priority="69">
      <formula>#REF! ="35≠14+15+16+17+22+30+31+32+33+34"</formula>
    </cfRule>
  </conditionalFormatting>
  <conditionalFormatting sqref="W46:X46">
    <cfRule type="expression" dxfId="637" priority="70">
      <formula>#REF! ="46≠35+38+39+40+43+45"</formula>
    </cfRule>
  </conditionalFormatting>
  <conditionalFormatting sqref="X25 X27">
    <cfRule type="expression" dxfId="636" priority="68">
      <formula>kvartal &lt; 4</formula>
    </cfRule>
  </conditionalFormatting>
  <conditionalFormatting sqref="Z14:AA14">
    <cfRule type="expression" dxfId="635" priority="44">
      <formula>#REF! ="14≠11+12+13"</formula>
    </cfRule>
  </conditionalFormatting>
  <conditionalFormatting sqref="Z21:AA21">
    <cfRule type="expression" dxfId="634" priority="45">
      <formula>#REF! ="22≠19+20+21"</formula>
    </cfRule>
  </conditionalFormatting>
  <conditionalFormatting sqref="Z30:AA30">
    <cfRule type="expression" dxfId="633" priority="43">
      <formula>#REF! ="30≠24+25+26+27+28+29"</formula>
    </cfRule>
  </conditionalFormatting>
  <conditionalFormatting sqref="Z35:AA35">
    <cfRule type="expression" dxfId="632" priority="47">
      <formula>#REF! ="35≠14+15+16+17+22+30+31+32+33+34"</formula>
    </cfRule>
  </conditionalFormatting>
  <conditionalFormatting sqref="Z46:AA46">
    <cfRule type="expression" dxfId="631" priority="48">
      <formula>#REF! ="46≠35+38+39+40+43+45"</formula>
    </cfRule>
  </conditionalFormatting>
  <conditionalFormatting sqref="AA25 AA27">
    <cfRule type="expression" dxfId="630" priority="46">
      <formula>kvartal &lt; 4</formula>
    </cfRule>
  </conditionalFormatting>
  <conditionalFormatting sqref="AC14:AD14">
    <cfRule type="expression" dxfId="629" priority="55">
      <formula>#REF! ="14≠11+12+13"</formula>
    </cfRule>
  </conditionalFormatting>
  <conditionalFormatting sqref="AC21:AD21">
    <cfRule type="expression" dxfId="628" priority="56">
      <formula>#REF! ="22≠19+20+21"</formula>
    </cfRule>
  </conditionalFormatting>
  <conditionalFormatting sqref="AC30:AD30">
    <cfRule type="expression" dxfId="627" priority="54">
      <formula>#REF! ="30≠24+25+26+27+28+29"</formula>
    </cfRule>
  </conditionalFormatting>
  <conditionalFormatting sqref="AC35:AD35">
    <cfRule type="expression" dxfId="626" priority="58">
      <formula>#REF! ="35≠14+15+16+17+22+30+31+32+33+34"</formula>
    </cfRule>
  </conditionalFormatting>
  <conditionalFormatting sqref="AC46:AD46">
    <cfRule type="expression" dxfId="625" priority="59">
      <formula>#REF! ="46≠35+38+39+40+43+45"</formula>
    </cfRule>
  </conditionalFormatting>
  <conditionalFormatting sqref="AD25 AD27">
    <cfRule type="expression" dxfId="624" priority="57">
      <formula>kvartal &lt; 4</formula>
    </cfRule>
  </conditionalFormatting>
  <conditionalFormatting sqref="AI30:AJ30">
    <cfRule type="expression" dxfId="623" priority="611">
      <formula>#REF! ="30≠24+25+26+27+28+29"</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E678-AE6F-4225-9279-A2091CE71663}">
  <sheetPr codeName="Ark35"/>
  <dimension ref="A1:AL189"/>
  <sheetViews>
    <sheetView showGridLines="0" zoomScale="70" zoomScaleNormal="70" workbookViewId="0">
      <pane xSplit="1" ySplit="9" topLeftCell="B10" activePane="bottomRight" state="frozen"/>
      <selection activeCell="A42" sqref="A42"/>
      <selection pane="topRight" activeCell="A42" sqref="A42"/>
      <selection pane="bottomLeft" activeCell="A42" sqref="A42"/>
      <selection pane="bottomRight" activeCell="A5" sqref="A5"/>
    </sheetView>
  </sheetViews>
  <sheetFormatPr baseColWidth="10" defaultColWidth="11.42578125" defaultRowHeight="12.75" x14ac:dyDescent="0.2"/>
  <cols>
    <col min="1" max="1" width="68.5703125" style="392" customWidth="1"/>
    <col min="2" max="37" width="11.7109375" style="392" customWidth="1"/>
    <col min="38" max="38" width="14.7109375" style="392" customWidth="1"/>
    <col min="39" max="16384" width="11.42578125" style="392"/>
  </cols>
  <sheetData>
    <row r="1" spans="1:38" ht="20.25" customHeight="1" x14ac:dyDescent="0.3">
      <c r="A1" s="391" t="s">
        <v>153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row>
    <row r="2" spans="1:38" ht="20.100000000000001" customHeight="1" x14ac:dyDescent="0.3">
      <c r="A2" s="391" t="s">
        <v>229</v>
      </c>
      <c r="B2" s="385"/>
      <c r="C2" s="385"/>
      <c r="D2" s="385"/>
      <c r="E2" s="508"/>
      <c r="F2" s="509"/>
      <c r="G2" s="509"/>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row>
    <row r="3" spans="1:38" ht="20.100000000000001" customHeight="1" x14ac:dyDescent="0.3">
      <c r="A3" s="521" t="s">
        <v>321</v>
      </c>
      <c r="B3" s="507"/>
      <c r="C3" s="507"/>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row>
    <row r="4" spans="1:38" ht="20.100000000000001" customHeight="1" x14ac:dyDescent="0.3">
      <c r="A4" s="522" t="s">
        <v>322</v>
      </c>
      <c r="B4" s="512"/>
      <c r="C4" s="512"/>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row>
    <row r="5" spans="1:38" ht="18.75" customHeight="1" x14ac:dyDescent="0.3">
      <c r="A5" s="523" t="s">
        <v>320</v>
      </c>
      <c r="B5" s="395"/>
      <c r="C5" s="396"/>
      <c r="D5" s="397"/>
      <c r="E5" s="395"/>
      <c r="F5" s="396"/>
      <c r="G5" s="397"/>
      <c r="H5" s="395"/>
      <c r="I5" s="396"/>
      <c r="J5" s="397"/>
      <c r="K5" s="396"/>
      <c r="L5" s="396"/>
      <c r="M5" s="396"/>
      <c r="N5" s="395"/>
      <c r="O5" s="396"/>
      <c r="P5" s="397"/>
      <c r="Q5" s="395"/>
      <c r="R5" s="396"/>
      <c r="S5" s="397"/>
      <c r="T5" s="395"/>
      <c r="U5" s="396"/>
      <c r="V5" s="397"/>
      <c r="W5" s="395"/>
      <c r="X5" s="396"/>
      <c r="Y5" s="397"/>
      <c r="Z5" s="395"/>
      <c r="AA5" s="396"/>
      <c r="AB5" s="397"/>
      <c r="AC5" s="396"/>
      <c r="AD5" s="396"/>
      <c r="AE5" s="396"/>
      <c r="AF5" s="395"/>
      <c r="AG5" s="396"/>
      <c r="AH5" s="397"/>
      <c r="AI5" s="395"/>
      <c r="AJ5" s="396"/>
      <c r="AK5" s="397"/>
      <c r="AL5" s="385"/>
    </row>
    <row r="6" spans="1:38" ht="18.75" customHeight="1" x14ac:dyDescent="0.3">
      <c r="A6" s="400" t="s">
        <v>94</v>
      </c>
      <c r="B6" s="802" t="s">
        <v>156</v>
      </c>
      <c r="C6" s="803"/>
      <c r="D6" s="804"/>
      <c r="E6" s="802"/>
      <c r="F6" s="803"/>
      <c r="G6" s="804"/>
      <c r="H6" s="802" t="s">
        <v>157</v>
      </c>
      <c r="I6" s="803"/>
      <c r="J6" s="804"/>
      <c r="K6" s="802" t="s">
        <v>158</v>
      </c>
      <c r="L6" s="803"/>
      <c r="M6" s="804"/>
      <c r="N6" s="635" t="s">
        <v>159</v>
      </c>
      <c r="O6" s="636"/>
      <c r="P6" s="637"/>
      <c r="Q6" s="635"/>
      <c r="R6" s="636"/>
      <c r="S6" s="637"/>
      <c r="T6" s="802" t="s">
        <v>160</v>
      </c>
      <c r="U6" s="803"/>
      <c r="V6" s="804"/>
      <c r="W6" s="802" t="s">
        <v>65</v>
      </c>
      <c r="X6" s="803"/>
      <c r="Y6" s="804"/>
      <c r="Z6" s="802" t="s">
        <v>68</v>
      </c>
      <c r="AA6" s="803"/>
      <c r="AB6" s="804"/>
      <c r="AC6" s="802" t="s">
        <v>434</v>
      </c>
      <c r="AD6" s="803"/>
      <c r="AE6" s="804"/>
      <c r="AF6" s="802" t="s">
        <v>2</v>
      </c>
      <c r="AG6" s="803"/>
      <c r="AH6" s="804"/>
      <c r="AI6" s="802" t="s">
        <v>2</v>
      </c>
      <c r="AJ6" s="803"/>
      <c r="AK6" s="804"/>
      <c r="AL6" s="385"/>
    </row>
    <row r="7" spans="1:38" ht="21" customHeight="1" x14ac:dyDescent="0.3">
      <c r="A7" s="401"/>
      <c r="B7" s="805" t="s">
        <v>162</v>
      </c>
      <c r="C7" s="806"/>
      <c r="D7" s="807"/>
      <c r="E7" s="805" t="s">
        <v>421</v>
      </c>
      <c r="F7" s="806"/>
      <c r="G7" s="807"/>
      <c r="H7" s="805" t="s">
        <v>162</v>
      </c>
      <c r="I7" s="806"/>
      <c r="J7" s="807"/>
      <c r="K7" s="805" t="s">
        <v>163</v>
      </c>
      <c r="L7" s="806"/>
      <c r="M7" s="807"/>
      <c r="N7" s="805" t="s">
        <v>61</v>
      </c>
      <c r="O7" s="806"/>
      <c r="P7" s="807"/>
      <c r="Q7" s="805" t="s">
        <v>63</v>
      </c>
      <c r="R7" s="806"/>
      <c r="S7" s="807"/>
      <c r="T7" s="805" t="s">
        <v>161</v>
      </c>
      <c r="U7" s="806"/>
      <c r="V7" s="807"/>
      <c r="W7" s="805" t="s">
        <v>430</v>
      </c>
      <c r="X7" s="806"/>
      <c r="Y7" s="807"/>
      <c r="Z7" s="805" t="s">
        <v>162</v>
      </c>
      <c r="AA7" s="806"/>
      <c r="AB7" s="807"/>
      <c r="AC7" s="805" t="s">
        <v>162</v>
      </c>
      <c r="AD7" s="806"/>
      <c r="AE7" s="807"/>
      <c r="AF7" s="805" t="s">
        <v>257</v>
      </c>
      <c r="AG7" s="806"/>
      <c r="AH7" s="807"/>
      <c r="AI7" s="808" t="s">
        <v>258</v>
      </c>
      <c r="AJ7" s="809"/>
      <c r="AK7" s="810"/>
      <c r="AL7" s="385"/>
    </row>
    <row r="8" spans="1:38" ht="18.75" customHeight="1" x14ac:dyDescent="0.3">
      <c r="A8" s="401"/>
      <c r="B8" s="402"/>
      <c r="C8" s="402"/>
      <c r="D8" s="403" t="s">
        <v>76</v>
      </c>
      <c r="E8" s="402"/>
      <c r="F8" s="402"/>
      <c r="G8" s="403" t="s">
        <v>76</v>
      </c>
      <c r="H8" s="402"/>
      <c r="I8" s="402"/>
      <c r="J8" s="403" t="s">
        <v>76</v>
      </c>
      <c r="K8" s="402"/>
      <c r="L8" s="402"/>
      <c r="M8" s="403" t="s">
        <v>76</v>
      </c>
      <c r="N8" s="402"/>
      <c r="O8" s="402"/>
      <c r="P8" s="403" t="s">
        <v>76</v>
      </c>
      <c r="Q8" s="402"/>
      <c r="R8" s="402"/>
      <c r="S8" s="403" t="s">
        <v>76</v>
      </c>
      <c r="T8" s="402"/>
      <c r="U8" s="402"/>
      <c r="V8" s="403" t="s">
        <v>76</v>
      </c>
      <c r="W8" s="402"/>
      <c r="X8" s="402"/>
      <c r="Y8" s="403" t="s">
        <v>76</v>
      </c>
      <c r="Z8" s="402"/>
      <c r="AA8" s="402"/>
      <c r="AB8" s="403" t="s">
        <v>76</v>
      </c>
      <c r="AC8" s="402"/>
      <c r="AD8" s="402"/>
      <c r="AE8" s="403" t="s">
        <v>76</v>
      </c>
      <c r="AF8" s="402"/>
      <c r="AG8" s="402"/>
      <c r="AH8" s="403" t="s">
        <v>76</v>
      </c>
      <c r="AI8" s="402"/>
      <c r="AJ8" s="402"/>
      <c r="AK8" s="403" t="s">
        <v>76</v>
      </c>
      <c r="AL8" s="385"/>
    </row>
    <row r="9" spans="1:38" ht="18.75" customHeight="1" x14ac:dyDescent="0.3">
      <c r="A9" s="524" t="s">
        <v>259</v>
      </c>
      <c r="B9" s="405">
        <v>2023</v>
      </c>
      <c r="C9" s="405">
        <v>2024</v>
      </c>
      <c r="D9" s="406" t="s">
        <v>78</v>
      </c>
      <c r="E9" s="405">
        <f>$B$9</f>
        <v>2023</v>
      </c>
      <c r="F9" s="405">
        <f>$C$9</f>
        <v>2024</v>
      </c>
      <c r="G9" s="406" t="s">
        <v>78</v>
      </c>
      <c r="H9" s="405">
        <f>$B$9</f>
        <v>2023</v>
      </c>
      <c r="I9" s="405">
        <f>$C$9</f>
        <v>2024</v>
      </c>
      <c r="J9" s="406" t="s">
        <v>78</v>
      </c>
      <c r="K9" s="405">
        <f>$B$9</f>
        <v>2023</v>
      </c>
      <c r="L9" s="405">
        <f>$C$9</f>
        <v>2024</v>
      </c>
      <c r="M9" s="406" t="s">
        <v>78</v>
      </c>
      <c r="N9" s="405">
        <f>$B$9</f>
        <v>2023</v>
      </c>
      <c r="O9" s="405">
        <f>$C$9</f>
        <v>2024</v>
      </c>
      <c r="P9" s="406" t="s">
        <v>78</v>
      </c>
      <c r="Q9" s="405">
        <f>$B$9</f>
        <v>2023</v>
      </c>
      <c r="R9" s="405">
        <f>$C$9</f>
        <v>2024</v>
      </c>
      <c r="S9" s="406" t="s">
        <v>78</v>
      </c>
      <c r="T9" s="405">
        <f>$B$9</f>
        <v>2023</v>
      </c>
      <c r="U9" s="405">
        <f>$C$9</f>
        <v>2024</v>
      </c>
      <c r="V9" s="406" t="s">
        <v>78</v>
      </c>
      <c r="W9" s="405">
        <f>$B$9</f>
        <v>2023</v>
      </c>
      <c r="X9" s="405">
        <f>$C$9</f>
        <v>2024</v>
      </c>
      <c r="Y9" s="406" t="s">
        <v>78</v>
      </c>
      <c r="Z9" s="405">
        <f>$B$9</f>
        <v>2023</v>
      </c>
      <c r="AA9" s="405">
        <f>$C$9</f>
        <v>2024</v>
      </c>
      <c r="AB9" s="406" t="s">
        <v>78</v>
      </c>
      <c r="AC9" s="405">
        <f>$B$9</f>
        <v>2023</v>
      </c>
      <c r="AD9" s="405">
        <f>$C$9</f>
        <v>2024</v>
      </c>
      <c r="AE9" s="406" t="s">
        <v>78</v>
      </c>
      <c r="AF9" s="405">
        <f>$B$9</f>
        <v>2023</v>
      </c>
      <c r="AG9" s="405">
        <f>$C$9</f>
        <v>2024</v>
      </c>
      <c r="AH9" s="406" t="s">
        <v>78</v>
      </c>
      <c r="AI9" s="405">
        <f>$B$9</f>
        <v>2023</v>
      </c>
      <c r="AJ9" s="405">
        <f>$C$9</f>
        <v>2024</v>
      </c>
      <c r="AK9" s="406" t="s">
        <v>78</v>
      </c>
      <c r="AL9" s="385"/>
    </row>
    <row r="10" spans="1:38" ht="18.75" customHeight="1" x14ac:dyDescent="0.3">
      <c r="A10" s="525"/>
      <c r="B10" s="688"/>
      <c r="C10" s="722"/>
      <c r="D10" s="526"/>
      <c r="E10" s="688"/>
      <c r="F10" s="421"/>
      <c r="G10" s="526"/>
      <c r="H10" s="688"/>
      <c r="I10" s="421"/>
      <c r="J10" s="526"/>
      <c r="K10" s="688"/>
      <c r="L10" s="421"/>
      <c r="M10" s="527"/>
      <c r="N10" s="421"/>
      <c r="O10" s="421"/>
      <c r="P10" s="526"/>
      <c r="Q10" s="688"/>
      <c r="R10" s="421"/>
      <c r="S10" s="526"/>
      <c r="T10" s="421"/>
      <c r="U10" s="421"/>
      <c r="V10" s="526"/>
      <c r="W10" s="688"/>
      <c r="X10" s="421"/>
      <c r="Y10" s="526"/>
      <c r="Z10" s="688"/>
      <c r="AA10" s="421"/>
      <c r="AB10" s="526"/>
      <c r="AC10" s="527"/>
      <c r="AD10" s="421"/>
      <c r="AE10" s="527"/>
      <c r="AF10" s="527"/>
      <c r="AG10" s="527"/>
      <c r="AH10" s="526"/>
      <c r="AI10" s="421"/>
      <c r="AJ10" s="421"/>
      <c r="AK10" s="526"/>
      <c r="AL10" s="385"/>
    </row>
    <row r="11" spans="1:38" s="385" customFormat="1" ht="18.75" customHeight="1" x14ac:dyDescent="0.3">
      <c r="A11" s="528" t="s">
        <v>323</v>
      </c>
      <c r="B11" s="422"/>
      <c r="C11" s="723"/>
      <c r="D11" s="529"/>
      <c r="E11" s="422"/>
      <c r="F11" s="423"/>
      <c r="G11" s="529"/>
      <c r="H11" s="422"/>
      <c r="I11" s="423"/>
      <c r="J11" s="529"/>
      <c r="K11" s="422"/>
      <c r="L11" s="423"/>
      <c r="M11" s="531"/>
      <c r="N11" s="423"/>
      <c r="O11" s="423"/>
      <c r="P11" s="529"/>
      <c r="Q11" s="422"/>
      <c r="R11" s="423"/>
      <c r="S11" s="532"/>
      <c r="T11" s="423"/>
      <c r="U11" s="423"/>
      <c r="V11" s="529"/>
      <c r="W11" s="422"/>
      <c r="X11" s="423"/>
      <c r="Y11" s="529"/>
      <c r="Z11" s="422"/>
      <c r="AA11" s="423"/>
      <c r="AB11" s="529"/>
      <c r="AC11" s="531"/>
      <c r="AD11" s="423"/>
      <c r="AE11" s="531"/>
      <c r="AF11" s="531"/>
      <c r="AG11" s="531"/>
      <c r="AH11" s="529"/>
      <c r="AI11" s="530"/>
      <c r="AJ11" s="530"/>
      <c r="AK11" s="529"/>
    </row>
    <row r="12" spans="1:38" s="385" customFormat="1" ht="18.75" x14ac:dyDescent="0.3">
      <c r="A12" s="760" t="s">
        <v>494</v>
      </c>
      <c r="B12" s="424">
        <v>-11</v>
      </c>
      <c r="C12" s="708">
        <v>22</v>
      </c>
      <c r="D12" s="533">
        <f>IF(B12=0, "    ---- ", IF(ABS(ROUND(100/B12*C12-100,1))&lt;999,ROUND(100/B12*C12-100,1),IF(ROUND(100/B12*C12-100,1)&gt;999,999,-999)))</f>
        <v>-300</v>
      </c>
      <c r="E12" s="424"/>
      <c r="F12" s="425"/>
      <c r="G12" s="535"/>
      <c r="H12" s="424"/>
      <c r="I12" s="425"/>
      <c r="J12" s="535"/>
      <c r="K12" s="424"/>
      <c r="L12" s="425"/>
      <c r="M12" s="536"/>
      <c r="N12" s="425"/>
      <c r="O12" s="425"/>
      <c r="P12" s="535"/>
      <c r="Q12" s="424">
        <v>-4.0547913185389479</v>
      </c>
      <c r="R12" s="425">
        <v>4.1930512110366189</v>
      </c>
      <c r="S12" s="533">
        <f t="shared" ref="S12:S58" si="0">IF(Q12=0, "    ---- ", IF(ABS(ROUND(100/Q12*R12-100,1))&lt;999,ROUND(100/Q12*R12-100,1),IF(ROUND(100/Q12*R12-100,1)&gt;999,999,-999)))</f>
        <v>-203.4</v>
      </c>
      <c r="T12" s="425"/>
      <c r="U12" s="425"/>
      <c r="V12" s="535"/>
      <c r="W12" s="424">
        <v>-3</v>
      </c>
      <c r="X12" s="425">
        <v>6</v>
      </c>
      <c r="Y12" s="533">
        <f>IF(W12=0, "    ---- ", IF(ABS(ROUND(100/W12*X12-100,1))&lt;999,ROUND(100/W12*X12-100,1),IF(ROUND(100/W12*X12-100,1)&gt;999,999,-999)))</f>
        <v>-300</v>
      </c>
      <c r="Z12" s="706">
        <v>-21.38570241000005</v>
      </c>
      <c r="AA12" s="425">
        <v>17.08654619</v>
      </c>
      <c r="AB12" s="533">
        <f>IF(Z12=0, "    ---- ", IF(ABS(ROUND(100/Z12*AA12-100,1))&lt;999,ROUND(100/Z12*AA12-100,1),IF(ROUND(100/Z12*AA12-100,1)&gt;999,999,-999)))</f>
        <v>-179.9</v>
      </c>
      <c r="AC12" s="537"/>
      <c r="AD12" s="425"/>
      <c r="AE12" s="537"/>
      <c r="AF12" s="537">
        <f>B12+E12+H12+K12+N12+Q12+T12+W12+Z12</f>
        <v>-39.440493728538996</v>
      </c>
      <c r="AG12" s="537">
        <f>C12+F12+I12+L12+O12+R12+U12+X12+AA12</f>
        <v>49.279597401036618</v>
      </c>
      <c r="AH12" s="533">
        <f t="shared" ref="AH12:AH22" si="1">IF(AF12=0, "    ---- ", IF(ABS(ROUND(100/AF12*AG12-100,1))&lt;999,ROUND(100/AF12*AG12-100,1),IF(ROUND(100/AF12*AG12-100,1)&gt;999,999,-999)))</f>
        <v>-224.9</v>
      </c>
      <c r="AI12" s="537">
        <f>+B12+E12+H12+K12+N12+Q12+T12+W12+Z12+AC12</f>
        <v>-39.440493728538996</v>
      </c>
      <c r="AJ12" s="537">
        <f>+C12+F12+I12+L12+O12+R12+U12+X12+AA12+AD12</f>
        <v>49.279597401036618</v>
      </c>
      <c r="AK12" s="533">
        <f t="shared" ref="AK12:AK22" si="2">IF(AI12=0, "    ---- ", IF(ABS(ROUND(100/AI12*AJ12-100,1))&lt;999,ROUND(100/AI12*AJ12-100,1),IF(ROUND(100/AI12*AJ12-100,1)&gt;999,999,-999)))</f>
        <v>-224.9</v>
      </c>
    </row>
    <row r="13" spans="1:38" s="385" customFormat="1" ht="18.75" customHeight="1" x14ac:dyDescent="0.3">
      <c r="A13" s="411" t="s">
        <v>493</v>
      </c>
      <c r="B13" s="424">
        <v>-1</v>
      </c>
      <c r="C13" s="708">
        <v>-14</v>
      </c>
      <c r="D13" s="533">
        <f>IF(B13=0, "    ---- ", IF(ABS(ROUND(100/B13*C13-100,1))&lt;999,ROUND(100/B13*C13-100,1),IF(ROUND(100/B13*C13-100,1)&gt;999,999,-999)))</f>
        <v>999</v>
      </c>
      <c r="E13" s="424"/>
      <c r="F13" s="390"/>
      <c r="G13" s="535"/>
      <c r="H13" s="424"/>
      <c r="I13" s="390"/>
      <c r="J13" s="535"/>
      <c r="K13" s="424"/>
      <c r="L13" s="390"/>
      <c r="M13" s="536"/>
      <c r="N13" s="425"/>
      <c r="O13" s="76"/>
      <c r="P13" s="535"/>
      <c r="Q13" s="424">
        <v>4.0547913185389479</v>
      </c>
      <c r="R13" s="390">
        <v>-4.1930512110366189</v>
      </c>
      <c r="S13" s="533">
        <f t="shared" si="0"/>
        <v>-203.4</v>
      </c>
      <c r="T13" s="425"/>
      <c r="U13" s="76"/>
      <c r="V13" s="535"/>
      <c r="W13" s="424"/>
      <c r="X13" s="390">
        <v>-4</v>
      </c>
      <c r="Y13" s="533"/>
      <c r="Z13" s="706">
        <v>9.2982709999999997</v>
      </c>
      <c r="AA13" s="390">
        <v>-8.8070000000000004</v>
      </c>
      <c r="AB13" s="533">
        <f>IF(Z13=0, "    ---- ", IF(ABS(ROUND(100/Z13*AA13-100,1))&lt;999,ROUND(100/Z13*AA13-100,1),IF(ROUND(100/Z13*AA13-100,1)&gt;999,999,-999)))</f>
        <v>-194.7</v>
      </c>
      <c r="AC13" s="537"/>
      <c r="AD13" s="76"/>
      <c r="AE13" s="537"/>
      <c r="AF13" s="537">
        <f t="shared" ref="AF13:AG35" si="3">B13+E13+H13+K13+N13+Q13+T13+W13+Z13</f>
        <v>12.353062318538948</v>
      </c>
      <c r="AG13" s="537">
        <f t="shared" si="3"/>
        <v>-31.00005121103662</v>
      </c>
      <c r="AH13" s="533">
        <f t="shared" si="1"/>
        <v>-351</v>
      </c>
      <c r="AI13" s="537">
        <f t="shared" ref="AI13:AJ22" si="4">+B13+E13+H13+K13+N13+Q13+T13+W13+Z13+AC13</f>
        <v>12.353062318538948</v>
      </c>
      <c r="AJ13" s="537">
        <f t="shared" si="4"/>
        <v>-31.00005121103662</v>
      </c>
      <c r="AK13" s="533">
        <f t="shared" si="2"/>
        <v>-351</v>
      </c>
    </row>
    <row r="14" spans="1:38" s="385" customFormat="1" ht="18.75" customHeight="1" x14ac:dyDescent="0.3">
      <c r="A14" s="411" t="s">
        <v>324</v>
      </c>
      <c r="B14" s="424">
        <v>15</v>
      </c>
      <c r="C14" s="708">
        <v>14</v>
      </c>
      <c r="D14" s="533">
        <f>IF(B14=0, "    ---- ", IF(ABS(ROUND(100/B14*C14-100,1))&lt;999,ROUND(100/B14*C14-100,1),IF(ROUND(100/B14*C14-100,1)&gt;999,999,-999)))</f>
        <v>-6.7</v>
      </c>
      <c r="E14" s="424"/>
      <c r="F14" s="425"/>
      <c r="G14" s="535"/>
      <c r="H14" s="424"/>
      <c r="I14" s="425"/>
      <c r="J14" s="535"/>
      <c r="K14" s="424"/>
      <c r="L14" s="425"/>
      <c r="M14" s="536"/>
      <c r="N14" s="425"/>
      <c r="O14" s="425"/>
      <c r="P14" s="535"/>
      <c r="Q14" s="424">
        <v>1.6200582738846372</v>
      </c>
      <c r="R14" s="425">
        <v>1.5119585744673227</v>
      </c>
      <c r="S14" s="533">
        <f t="shared" si="0"/>
        <v>-6.7</v>
      </c>
      <c r="T14" s="425"/>
      <c r="U14" s="425"/>
      <c r="V14" s="535"/>
      <c r="W14" s="424">
        <v>-6</v>
      </c>
      <c r="X14" s="425">
        <v>-4</v>
      </c>
      <c r="Y14" s="533">
        <f>IF(W14=0, "    ---- ", IF(ABS(ROUND(100/W14*X14-100,1))&lt;999,ROUND(100/W14*X14-100,1),IF(ROUND(100/W14*X14-100,1)&gt;999,999,-999)))</f>
        <v>-33.299999999999997</v>
      </c>
      <c r="Z14" s="706">
        <v>13.265436670000003</v>
      </c>
      <c r="AA14" s="425">
        <v>13.64774924</v>
      </c>
      <c r="AB14" s="533">
        <f>IF(Z14=0, "    ---- ", IF(ABS(ROUND(100/Z14*AA14-100,1))&lt;999,ROUND(100/Z14*AA14-100,1),IF(ROUND(100/Z14*AA14-100,1)&gt;999,999,-999)))</f>
        <v>2.9</v>
      </c>
      <c r="AC14" s="537"/>
      <c r="AD14" s="425"/>
      <c r="AE14" s="537"/>
      <c r="AF14" s="537">
        <f t="shared" si="3"/>
        <v>23.885494943884641</v>
      </c>
      <c r="AG14" s="537">
        <f t="shared" si="3"/>
        <v>25.159707814467325</v>
      </c>
      <c r="AH14" s="533">
        <f t="shared" si="1"/>
        <v>5.3</v>
      </c>
      <c r="AI14" s="537">
        <f t="shared" si="4"/>
        <v>23.885494943884641</v>
      </c>
      <c r="AJ14" s="537">
        <f t="shared" si="4"/>
        <v>25.159707814467325</v>
      </c>
      <c r="AK14" s="533">
        <f t="shared" si="2"/>
        <v>5.3</v>
      </c>
    </row>
    <row r="15" spans="1:38" s="385" customFormat="1" ht="18.75" customHeight="1" x14ac:dyDescent="0.3">
      <c r="A15" s="411" t="s">
        <v>325</v>
      </c>
      <c r="B15" s="424"/>
      <c r="C15" s="708"/>
      <c r="D15" s="533"/>
      <c r="E15" s="424"/>
      <c r="F15" s="425"/>
      <c r="G15" s="535"/>
      <c r="H15" s="424"/>
      <c r="I15" s="425"/>
      <c r="J15" s="535"/>
      <c r="K15" s="424"/>
      <c r="L15" s="425"/>
      <c r="M15" s="536"/>
      <c r="N15" s="425"/>
      <c r="O15" s="425"/>
      <c r="P15" s="535"/>
      <c r="Q15" s="424"/>
      <c r="R15" s="425"/>
      <c r="S15" s="533"/>
      <c r="T15" s="425"/>
      <c r="U15" s="425"/>
      <c r="V15" s="535"/>
      <c r="W15" s="424"/>
      <c r="X15" s="425"/>
      <c r="Y15" s="533"/>
      <c r="Z15" s="706"/>
      <c r="AA15" s="425"/>
      <c r="AB15" s="533"/>
      <c r="AC15" s="537"/>
      <c r="AD15" s="425"/>
      <c r="AE15" s="537"/>
      <c r="AF15" s="537">
        <f t="shared" si="3"/>
        <v>0</v>
      </c>
      <c r="AG15" s="537">
        <f t="shared" si="3"/>
        <v>0</v>
      </c>
      <c r="AH15" s="533" t="str">
        <f t="shared" si="1"/>
        <v xml:space="preserve">    ---- </v>
      </c>
      <c r="AI15" s="537">
        <f t="shared" si="4"/>
        <v>0</v>
      </c>
      <c r="AJ15" s="537">
        <f t="shared" si="4"/>
        <v>0</v>
      </c>
      <c r="AK15" s="533" t="str">
        <f t="shared" si="2"/>
        <v xml:space="preserve">    ---- </v>
      </c>
    </row>
    <row r="16" spans="1:38" s="385" customFormat="1" ht="18.75" customHeight="1" x14ac:dyDescent="0.3">
      <c r="A16" s="411" t="s">
        <v>326</v>
      </c>
      <c r="B16" s="424"/>
      <c r="C16" s="708"/>
      <c r="D16" s="533"/>
      <c r="E16" s="424"/>
      <c r="F16" s="425"/>
      <c r="G16" s="535"/>
      <c r="H16" s="424"/>
      <c r="I16" s="425"/>
      <c r="J16" s="535"/>
      <c r="K16" s="424"/>
      <c r="L16" s="425"/>
      <c r="M16" s="536"/>
      <c r="N16" s="425"/>
      <c r="O16" s="425"/>
      <c r="P16" s="535"/>
      <c r="Q16" s="424"/>
      <c r="R16" s="425"/>
      <c r="S16" s="533"/>
      <c r="T16" s="425"/>
      <c r="U16" s="425"/>
      <c r="V16" s="535"/>
      <c r="W16" s="424"/>
      <c r="X16" s="425"/>
      <c r="Y16" s="533"/>
      <c r="Z16" s="706"/>
      <c r="AA16" s="425"/>
      <c r="AB16" s="533"/>
      <c r="AC16" s="537"/>
      <c r="AD16" s="425"/>
      <c r="AE16" s="537"/>
      <c r="AF16" s="537">
        <f t="shared" si="3"/>
        <v>0</v>
      </c>
      <c r="AG16" s="537">
        <f t="shared" si="3"/>
        <v>0</v>
      </c>
      <c r="AH16" s="533" t="str">
        <f t="shared" si="1"/>
        <v xml:space="preserve">    ---- </v>
      </c>
      <c r="AI16" s="537">
        <f t="shared" si="4"/>
        <v>0</v>
      </c>
      <c r="AJ16" s="537">
        <f t="shared" si="4"/>
        <v>0</v>
      </c>
      <c r="AK16" s="533" t="str">
        <f t="shared" si="2"/>
        <v xml:space="preserve">    ---- </v>
      </c>
    </row>
    <row r="17" spans="1:37" s="385" customFormat="1" ht="18.75" customHeight="1" x14ac:dyDescent="0.3">
      <c r="A17" s="411" t="s">
        <v>327</v>
      </c>
      <c r="B17" s="424">
        <v>20</v>
      </c>
      <c r="C17" s="708">
        <v>30</v>
      </c>
      <c r="D17" s="533">
        <f>IF(B17=0, "    ---- ", IF(ABS(ROUND(100/B17*C17-100,1))&lt;999,ROUND(100/B17*C17-100,1),IF(ROUND(100/B17*C17-100,1)&gt;999,999,-999)))</f>
        <v>50</v>
      </c>
      <c r="E17" s="424"/>
      <c r="F17" s="425"/>
      <c r="G17" s="535"/>
      <c r="H17" s="424"/>
      <c r="I17" s="425"/>
      <c r="J17" s="535"/>
      <c r="K17" s="424"/>
      <c r="L17" s="425"/>
      <c r="M17" s="536"/>
      <c r="N17" s="425"/>
      <c r="O17" s="425"/>
      <c r="P17" s="535"/>
      <c r="Q17" s="424">
        <v>7.1846677144424627</v>
      </c>
      <c r="R17" s="425">
        <v>10.81493727914892</v>
      </c>
      <c r="S17" s="533">
        <f t="shared" si="0"/>
        <v>50.5</v>
      </c>
      <c r="T17" s="425"/>
      <c r="U17" s="425"/>
      <c r="V17" s="535"/>
      <c r="W17" s="424">
        <v>4</v>
      </c>
      <c r="X17" s="425">
        <v>5</v>
      </c>
      <c r="Y17" s="533">
        <f>IF(W17=0, "    ---- ", IF(ABS(ROUND(100/W17*X17-100,1))&lt;999,ROUND(100/W17*X17-100,1),IF(ROUND(100/W17*X17-100,1)&gt;999,999,-999)))</f>
        <v>25</v>
      </c>
      <c r="Z17" s="706">
        <v>91.963972489999975</v>
      </c>
      <c r="AA17" s="425">
        <v>68.018031649999998</v>
      </c>
      <c r="AB17" s="533">
        <f>IF(Z17=0, "    ---- ", IF(ABS(ROUND(100/Z17*AA17-100,1))&lt;999,ROUND(100/Z17*AA17-100,1),IF(ROUND(100/Z17*AA17-100,1)&gt;999,999,-999)))</f>
        <v>-26</v>
      </c>
      <c r="AC17" s="537"/>
      <c r="AD17" s="425"/>
      <c r="AE17" s="537"/>
      <c r="AF17" s="537">
        <f t="shared" si="3"/>
        <v>123.14864020444244</v>
      </c>
      <c r="AG17" s="537">
        <f t="shared" si="3"/>
        <v>113.83296892914892</v>
      </c>
      <c r="AH17" s="533">
        <f t="shared" si="1"/>
        <v>-7.6</v>
      </c>
      <c r="AI17" s="537">
        <f t="shared" si="4"/>
        <v>123.14864020444244</v>
      </c>
      <c r="AJ17" s="537">
        <f t="shared" si="4"/>
        <v>113.83296892914892</v>
      </c>
      <c r="AK17" s="533">
        <f t="shared" si="2"/>
        <v>-7.6</v>
      </c>
    </row>
    <row r="18" spans="1:37" s="385" customFormat="1" ht="18.75" customHeight="1" x14ac:dyDescent="0.3">
      <c r="A18" s="411" t="s">
        <v>328</v>
      </c>
      <c r="B18" s="424"/>
      <c r="C18" s="708"/>
      <c r="D18" s="533"/>
      <c r="E18" s="424"/>
      <c r="F18" s="425"/>
      <c r="G18" s="535"/>
      <c r="H18" s="424"/>
      <c r="I18" s="425"/>
      <c r="J18" s="535"/>
      <c r="K18" s="424"/>
      <c r="L18" s="425"/>
      <c r="M18" s="536"/>
      <c r="N18" s="425"/>
      <c r="O18" s="425"/>
      <c r="P18" s="535"/>
      <c r="Q18" s="424"/>
      <c r="R18" s="425"/>
      <c r="S18" s="533"/>
      <c r="T18" s="425"/>
      <c r="U18" s="425"/>
      <c r="V18" s="535"/>
      <c r="W18" s="424"/>
      <c r="X18" s="425"/>
      <c r="Y18" s="533"/>
      <c r="Z18" s="706"/>
      <c r="AA18" s="425"/>
      <c r="AB18" s="533"/>
      <c r="AC18" s="537"/>
      <c r="AD18" s="425"/>
      <c r="AE18" s="537"/>
      <c r="AF18" s="537">
        <f t="shared" si="3"/>
        <v>0</v>
      </c>
      <c r="AG18" s="537">
        <f t="shared" si="3"/>
        <v>0</v>
      </c>
      <c r="AH18" s="533" t="str">
        <f t="shared" si="1"/>
        <v xml:space="preserve">    ---- </v>
      </c>
      <c r="AI18" s="537">
        <f t="shared" si="4"/>
        <v>0</v>
      </c>
      <c r="AJ18" s="537">
        <f t="shared" si="4"/>
        <v>0</v>
      </c>
      <c r="AK18" s="533" t="str">
        <f t="shared" si="2"/>
        <v xml:space="preserve">    ---- </v>
      </c>
    </row>
    <row r="19" spans="1:37" s="385" customFormat="1" ht="18.75" customHeight="1" x14ac:dyDescent="0.3">
      <c r="A19" s="411" t="s">
        <v>329</v>
      </c>
      <c r="B19" s="424"/>
      <c r="C19" s="708"/>
      <c r="D19" s="533"/>
      <c r="E19" s="424"/>
      <c r="F19" s="425"/>
      <c r="G19" s="535"/>
      <c r="H19" s="424"/>
      <c r="I19" s="425"/>
      <c r="J19" s="535"/>
      <c r="K19" s="424"/>
      <c r="L19" s="425"/>
      <c r="M19" s="536"/>
      <c r="N19" s="425"/>
      <c r="O19" s="425"/>
      <c r="P19" s="535"/>
      <c r="Q19" s="424"/>
      <c r="R19" s="425"/>
      <c r="S19" s="533"/>
      <c r="T19" s="425"/>
      <c r="U19" s="425"/>
      <c r="V19" s="535"/>
      <c r="W19" s="424"/>
      <c r="X19" s="425"/>
      <c r="Y19" s="533"/>
      <c r="Z19" s="706">
        <v>-1.3767409999999999E-2</v>
      </c>
      <c r="AA19" s="425"/>
      <c r="AB19" s="533">
        <f>IF(Z19=0, "    ---- ", IF(ABS(ROUND(100/Z19*AA19-100,1))&lt;999,ROUND(100/Z19*AA19-100,1),IF(ROUND(100/Z19*AA19-100,1)&gt;999,999,-999)))</f>
        <v>-100</v>
      </c>
      <c r="AC19" s="537"/>
      <c r="AD19" s="425"/>
      <c r="AE19" s="537"/>
      <c r="AF19" s="537">
        <f t="shared" si="3"/>
        <v>-1.3767409999999999E-2</v>
      </c>
      <c r="AG19" s="537">
        <f t="shared" si="3"/>
        <v>0</v>
      </c>
      <c r="AH19" s="533">
        <f t="shared" si="1"/>
        <v>-100</v>
      </c>
      <c r="AI19" s="537">
        <f t="shared" si="4"/>
        <v>-1.3767409999999999E-2</v>
      </c>
      <c r="AJ19" s="537">
        <f t="shared" si="4"/>
        <v>0</v>
      </c>
      <c r="AK19" s="533">
        <f t="shared" si="2"/>
        <v>-100</v>
      </c>
    </row>
    <row r="20" spans="1:37" s="521" customFormat="1" ht="18.75" customHeight="1" x14ac:dyDescent="0.3">
      <c r="A20" s="528" t="s">
        <v>330</v>
      </c>
      <c r="B20" s="422">
        <f>SUM(B12:B17)+B19</f>
        <v>23</v>
      </c>
      <c r="C20" s="723">
        <f>SUM(C12:C17)+C19</f>
        <v>52</v>
      </c>
      <c r="D20" s="532">
        <f>IF(B20=0, "    ---- ", IF(ABS(ROUND(100/B20*C20-100,1))&lt;999,ROUND(100/B20*C20-100,1),IF(ROUND(100/B20*C20-100,1)&gt;999,999,-999)))</f>
        <v>126.1</v>
      </c>
      <c r="E20" s="422"/>
      <c r="F20" s="423"/>
      <c r="G20" s="529"/>
      <c r="H20" s="422"/>
      <c r="I20" s="423"/>
      <c r="J20" s="529"/>
      <c r="K20" s="422"/>
      <c r="L20" s="423"/>
      <c r="M20" s="531"/>
      <c r="N20" s="423"/>
      <c r="O20" s="423"/>
      <c r="P20" s="529"/>
      <c r="Q20" s="422">
        <f>SUM(Q12:Q17)+Q19</f>
        <v>8.8047259883270996</v>
      </c>
      <c r="R20" s="423">
        <f>SUM(R12:R17)+R19</f>
        <v>12.326895853616243</v>
      </c>
      <c r="S20" s="532">
        <f t="shared" si="0"/>
        <v>40</v>
      </c>
      <c r="T20" s="423"/>
      <c r="U20" s="423"/>
      <c r="V20" s="529"/>
      <c r="W20" s="422">
        <f>SUM(W12:W17)+W19</f>
        <v>-5</v>
      </c>
      <c r="X20" s="423">
        <f>SUM(X12:X17)+X19</f>
        <v>3</v>
      </c>
      <c r="Y20" s="532">
        <f>IF(W20=0, "    ---- ", IF(ABS(ROUND(100/W20*X20-100,1))&lt;999,ROUND(100/W20*X20-100,1),IF(ROUND(100/W20*X20-100,1)&gt;999,999,-999)))</f>
        <v>-160</v>
      </c>
      <c r="Z20" s="707">
        <f>SUM(Z12:Z17)+Z19</f>
        <v>93.128210339999924</v>
      </c>
      <c r="AA20" s="423">
        <f>SUM(AA12:AA17)+AA19</f>
        <v>89.945327079999998</v>
      </c>
      <c r="AB20" s="532">
        <f>IF(Z20=0, "    ---- ", IF(ABS(ROUND(100/Z20*AA20-100,1))&lt;999,ROUND(100/Z20*AA20-100,1),IF(ROUND(100/Z20*AA20-100,1)&gt;999,999,-999)))</f>
        <v>-3.4</v>
      </c>
      <c r="AC20" s="538"/>
      <c r="AD20" s="423"/>
      <c r="AE20" s="538"/>
      <c r="AF20" s="538">
        <f t="shared" si="3"/>
        <v>119.93293632832703</v>
      </c>
      <c r="AG20" s="538">
        <f t="shared" si="3"/>
        <v>157.27222293361623</v>
      </c>
      <c r="AH20" s="532">
        <f t="shared" si="1"/>
        <v>31.1</v>
      </c>
      <c r="AI20" s="538">
        <f t="shared" si="4"/>
        <v>119.93293632832703</v>
      </c>
      <c r="AJ20" s="538">
        <f t="shared" si="4"/>
        <v>157.27222293361623</v>
      </c>
      <c r="AK20" s="532">
        <f t="shared" si="2"/>
        <v>31.1</v>
      </c>
    </row>
    <row r="21" spans="1:37" s="385" customFormat="1" ht="18.75" customHeight="1" x14ac:dyDescent="0.3">
      <c r="A21" s="411" t="s">
        <v>331</v>
      </c>
      <c r="B21" s="424">
        <v>15</v>
      </c>
      <c r="C21" s="708">
        <v>33</v>
      </c>
      <c r="D21" s="533">
        <f>IF(B21=0, "    ---- ", IF(ABS(ROUND(100/B21*C21-100,1))&lt;999,ROUND(100/B21*C21-100,1),IF(ROUND(100/B21*C21-100,1)&gt;999,999,-999)))</f>
        <v>120</v>
      </c>
      <c r="E21" s="424"/>
      <c r="F21" s="425"/>
      <c r="G21" s="535"/>
      <c r="H21" s="424"/>
      <c r="I21" s="425"/>
      <c r="J21" s="535"/>
      <c r="K21" s="424"/>
      <c r="L21" s="425"/>
      <c r="M21" s="536"/>
      <c r="N21" s="425"/>
      <c r="O21" s="425"/>
      <c r="P21" s="535"/>
      <c r="Q21" s="424">
        <v>5.7230718924126149</v>
      </c>
      <c r="R21" s="425">
        <v>8.0124823048505576</v>
      </c>
      <c r="S21" s="533">
        <f t="shared" si="0"/>
        <v>40</v>
      </c>
      <c r="T21" s="425"/>
      <c r="U21" s="425"/>
      <c r="V21" s="535"/>
      <c r="W21" s="424"/>
      <c r="X21" s="425">
        <v>2</v>
      </c>
      <c r="Y21" s="533" t="str">
        <f>IF(W21=0, "    ---- ", IF(ABS(ROUND(100/W21*X21-100,1))&lt;999,ROUND(100/W21*X21-100,1),IF(ROUND(100/W21*X21-100,1)&gt;999,999,-999)))</f>
        <v xml:space="preserve">    ---- </v>
      </c>
      <c r="Z21" s="706">
        <v>60.194555999999999</v>
      </c>
      <c r="AA21" s="708">
        <v>58.460552</v>
      </c>
      <c r="AB21" s="533">
        <f>IF(Z21=0, "    ---- ", IF(ABS(ROUND(100/Z21*AA21-100,1))&lt;999,ROUND(100/Z21*AA21-100,1),IF(ROUND(100/Z21*AA21-100,1)&gt;999,999,-999)))</f>
        <v>-2.9</v>
      </c>
      <c r="AC21" s="537"/>
      <c r="AD21" s="425"/>
      <c r="AE21" s="537"/>
      <c r="AF21" s="537">
        <f t="shared" si="3"/>
        <v>80.917627892412611</v>
      </c>
      <c r="AG21" s="537">
        <f t="shared" si="3"/>
        <v>101.47303430485056</v>
      </c>
      <c r="AH21" s="533">
        <f t="shared" si="1"/>
        <v>25.4</v>
      </c>
      <c r="AI21" s="537">
        <f t="shared" si="4"/>
        <v>80.917627892412611</v>
      </c>
      <c r="AJ21" s="537">
        <f t="shared" si="4"/>
        <v>101.47303430485056</v>
      </c>
      <c r="AK21" s="533">
        <f t="shared" si="2"/>
        <v>25.4</v>
      </c>
    </row>
    <row r="22" spans="1:37" s="385" customFormat="1" ht="18.75" customHeight="1" x14ac:dyDescent="0.3">
      <c r="A22" s="411" t="s">
        <v>332</v>
      </c>
      <c r="B22" s="424">
        <v>8</v>
      </c>
      <c r="C22" s="708">
        <v>19</v>
      </c>
      <c r="D22" s="533">
        <f>IF(B22=0, "    ---- ", IF(ABS(ROUND(100/B22*C22-100,1))&lt;999,ROUND(100/B22*C22-100,1),IF(ROUND(100/B22*C22-100,1)&gt;999,999,-999)))</f>
        <v>137.5</v>
      </c>
      <c r="E22" s="424"/>
      <c r="F22" s="425"/>
      <c r="G22" s="535"/>
      <c r="H22" s="424"/>
      <c r="I22" s="425"/>
      <c r="J22" s="535"/>
      <c r="K22" s="424"/>
      <c r="L22" s="425"/>
      <c r="M22" s="536"/>
      <c r="N22" s="425"/>
      <c r="O22" s="425"/>
      <c r="P22" s="535"/>
      <c r="Q22" s="424">
        <v>3.0816540959144847</v>
      </c>
      <c r="R22" s="425">
        <v>4.3144135487656854</v>
      </c>
      <c r="S22" s="533">
        <f t="shared" si="0"/>
        <v>40</v>
      </c>
      <c r="T22" s="425"/>
      <c r="U22" s="425"/>
      <c r="V22" s="535"/>
      <c r="W22" s="424">
        <v>-5</v>
      </c>
      <c r="X22" s="425">
        <v>1</v>
      </c>
      <c r="Y22" s="533">
        <f>IF(W22=0, "    ---- ", IF(ABS(ROUND(100/W22*X22-100,1))&lt;999,ROUND(100/W22*X22-100,1),IF(ROUND(100/W22*X22-100,1)&gt;999,999,-999)))</f>
        <v>-120</v>
      </c>
      <c r="Z22" s="706">
        <v>32.933654339999926</v>
      </c>
      <c r="AA22" s="425">
        <v>31.478325080000001</v>
      </c>
      <c r="AB22" s="533">
        <f>IF(Z22=0, "    ---- ", IF(ABS(ROUND(100/Z22*AA22-100,1))&lt;999,ROUND(100/Z22*AA22-100,1),IF(ROUND(100/Z22*AA22-100,1)&gt;999,999,-999)))</f>
        <v>-4.4000000000000004</v>
      </c>
      <c r="AC22" s="537"/>
      <c r="AD22" s="425"/>
      <c r="AE22" s="537"/>
      <c r="AF22" s="537">
        <f t="shared" si="3"/>
        <v>39.015308435914406</v>
      </c>
      <c r="AG22" s="537">
        <f t="shared" si="3"/>
        <v>55.79273862876569</v>
      </c>
      <c r="AH22" s="533">
        <f t="shared" si="1"/>
        <v>43</v>
      </c>
      <c r="AI22" s="537">
        <f t="shared" si="4"/>
        <v>39.015308435914406</v>
      </c>
      <c r="AJ22" s="537">
        <f t="shared" si="4"/>
        <v>55.79273862876569</v>
      </c>
      <c r="AK22" s="533">
        <f t="shared" si="2"/>
        <v>43</v>
      </c>
    </row>
    <row r="23" spans="1:37" s="385" customFormat="1" ht="18.75" customHeight="1" x14ac:dyDescent="0.3">
      <c r="A23" s="528" t="s">
        <v>333</v>
      </c>
      <c r="B23" s="422"/>
      <c r="C23" s="723"/>
      <c r="D23" s="532"/>
      <c r="E23" s="422"/>
      <c r="F23" s="423"/>
      <c r="G23" s="529"/>
      <c r="H23" s="422"/>
      <c r="I23" s="423"/>
      <c r="J23" s="529"/>
      <c r="K23" s="422"/>
      <c r="L23" s="423"/>
      <c r="M23" s="531"/>
      <c r="N23" s="423"/>
      <c r="O23" s="423"/>
      <c r="P23" s="529"/>
      <c r="Q23" s="422"/>
      <c r="R23" s="423"/>
      <c r="S23" s="532"/>
      <c r="T23" s="423"/>
      <c r="U23" s="423"/>
      <c r="V23" s="529"/>
      <c r="W23" s="422"/>
      <c r="X23" s="423"/>
      <c r="Y23" s="532"/>
      <c r="Z23" s="707"/>
      <c r="AA23" s="423"/>
      <c r="AB23" s="532"/>
      <c r="AC23" s="538"/>
      <c r="AD23" s="423"/>
      <c r="AE23" s="538"/>
      <c r="AF23" s="537">
        <f t="shared" si="3"/>
        <v>0</v>
      </c>
      <c r="AG23" s="537">
        <f t="shared" si="3"/>
        <v>0</v>
      </c>
      <c r="AH23" s="532"/>
      <c r="AI23" s="537"/>
      <c r="AJ23" s="537"/>
      <c r="AK23" s="532"/>
    </row>
    <row r="24" spans="1:37" s="385" customFormat="1" ht="18.75" x14ac:dyDescent="0.3">
      <c r="A24" s="760" t="s">
        <v>494</v>
      </c>
      <c r="B24" s="424">
        <v>-2</v>
      </c>
      <c r="C24" s="708">
        <v>170</v>
      </c>
      <c r="D24" s="533">
        <f t="shared" ref="D24:D29" si="5">IF(B24=0, "    ---- ", IF(ABS(ROUND(100/B24*C24-100,1))&lt;999,ROUND(100/B24*C24-100,1),IF(ROUND(100/B24*C24-100,1)&gt;999,999,-999)))</f>
        <v>-999</v>
      </c>
      <c r="E24" s="424"/>
      <c r="F24" s="425"/>
      <c r="G24" s="535"/>
      <c r="H24" s="424"/>
      <c r="I24" s="425"/>
      <c r="J24" s="535"/>
      <c r="K24" s="424"/>
      <c r="L24" s="425"/>
      <c r="M24" s="536"/>
      <c r="N24" s="425"/>
      <c r="O24" s="425"/>
      <c r="P24" s="535"/>
      <c r="Q24" s="424">
        <v>0.35709942298232999</v>
      </c>
      <c r="R24" s="425"/>
      <c r="S24" s="533">
        <f t="shared" si="0"/>
        <v>-100</v>
      </c>
      <c r="T24" s="425"/>
      <c r="U24" s="425"/>
      <c r="V24" s="535"/>
      <c r="W24" s="424"/>
      <c r="X24" s="425"/>
      <c r="Y24" s="533"/>
      <c r="Z24" s="706"/>
      <c r="AA24" s="425"/>
      <c r="AB24" s="535"/>
      <c r="AC24" s="536"/>
      <c r="AD24" s="425"/>
      <c r="AE24" s="536"/>
      <c r="AF24" s="537">
        <f t="shared" si="3"/>
        <v>-1.6429005770176701</v>
      </c>
      <c r="AG24" s="537">
        <f t="shared" si="3"/>
        <v>170</v>
      </c>
      <c r="AH24" s="533">
        <f t="shared" ref="AH24:AH86" si="6">IF(AF24=0, "    ---- ", IF(ABS(ROUND(100/AF24*AG24-100,1))&lt;999,ROUND(100/AF24*AG24-100,1),IF(ROUND(100/AF24*AG24-100,1)&gt;999,999,-999)))</f>
        <v>-999</v>
      </c>
      <c r="AI24" s="537">
        <f t="shared" ref="AI24:AJ34" si="7">+B24+E24+H24+K24+N24+Q24+T24+W24+Z24+AC24</f>
        <v>-1.6429005770176701</v>
      </c>
      <c r="AJ24" s="537">
        <f t="shared" si="7"/>
        <v>170</v>
      </c>
      <c r="AK24" s="533">
        <f t="shared" ref="AK24:AK86" si="8">IF(AI24=0, "    ---- ", IF(ABS(ROUND(100/AI24*AJ24-100,1))&lt;999,ROUND(100/AI24*AJ24-100,1),IF(ROUND(100/AI24*AJ24-100,1)&gt;999,999,-999)))</f>
        <v>-999</v>
      </c>
    </row>
    <row r="25" spans="1:37" s="385" customFormat="1" ht="18.75" customHeight="1" x14ac:dyDescent="0.3">
      <c r="A25" s="411" t="s">
        <v>493</v>
      </c>
      <c r="B25" s="424"/>
      <c r="C25" s="708">
        <v>-17</v>
      </c>
      <c r="D25" s="533" t="str">
        <f t="shared" si="5"/>
        <v xml:space="preserve">    ---- </v>
      </c>
      <c r="E25" s="424"/>
      <c r="F25" s="390"/>
      <c r="G25" s="535"/>
      <c r="H25" s="424"/>
      <c r="I25" s="390"/>
      <c r="J25" s="535"/>
      <c r="K25" s="424"/>
      <c r="L25" s="390"/>
      <c r="M25" s="536"/>
      <c r="N25" s="425"/>
      <c r="O25" s="76"/>
      <c r="P25" s="535"/>
      <c r="Q25" s="424"/>
      <c r="R25" s="390"/>
      <c r="S25" s="533"/>
      <c r="T25" s="425"/>
      <c r="U25" s="76"/>
      <c r="V25" s="535"/>
      <c r="W25" s="424"/>
      <c r="X25" s="390"/>
      <c r="Y25" s="533"/>
      <c r="Z25" s="706"/>
      <c r="AA25" s="390"/>
      <c r="AB25" s="535"/>
      <c r="AC25" s="536"/>
      <c r="AD25" s="76"/>
      <c r="AE25" s="536"/>
      <c r="AF25" s="537">
        <f t="shared" si="3"/>
        <v>0</v>
      </c>
      <c r="AG25" s="537">
        <f t="shared" si="3"/>
        <v>-17</v>
      </c>
      <c r="AH25" s="533" t="str">
        <f t="shared" si="6"/>
        <v xml:space="preserve">    ---- </v>
      </c>
      <c r="AI25" s="537">
        <f t="shared" si="7"/>
        <v>0</v>
      </c>
      <c r="AJ25" s="537">
        <f t="shared" si="7"/>
        <v>-17</v>
      </c>
      <c r="AK25" s="533" t="str">
        <f t="shared" si="8"/>
        <v xml:space="preserve">    ---- </v>
      </c>
    </row>
    <row r="26" spans="1:37" s="385" customFormat="1" ht="18.75" customHeight="1" x14ac:dyDescent="0.3">
      <c r="A26" s="411" t="s">
        <v>324</v>
      </c>
      <c r="B26" s="424">
        <v>24</v>
      </c>
      <c r="C26" s="708">
        <v>13</v>
      </c>
      <c r="D26" s="533">
        <f t="shared" si="5"/>
        <v>-45.8</v>
      </c>
      <c r="E26" s="424"/>
      <c r="F26" s="425"/>
      <c r="G26" s="535"/>
      <c r="H26" s="424"/>
      <c r="I26" s="425"/>
      <c r="J26" s="535"/>
      <c r="K26" s="424"/>
      <c r="L26" s="425"/>
      <c r="M26" s="536"/>
      <c r="N26" s="425"/>
      <c r="O26" s="425"/>
      <c r="P26" s="535"/>
      <c r="Q26" s="424">
        <v>0.2636942375544703</v>
      </c>
      <c r="R26" s="425"/>
      <c r="S26" s="533">
        <f t="shared" si="0"/>
        <v>-100</v>
      </c>
      <c r="T26" s="425"/>
      <c r="U26" s="425"/>
      <c r="V26" s="535"/>
      <c r="W26" s="424">
        <v>-1</v>
      </c>
      <c r="X26" s="425">
        <v>1</v>
      </c>
      <c r="Y26" s="533">
        <f>IF(W26=0, "    ---- ", IF(ABS(ROUND(100/W26*X26-100,1))&lt;999,ROUND(100/W26*X26-100,1),IF(ROUND(100/W26*X26-100,1)&gt;999,999,-999)))</f>
        <v>-200</v>
      </c>
      <c r="Z26" s="706"/>
      <c r="AA26" s="425"/>
      <c r="AB26" s="535"/>
      <c r="AC26" s="536"/>
      <c r="AD26" s="425"/>
      <c r="AE26" s="536"/>
      <c r="AF26" s="537">
        <f t="shared" si="3"/>
        <v>23.263694237554471</v>
      </c>
      <c r="AG26" s="537">
        <f t="shared" si="3"/>
        <v>14</v>
      </c>
      <c r="AH26" s="533">
        <f t="shared" si="6"/>
        <v>-39.799999999999997</v>
      </c>
      <c r="AI26" s="537">
        <f t="shared" si="7"/>
        <v>23.263694237554471</v>
      </c>
      <c r="AJ26" s="537">
        <f t="shared" si="7"/>
        <v>14</v>
      </c>
      <c r="AK26" s="533">
        <f t="shared" si="8"/>
        <v>-39.799999999999997</v>
      </c>
    </row>
    <row r="27" spans="1:37" s="385" customFormat="1" ht="18.75" customHeight="1" x14ac:dyDescent="0.3">
      <c r="A27" s="411" t="s">
        <v>325</v>
      </c>
      <c r="B27" s="424">
        <v>0</v>
      </c>
      <c r="C27" s="708"/>
      <c r="D27" s="533" t="str">
        <f t="shared" si="5"/>
        <v xml:space="preserve">    ---- </v>
      </c>
      <c r="E27" s="424"/>
      <c r="F27" s="425"/>
      <c r="G27" s="535"/>
      <c r="H27" s="424"/>
      <c r="I27" s="425"/>
      <c r="J27" s="535"/>
      <c r="K27" s="424"/>
      <c r="L27" s="425"/>
      <c r="M27" s="536"/>
      <c r="N27" s="425"/>
      <c r="O27" s="425"/>
      <c r="P27" s="535"/>
      <c r="Q27" s="424"/>
      <c r="R27" s="425"/>
      <c r="S27" s="533"/>
      <c r="T27" s="425"/>
      <c r="U27" s="425"/>
      <c r="V27" s="535"/>
      <c r="W27" s="424"/>
      <c r="X27" s="425"/>
      <c r="Y27" s="533"/>
      <c r="Z27" s="706"/>
      <c r="AA27" s="425"/>
      <c r="AB27" s="535"/>
      <c r="AC27" s="536"/>
      <c r="AD27" s="425"/>
      <c r="AE27" s="536"/>
      <c r="AF27" s="537">
        <f t="shared" si="3"/>
        <v>0</v>
      </c>
      <c r="AG27" s="537">
        <f t="shared" si="3"/>
        <v>0</v>
      </c>
      <c r="AH27" s="533" t="str">
        <f t="shared" si="6"/>
        <v xml:space="preserve">    ---- </v>
      </c>
      <c r="AI27" s="537">
        <f t="shared" si="7"/>
        <v>0</v>
      </c>
      <c r="AJ27" s="537">
        <f t="shared" si="7"/>
        <v>0</v>
      </c>
      <c r="AK27" s="533" t="str">
        <f t="shared" si="8"/>
        <v xml:space="preserve">    ---- </v>
      </c>
    </row>
    <row r="28" spans="1:37" s="385" customFormat="1" ht="18.75" customHeight="1" x14ac:dyDescent="0.3">
      <c r="A28" s="411" t="s">
        <v>326</v>
      </c>
      <c r="B28" s="424">
        <v>36</v>
      </c>
      <c r="C28" s="708">
        <v>27</v>
      </c>
      <c r="D28" s="533">
        <f t="shared" si="5"/>
        <v>-25</v>
      </c>
      <c r="E28" s="424"/>
      <c r="F28" s="425"/>
      <c r="G28" s="535"/>
      <c r="H28" s="424"/>
      <c r="I28" s="425"/>
      <c r="J28" s="535"/>
      <c r="K28" s="424"/>
      <c r="L28" s="425"/>
      <c r="M28" s="536"/>
      <c r="N28" s="425"/>
      <c r="O28" s="425"/>
      <c r="P28" s="535"/>
      <c r="Q28" s="424">
        <v>0.1560899</v>
      </c>
      <c r="R28" s="425"/>
      <c r="S28" s="533">
        <f t="shared" si="0"/>
        <v>-100</v>
      </c>
      <c r="T28" s="425"/>
      <c r="U28" s="425"/>
      <c r="V28" s="535"/>
      <c r="W28" s="424"/>
      <c r="X28" s="425"/>
      <c r="Y28" s="533"/>
      <c r="Z28" s="706"/>
      <c r="AA28" s="425"/>
      <c r="AB28" s="535"/>
      <c r="AC28" s="536"/>
      <c r="AD28" s="425"/>
      <c r="AE28" s="536"/>
      <c r="AF28" s="537">
        <f t="shared" si="3"/>
        <v>36.156089899999998</v>
      </c>
      <c r="AG28" s="537">
        <f t="shared" si="3"/>
        <v>27</v>
      </c>
      <c r="AH28" s="533">
        <f t="shared" si="6"/>
        <v>-25.3</v>
      </c>
      <c r="AI28" s="537">
        <f t="shared" si="7"/>
        <v>36.156089899999998</v>
      </c>
      <c r="AJ28" s="537">
        <f t="shared" si="7"/>
        <v>27</v>
      </c>
      <c r="AK28" s="533">
        <f t="shared" si="8"/>
        <v>-25.3</v>
      </c>
    </row>
    <row r="29" spans="1:37" s="385" customFormat="1" ht="18.75" customHeight="1" x14ac:dyDescent="0.3">
      <c r="A29" s="411" t="s">
        <v>327</v>
      </c>
      <c r="B29" s="424">
        <v>11</v>
      </c>
      <c r="C29" s="708">
        <v>9</v>
      </c>
      <c r="D29" s="533">
        <f t="shared" si="5"/>
        <v>-18.2</v>
      </c>
      <c r="E29" s="424"/>
      <c r="F29" s="425"/>
      <c r="G29" s="535"/>
      <c r="H29" s="424"/>
      <c r="I29" s="425"/>
      <c r="J29" s="535"/>
      <c r="K29" s="424"/>
      <c r="L29" s="425"/>
      <c r="M29" s="536"/>
      <c r="N29" s="425"/>
      <c r="O29" s="425"/>
      <c r="P29" s="535"/>
      <c r="Q29" s="424">
        <v>1.7350199999999999E-3</v>
      </c>
      <c r="R29" s="425"/>
      <c r="S29" s="533">
        <f t="shared" si="0"/>
        <v>-100</v>
      </c>
      <c r="T29" s="425"/>
      <c r="U29" s="425"/>
      <c r="V29" s="535"/>
      <c r="W29" s="424"/>
      <c r="X29" s="425"/>
      <c r="Y29" s="533"/>
      <c r="Z29" s="706"/>
      <c r="AA29" s="425"/>
      <c r="AB29" s="535"/>
      <c r="AC29" s="536"/>
      <c r="AD29" s="425"/>
      <c r="AE29" s="536"/>
      <c r="AF29" s="537">
        <f t="shared" si="3"/>
        <v>11.00173502</v>
      </c>
      <c r="AG29" s="537">
        <f t="shared" si="3"/>
        <v>9</v>
      </c>
      <c r="AH29" s="533">
        <f t="shared" si="6"/>
        <v>-18.2</v>
      </c>
      <c r="AI29" s="537">
        <f t="shared" si="7"/>
        <v>11.00173502</v>
      </c>
      <c r="AJ29" s="537">
        <f t="shared" si="7"/>
        <v>9</v>
      </c>
      <c r="AK29" s="533">
        <f t="shared" si="8"/>
        <v>-18.2</v>
      </c>
    </row>
    <row r="30" spans="1:37" s="385" customFormat="1" ht="18.75" customHeight="1" x14ac:dyDescent="0.3">
      <c r="A30" s="411" t="s">
        <v>328</v>
      </c>
      <c r="B30" s="424"/>
      <c r="C30" s="708"/>
      <c r="D30" s="533"/>
      <c r="E30" s="424"/>
      <c r="F30" s="425"/>
      <c r="G30" s="535"/>
      <c r="H30" s="424"/>
      <c r="I30" s="425"/>
      <c r="J30" s="535"/>
      <c r="K30" s="424"/>
      <c r="L30" s="425"/>
      <c r="M30" s="536"/>
      <c r="N30" s="425"/>
      <c r="O30" s="425"/>
      <c r="P30" s="535"/>
      <c r="Q30" s="424">
        <v>1.8444079520545369E-7</v>
      </c>
      <c r="R30" s="425"/>
      <c r="S30" s="533">
        <f t="shared" si="0"/>
        <v>-100</v>
      </c>
      <c r="T30" s="425"/>
      <c r="U30" s="425"/>
      <c r="V30" s="535"/>
      <c r="W30" s="424"/>
      <c r="X30" s="425"/>
      <c r="Y30" s="533"/>
      <c r="Z30" s="706"/>
      <c r="AA30" s="425"/>
      <c r="AB30" s="535"/>
      <c r="AC30" s="536"/>
      <c r="AD30" s="425"/>
      <c r="AE30" s="536"/>
      <c r="AF30" s="537">
        <f t="shared" si="3"/>
        <v>1.8444079520545369E-7</v>
      </c>
      <c r="AG30" s="537">
        <f t="shared" si="3"/>
        <v>0</v>
      </c>
      <c r="AH30" s="533">
        <f t="shared" si="6"/>
        <v>-100</v>
      </c>
      <c r="AI30" s="537">
        <f t="shared" si="7"/>
        <v>1.8444079520545369E-7</v>
      </c>
      <c r="AJ30" s="537">
        <f t="shared" si="7"/>
        <v>0</v>
      </c>
      <c r="AK30" s="533">
        <f t="shared" si="8"/>
        <v>-100</v>
      </c>
    </row>
    <row r="31" spans="1:37" s="385" customFormat="1" ht="18.75" customHeight="1" x14ac:dyDescent="0.3">
      <c r="A31" s="411" t="s">
        <v>329</v>
      </c>
      <c r="B31" s="424"/>
      <c r="C31" s="708"/>
      <c r="D31" s="533"/>
      <c r="E31" s="424"/>
      <c r="F31" s="425"/>
      <c r="G31" s="439"/>
      <c r="H31" s="424"/>
      <c r="I31" s="425"/>
      <c r="J31" s="439"/>
      <c r="K31" s="424"/>
      <c r="L31" s="425"/>
      <c r="M31" s="425"/>
      <c r="N31" s="425"/>
      <c r="O31" s="425"/>
      <c r="P31" s="439"/>
      <c r="Q31" s="424"/>
      <c r="R31" s="425"/>
      <c r="S31" s="533"/>
      <c r="T31" s="425"/>
      <c r="U31" s="425"/>
      <c r="V31" s="439"/>
      <c r="W31" s="424"/>
      <c r="X31" s="425"/>
      <c r="Y31" s="533"/>
      <c r="Z31" s="706"/>
      <c r="AA31" s="425"/>
      <c r="AB31" s="439"/>
      <c r="AC31" s="425"/>
      <c r="AD31" s="425"/>
      <c r="AE31" s="425"/>
      <c r="AF31" s="537">
        <f t="shared" si="3"/>
        <v>0</v>
      </c>
      <c r="AG31" s="537">
        <f t="shared" si="3"/>
        <v>0</v>
      </c>
      <c r="AH31" s="439" t="str">
        <f t="shared" si="6"/>
        <v xml:space="preserve">    ---- </v>
      </c>
      <c r="AI31" s="537">
        <f t="shared" si="7"/>
        <v>0</v>
      </c>
      <c r="AJ31" s="537">
        <f t="shared" si="7"/>
        <v>0</v>
      </c>
      <c r="AK31" s="533" t="str">
        <f t="shared" si="8"/>
        <v xml:space="preserve">    ---- </v>
      </c>
    </row>
    <row r="32" spans="1:37" s="521" customFormat="1" ht="18.75" customHeight="1" x14ac:dyDescent="0.3">
      <c r="A32" s="528" t="s">
        <v>330</v>
      </c>
      <c r="B32" s="422">
        <f>SUM(B24:B29)+B31</f>
        <v>69</v>
      </c>
      <c r="C32" s="723">
        <f>SUM(C24:C29)+C31</f>
        <v>202</v>
      </c>
      <c r="D32" s="532">
        <f>IF(B32=0, "    ---- ", IF(ABS(ROUND(100/B32*C32-100,1))&lt;999,ROUND(100/B32*C32-100,1),IF(ROUND(100/B32*C32-100,1)&gt;999,999,-999)))</f>
        <v>192.8</v>
      </c>
      <c r="E32" s="422"/>
      <c r="F32" s="423"/>
      <c r="G32" s="440"/>
      <c r="H32" s="422"/>
      <c r="I32" s="423"/>
      <c r="J32" s="440"/>
      <c r="K32" s="422"/>
      <c r="L32" s="423"/>
      <c r="M32" s="423"/>
      <c r="N32" s="423"/>
      <c r="O32" s="423"/>
      <c r="P32" s="440"/>
      <c r="Q32" s="422">
        <f>SUM(Q24:Q29)+Q31</f>
        <v>0.77861858053680033</v>
      </c>
      <c r="R32" s="423">
        <f>SUM(R24:R29)+R31</f>
        <v>0</v>
      </c>
      <c r="S32" s="532">
        <f t="shared" si="0"/>
        <v>-100</v>
      </c>
      <c r="T32" s="423"/>
      <c r="U32" s="423"/>
      <c r="V32" s="440"/>
      <c r="W32" s="422">
        <f>SUM(W24:W29)+W31</f>
        <v>-1</v>
      </c>
      <c r="X32" s="423">
        <f>SUM(X24:X29)+X31</f>
        <v>1</v>
      </c>
      <c r="Y32" s="532">
        <f>IF(W32=0, "    ---- ", IF(ABS(ROUND(100/W32*X32-100,1))&lt;999,ROUND(100/W32*X32-100,1),IF(ROUND(100/W32*X32-100,1)&gt;999,999,-999)))</f>
        <v>-200</v>
      </c>
      <c r="Z32" s="707"/>
      <c r="AA32" s="423"/>
      <c r="AB32" s="440"/>
      <c r="AC32" s="423"/>
      <c r="AD32" s="423"/>
      <c r="AE32" s="423"/>
      <c r="AF32" s="538">
        <f t="shared" si="3"/>
        <v>68.778618580536801</v>
      </c>
      <c r="AG32" s="538">
        <f t="shared" si="3"/>
        <v>203</v>
      </c>
      <c r="AH32" s="440">
        <f t="shared" si="6"/>
        <v>195.1</v>
      </c>
      <c r="AI32" s="538">
        <f t="shared" si="7"/>
        <v>68.778618580536801</v>
      </c>
      <c r="AJ32" s="538">
        <f t="shared" si="7"/>
        <v>203</v>
      </c>
      <c r="AK32" s="440">
        <f t="shared" si="8"/>
        <v>195.1</v>
      </c>
    </row>
    <row r="33" spans="1:38" s="385" customFormat="1" ht="18.75" customHeight="1" x14ac:dyDescent="0.3">
      <c r="A33" s="411" t="s">
        <v>331</v>
      </c>
      <c r="B33" s="424">
        <v>2</v>
      </c>
      <c r="C33" s="708">
        <v>154</v>
      </c>
      <c r="D33" s="533">
        <f>IF(B33=0, "    ---- ", IF(ABS(ROUND(100/B33*C33-100,1))&lt;999,ROUND(100/B33*C33-100,1),IF(ROUND(100/B33*C33-100,1)&gt;999,999,-999)))</f>
        <v>999</v>
      </c>
      <c r="E33" s="424"/>
      <c r="F33" s="425"/>
      <c r="G33" s="439"/>
      <c r="H33" s="424"/>
      <c r="I33" s="425"/>
      <c r="J33" s="439"/>
      <c r="K33" s="424"/>
      <c r="L33" s="425"/>
      <c r="M33" s="425"/>
      <c r="N33" s="425"/>
      <c r="O33" s="425"/>
      <c r="P33" s="439"/>
      <c r="Q33" s="424">
        <v>0.35312282329249733</v>
      </c>
      <c r="R33" s="425"/>
      <c r="S33" s="533">
        <f t="shared" si="0"/>
        <v>-100</v>
      </c>
      <c r="T33" s="425"/>
      <c r="U33" s="425"/>
      <c r="V33" s="439"/>
      <c r="W33" s="424"/>
      <c r="X33" s="425"/>
      <c r="Y33" s="533"/>
      <c r="Z33" s="706"/>
      <c r="AA33" s="425"/>
      <c r="AB33" s="439"/>
      <c r="AC33" s="425"/>
      <c r="AD33" s="425"/>
      <c r="AE33" s="425"/>
      <c r="AF33" s="537">
        <f t="shared" si="3"/>
        <v>2.3531228232924972</v>
      </c>
      <c r="AG33" s="537">
        <f t="shared" si="3"/>
        <v>154</v>
      </c>
      <c r="AH33" s="439">
        <f t="shared" si="6"/>
        <v>999</v>
      </c>
      <c r="AI33" s="537">
        <f t="shared" si="7"/>
        <v>2.3531228232924972</v>
      </c>
      <c r="AJ33" s="537">
        <f t="shared" si="7"/>
        <v>154</v>
      </c>
      <c r="AK33" s="439">
        <f t="shared" si="8"/>
        <v>999</v>
      </c>
    </row>
    <row r="34" spans="1:38" s="385" customFormat="1" ht="18.75" customHeight="1" x14ac:dyDescent="0.3">
      <c r="A34" s="411" t="s">
        <v>332</v>
      </c>
      <c r="B34" s="424">
        <v>67</v>
      </c>
      <c r="C34" s="708">
        <v>48</v>
      </c>
      <c r="D34" s="533">
        <f>IF(B34=0, "    ---- ", IF(ABS(ROUND(100/B34*C34-100,1))&lt;999,ROUND(100/B34*C34-100,1),IF(ROUND(100/B34*C34-100,1)&gt;999,999,-999)))</f>
        <v>-28.4</v>
      </c>
      <c r="E34" s="424"/>
      <c r="F34" s="425"/>
      <c r="G34" s="439"/>
      <c r="H34" s="424"/>
      <c r="I34" s="425"/>
      <c r="J34" s="439"/>
      <c r="K34" s="424"/>
      <c r="L34" s="425"/>
      <c r="M34" s="425"/>
      <c r="N34" s="425"/>
      <c r="O34" s="425"/>
      <c r="P34" s="439"/>
      <c r="Q34" s="424">
        <v>0.425495757244303</v>
      </c>
      <c r="R34" s="425"/>
      <c r="S34" s="533">
        <f t="shared" si="0"/>
        <v>-100</v>
      </c>
      <c r="T34" s="425"/>
      <c r="U34" s="425"/>
      <c r="V34" s="439"/>
      <c r="W34" s="424">
        <v>-1</v>
      </c>
      <c r="X34" s="425">
        <v>1</v>
      </c>
      <c r="Y34" s="533">
        <f>IF(W34=0, "    ---- ", IF(ABS(ROUND(100/W34*X34-100,1))&lt;999,ROUND(100/W34*X34-100,1),IF(ROUND(100/W34*X34-100,1)&gt;999,999,-999)))</f>
        <v>-200</v>
      </c>
      <c r="Z34" s="706"/>
      <c r="AA34" s="425"/>
      <c r="AB34" s="439"/>
      <c r="AC34" s="425"/>
      <c r="AD34" s="425"/>
      <c r="AE34" s="425"/>
      <c r="AF34" s="537">
        <f t="shared" si="3"/>
        <v>66.425495757244306</v>
      </c>
      <c r="AG34" s="537">
        <f t="shared" si="3"/>
        <v>49</v>
      </c>
      <c r="AH34" s="439">
        <f t="shared" si="6"/>
        <v>-26.2</v>
      </c>
      <c r="AI34" s="537">
        <f t="shared" si="7"/>
        <v>66.425495757244306</v>
      </c>
      <c r="AJ34" s="537">
        <f t="shared" si="7"/>
        <v>49</v>
      </c>
      <c r="AK34" s="439">
        <f t="shared" si="8"/>
        <v>-26.2</v>
      </c>
    </row>
    <row r="35" spans="1:38" s="385" customFormat="1" ht="18.75" customHeight="1" x14ac:dyDescent="0.3">
      <c r="A35" s="528" t="s">
        <v>334</v>
      </c>
      <c r="B35" s="424"/>
      <c r="C35" s="708"/>
      <c r="D35" s="533"/>
      <c r="E35" s="424"/>
      <c r="F35" s="425"/>
      <c r="G35" s="439"/>
      <c r="H35" s="424"/>
      <c r="I35" s="425"/>
      <c r="J35" s="439"/>
      <c r="K35" s="424"/>
      <c r="L35" s="425"/>
      <c r="M35" s="425"/>
      <c r="N35" s="425"/>
      <c r="O35" s="425"/>
      <c r="P35" s="439"/>
      <c r="Q35" s="424"/>
      <c r="R35" s="425"/>
      <c r="S35" s="533"/>
      <c r="T35" s="425"/>
      <c r="U35" s="425"/>
      <c r="V35" s="439"/>
      <c r="W35" s="424"/>
      <c r="X35" s="425"/>
      <c r="Y35" s="533"/>
      <c r="Z35" s="706"/>
      <c r="AA35" s="425"/>
      <c r="AB35" s="439"/>
      <c r="AC35" s="425"/>
      <c r="AD35" s="425"/>
      <c r="AE35" s="425"/>
      <c r="AF35" s="537">
        <f t="shared" si="3"/>
        <v>0</v>
      </c>
      <c r="AG35" s="537">
        <f t="shared" si="3"/>
        <v>0</v>
      </c>
      <c r="AH35" s="439"/>
      <c r="AI35" s="537"/>
      <c r="AJ35" s="537"/>
      <c r="AK35" s="439"/>
    </row>
    <row r="36" spans="1:38" s="385" customFormat="1" ht="18.75" x14ac:dyDescent="0.3">
      <c r="A36" s="760" t="s">
        <v>494</v>
      </c>
      <c r="B36" s="424"/>
      <c r="C36" s="708"/>
      <c r="D36" s="533"/>
      <c r="E36" s="424">
        <v>23.076738240000001</v>
      </c>
      <c r="F36" s="425">
        <v>50.598436729999996</v>
      </c>
      <c r="G36" s="439">
        <f>IF(E36=0, "    ---- ", IF(ABS(ROUND(100/E36*F36-100,1))&lt;999,ROUND(100/E36*F36-100,1),IF(ROUND(100/E36*F36-100,1)&gt;999,999,-999)))</f>
        <v>119.3</v>
      </c>
      <c r="H36" s="424">
        <v>31.684000000000001</v>
      </c>
      <c r="I36" s="425">
        <v>16.498000000000001</v>
      </c>
      <c r="J36" s="439">
        <f>IF(H36=0, "    ---- ", IF(ABS(ROUND(100/H36*I36-100,1))&lt;999,ROUND(100/H36*I36-100,1),IF(ROUND(100/H36*I36-100,1)&gt;999,999,-999)))</f>
        <v>-47.9</v>
      </c>
      <c r="K36" s="424"/>
      <c r="L36" s="425"/>
      <c r="M36" s="425"/>
      <c r="N36" s="425"/>
      <c r="O36" s="425"/>
      <c r="P36" s="439"/>
      <c r="Q36" s="424">
        <v>5.5640113272318006</v>
      </c>
      <c r="R36" s="425">
        <v>10.141149909663293</v>
      </c>
      <c r="S36" s="533">
        <f t="shared" si="0"/>
        <v>82.3</v>
      </c>
      <c r="T36" s="425"/>
      <c r="U36" s="425"/>
      <c r="V36" s="439"/>
      <c r="W36" s="424"/>
      <c r="X36" s="425"/>
      <c r="Y36" s="533"/>
      <c r="Z36" s="706">
        <v>20.466983649799513</v>
      </c>
      <c r="AA36" s="425">
        <v>21.540570030000101</v>
      </c>
      <c r="AB36" s="439">
        <f>IF(Z36=0, "    ---- ", IF(ABS(ROUND(100/Z36*AA36-100,1))&lt;999,ROUND(100/Z36*AA36-100,1),IF(ROUND(100/Z36*AA36-100,1)&gt;999,999,-999)))</f>
        <v>5.2</v>
      </c>
      <c r="AC36" s="425"/>
      <c r="AD36" s="425"/>
      <c r="AE36" s="425"/>
      <c r="AF36" s="537">
        <f>B36+E36+H36+K36+N36+Q36+T36+W36+Z36</f>
        <v>80.791733217031322</v>
      </c>
      <c r="AG36" s="537">
        <f>C36+F36+I36+L36+O36+R36+U36+X36+AA36</f>
        <v>98.778156669663389</v>
      </c>
      <c r="AH36" s="439">
        <f t="shared" si="6"/>
        <v>22.3</v>
      </c>
      <c r="AI36" s="537">
        <f t="shared" ref="AI36:AJ36" si="9">+B36+E36+H36+K36+N36+Q36+T36+W36+Z36+AC36</f>
        <v>80.791733217031322</v>
      </c>
      <c r="AJ36" s="537">
        <f t="shared" si="9"/>
        <v>98.778156669663389</v>
      </c>
      <c r="AK36" s="439">
        <f t="shared" si="8"/>
        <v>22.3</v>
      </c>
    </row>
    <row r="37" spans="1:38" s="385" customFormat="1" ht="18.75" customHeight="1" x14ac:dyDescent="0.3">
      <c r="A37" s="411" t="s">
        <v>493</v>
      </c>
      <c r="B37" s="424"/>
      <c r="C37" s="708"/>
      <c r="D37" s="533"/>
      <c r="E37" s="424"/>
      <c r="F37" s="390"/>
      <c r="G37" s="439"/>
      <c r="H37" s="424"/>
      <c r="I37" s="390"/>
      <c r="J37" s="439"/>
      <c r="K37" s="424"/>
      <c r="L37" s="390"/>
      <c r="M37" s="425"/>
      <c r="N37" s="425"/>
      <c r="O37" s="76"/>
      <c r="P37" s="439"/>
      <c r="Q37" s="424"/>
      <c r="R37" s="390"/>
      <c r="S37" s="533"/>
      <c r="T37" s="425"/>
      <c r="U37" s="76"/>
      <c r="V37" s="439"/>
      <c r="W37" s="424"/>
      <c r="X37" s="390"/>
      <c r="Y37" s="533"/>
      <c r="Z37" s="706"/>
      <c r="AA37" s="390"/>
      <c r="AB37" s="439"/>
      <c r="AC37" s="425"/>
      <c r="AD37" s="76"/>
      <c r="AE37" s="425"/>
      <c r="AF37" s="537">
        <f>B37+E37+H37+K37+N37+Q37+T37+W37+Z37</f>
        <v>0</v>
      </c>
      <c r="AG37" s="537">
        <f>C37+F37+I37+L37+O37+R37+U37+X37+AA37</f>
        <v>0</v>
      </c>
      <c r="AH37" s="439" t="str">
        <f t="shared" ref="AH37" si="10">IF(AF37=0, "    ---- ", IF(ABS(ROUND(100/AF37*AG37-100,1))&lt;999,ROUND(100/AF37*AG37-100,1),IF(ROUND(100/AF37*AG37-100,1)&gt;999,999,-999)))</f>
        <v xml:space="preserve">    ---- </v>
      </c>
      <c r="AI37" s="537">
        <f t="shared" ref="AI37" si="11">+B37+E37+H37+K37+N37+Q37+T37+W37+Z37+AC37</f>
        <v>0</v>
      </c>
      <c r="AJ37" s="537">
        <f t="shared" ref="AJ37" si="12">+C37+F37+I37+L37+O37+R37+U37+X37+AA37+AD37</f>
        <v>0</v>
      </c>
      <c r="AK37" s="439" t="str">
        <f t="shared" ref="AK37" si="13">IF(AI37=0, "    ---- ", IF(ABS(ROUND(100/AI37*AJ37-100,1))&lt;999,ROUND(100/AI37*AJ37-100,1),IF(ROUND(100/AI37*AJ37-100,1)&gt;999,999,-999)))</f>
        <v xml:space="preserve">    ---- </v>
      </c>
    </row>
    <row r="38" spans="1:38" s="385" customFormat="1" ht="18.75" customHeight="1" x14ac:dyDescent="0.3">
      <c r="A38" s="411" t="s">
        <v>324</v>
      </c>
      <c r="B38" s="424"/>
      <c r="C38" s="708"/>
      <c r="D38" s="533"/>
      <c r="E38" s="424">
        <v>62.558934179999888</v>
      </c>
      <c r="F38" s="425">
        <v>69.424194319999756</v>
      </c>
      <c r="G38" s="439">
        <f>IF(E38=0, "    ---- ", IF(ABS(ROUND(100/E38*F38-100,1))&lt;999,ROUND(100/E38*F38-100,1),IF(ROUND(100/E38*F38-100,1)&gt;999,999,-999)))</f>
        <v>11</v>
      </c>
      <c r="H38" s="424">
        <v>-7.0510000000000002</v>
      </c>
      <c r="I38" s="425">
        <v>-8.4890000000000008</v>
      </c>
      <c r="J38" s="439">
        <f>IF(H38=0, "    ---- ", IF(ABS(ROUND(100/H38*I38-100,1))&lt;999,ROUND(100/H38*I38-100,1),IF(ROUND(100/H38*I38-100,1)&gt;999,999,-999)))</f>
        <v>20.399999999999999</v>
      </c>
      <c r="K38" s="424"/>
      <c r="L38" s="425"/>
      <c r="M38" s="425"/>
      <c r="N38" s="425"/>
      <c r="O38" s="425"/>
      <c r="P38" s="439"/>
      <c r="Q38" s="424">
        <v>19.430766506406187</v>
      </c>
      <c r="R38" s="425">
        <v>16.401563892643377</v>
      </c>
      <c r="S38" s="533">
        <f t="shared" si="0"/>
        <v>-15.6</v>
      </c>
      <c r="T38" s="425"/>
      <c r="U38" s="425"/>
      <c r="V38" s="439"/>
      <c r="W38" s="424"/>
      <c r="X38" s="425"/>
      <c r="Y38" s="533"/>
      <c r="Z38" s="706">
        <v>-24.80458742771701</v>
      </c>
      <c r="AA38" s="425">
        <v>7.3897014800000296</v>
      </c>
      <c r="AB38" s="439">
        <f>IF(Z38=0, "    ---- ", IF(ABS(ROUND(100/Z38*AA38-100,1))&lt;999,ROUND(100/Z38*AA38-100,1),IF(ROUND(100/Z38*AA38-100,1)&gt;999,999,-999)))</f>
        <v>-129.80000000000001</v>
      </c>
      <c r="AC38" s="425"/>
      <c r="AD38" s="425"/>
      <c r="AE38" s="425"/>
      <c r="AF38" s="537">
        <f t="shared" ref="AF38:AG48" si="14">B38+E38+H38+K38+N38+Q38+T38+W38+Z38</f>
        <v>50.134113258689055</v>
      </c>
      <c r="AG38" s="537">
        <f t="shared" si="14"/>
        <v>84.726459692643161</v>
      </c>
      <c r="AH38" s="439">
        <f t="shared" si="6"/>
        <v>69</v>
      </c>
      <c r="AI38" s="537">
        <f t="shared" ref="AI38:AJ46" si="15">+B38+E38+H38+K38+N38+Q38+T38+W38+Z38+AC38</f>
        <v>50.134113258689055</v>
      </c>
      <c r="AJ38" s="537">
        <f t="shared" si="15"/>
        <v>84.726459692643161</v>
      </c>
      <c r="AK38" s="439">
        <f t="shared" si="8"/>
        <v>69</v>
      </c>
    </row>
    <row r="39" spans="1:38" s="385" customFormat="1" ht="18.75" customHeight="1" x14ac:dyDescent="0.3">
      <c r="A39" s="411" t="s">
        <v>325</v>
      </c>
      <c r="B39" s="424"/>
      <c r="C39" s="708"/>
      <c r="D39" s="533"/>
      <c r="E39" s="424"/>
      <c r="F39" s="425"/>
      <c r="G39" s="439"/>
      <c r="H39" s="424"/>
      <c r="I39" s="425"/>
      <c r="J39" s="439"/>
      <c r="K39" s="424"/>
      <c r="L39" s="425"/>
      <c r="M39" s="425"/>
      <c r="N39" s="425"/>
      <c r="O39" s="425"/>
      <c r="P39" s="439"/>
      <c r="Q39" s="424"/>
      <c r="R39" s="425"/>
      <c r="S39" s="533"/>
      <c r="T39" s="425"/>
      <c r="U39" s="425"/>
      <c r="V39" s="439"/>
      <c r="W39" s="424"/>
      <c r="X39" s="425"/>
      <c r="Y39" s="533"/>
      <c r="Z39" s="706"/>
      <c r="AA39" s="425"/>
      <c r="AB39" s="439"/>
      <c r="AC39" s="425"/>
      <c r="AD39" s="425"/>
      <c r="AE39" s="425"/>
      <c r="AF39" s="537">
        <f t="shared" si="14"/>
        <v>0</v>
      </c>
      <c r="AG39" s="537">
        <f t="shared" si="14"/>
        <v>0</v>
      </c>
      <c r="AH39" s="439" t="str">
        <f t="shared" si="6"/>
        <v xml:space="preserve">    ---- </v>
      </c>
      <c r="AI39" s="537">
        <f t="shared" si="15"/>
        <v>0</v>
      </c>
      <c r="AJ39" s="537">
        <f t="shared" si="15"/>
        <v>0</v>
      </c>
      <c r="AK39" s="439" t="str">
        <f t="shared" si="8"/>
        <v xml:space="preserve">    ---- </v>
      </c>
    </row>
    <row r="40" spans="1:38" s="385" customFormat="1" ht="18.75" customHeight="1" x14ac:dyDescent="0.3">
      <c r="A40" s="411" t="s">
        <v>326</v>
      </c>
      <c r="B40" s="424"/>
      <c r="C40" s="708"/>
      <c r="D40" s="533"/>
      <c r="E40" s="424"/>
      <c r="F40" s="425"/>
      <c r="G40" s="439"/>
      <c r="H40" s="424"/>
      <c r="I40" s="425"/>
      <c r="J40" s="439"/>
      <c r="K40" s="424"/>
      <c r="L40" s="425"/>
      <c r="M40" s="425"/>
      <c r="N40" s="425"/>
      <c r="O40" s="425"/>
      <c r="P40" s="439"/>
      <c r="Q40" s="424"/>
      <c r="R40" s="425"/>
      <c r="S40" s="533"/>
      <c r="T40" s="425"/>
      <c r="U40" s="425"/>
      <c r="V40" s="439"/>
      <c r="W40" s="424"/>
      <c r="X40" s="425"/>
      <c r="Y40" s="533"/>
      <c r="Z40" s="706"/>
      <c r="AA40" s="425"/>
      <c r="AB40" s="439"/>
      <c r="AC40" s="425"/>
      <c r="AD40" s="425"/>
      <c r="AE40" s="425"/>
      <c r="AF40" s="537">
        <f t="shared" si="14"/>
        <v>0</v>
      </c>
      <c r="AG40" s="537">
        <f t="shared" si="14"/>
        <v>0</v>
      </c>
      <c r="AH40" s="439" t="str">
        <f t="shared" si="6"/>
        <v xml:space="preserve">    ---- </v>
      </c>
      <c r="AI40" s="537">
        <f t="shared" si="15"/>
        <v>0</v>
      </c>
      <c r="AJ40" s="537">
        <f t="shared" si="15"/>
        <v>0</v>
      </c>
      <c r="AK40" s="439" t="str">
        <f t="shared" si="8"/>
        <v xml:space="preserve">    ---- </v>
      </c>
    </row>
    <row r="41" spans="1:38" s="385" customFormat="1" ht="18.75" customHeight="1" x14ac:dyDescent="0.3">
      <c r="A41" s="411" t="s">
        <v>327</v>
      </c>
      <c r="B41" s="424"/>
      <c r="C41" s="708"/>
      <c r="D41" s="533"/>
      <c r="E41" s="424">
        <v>506.30520227999983</v>
      </c>
      <c r="F41" s="425">
        <v>570.87628996000035</v>
      </c>
      <c r="G41" s="439">
        <f>IF(E41=0, "    ---- ", IF(ABS(ROUND(100/E41*F41-100,1))&lt;999,ROUND(100/E41*F41-100,1),IF(ROUND(100/E41*F41-100,1)&gt;999,999,-999)))</f>
        <v>12.8</v>
      </c>
      <c r="H41" s="424">
        <v>95.864000000000004</v>
      </c>
      <c r="I41" s="425">
        <v>121.575</v>
      </c>
      <c r="J41" s="439">
        <f>IF(H41=0, "    ---- ", IF(ABS(ROUND(100/H41*I41-100,1))&lt;999,ROUND(100/H41*I41-100,1),IF(ROUND(100/H41*I41-100,1)&gt;999,999,-999)))</f>
        <v>26.8</v>
      </c>
      <c r="K41" s="424"/>
      <c r="L41" s="425"/>
      <c r="M41" s="425"/>
      <c r="N41" s="425"/>
      <c r="O41" s="425"/>
      <c r="P41" s="439"/>
      <c r="Q41" s="424">
        <v>208.13081211810646</v>
      </c>
      <c r="R41" s="425">
        <v>227.90617442791432</v>
      </c>
      <c r="S41" s="533">
        <f t="shared" si="0"/>
        <v>9.5</v>
      </c>
      <c r="T41" s="425"/>
      <c r="U41" s="425"/>
      <c r="V41" s="439"/>
      <c r="W41" s="424"/>
      <c r="X41" s="425"/>
      <c r="Y41" s="533"/>
      <c r="Z41" s="706">
        <v>244.61931861999977</v>
      </c>
      <c r="AA41" s="425">
        <v>282.36765749</v>
      </c>
      <c r="AB41" s="439">
        <f>IF(Z41=0, "    ---- ", IF(ABS(ROUND(100/Z41*AA41-100,1))&lt;999,ROUND(100/Z41*AA41-100,1),IF(ROUND(100/Z41*AA41-100,1)&gt;999,999,-999)))</f>
        <v>15.4</v>
      </c>
      <c r="AC41" s="425"/>
      <c r="AD41" s="425"/>
      <c r="AE41" s="425"/>
      <c r="AF41" s="537">
        <f t="shared" si="14"/>
        <v>1054.919333018106</v>
      </c>
      <c r="AG41" s="537">
        <f t="shared" si="14"/>
        <v>1202.7251218779147</v>
      </c>
      <c r="AH41" s="439">
        <f t="shared" si="6"/>
        <v>14</v>
      </c>
      <c r="AI41" s="537">
        <f t="shared" si="15"/>
        <v>1054.919333018106</v>
      </c>
      <c r="AJ41" s="537">
        <f t="shared" si="15"/>
        <v>1202.7251218779147</v>
      </c>
      <c r="AK41" s="439">
        <f t="shared" si="8"/>
        <v>14</v>
      </c>
    </row>
    <row r="42" spans="1:38" s="385" customFormat="1" ht="18.75" customHeight="1" x14ac:dyDescent="0.3">
      <c r="A42" s="411" t="s">
        <v>328</v>
      </c>
      <c r="B42" s="424"/>
      <c r="C42" s="708"/>
      <c r="D42" s="533"/>
      <c r="E42" s="424"/>
      <c r="F42" s="425"/>
      <c r="G42" s="439"/>
      <c r="H42" s="424"/>
      <c r="I42" s="425"/>
      <c r="J42" s="439"/>
      <c r="K42" s="424"/>
      <c r="L42" s="425"/>
      <c r="M42" s="425"/>
      <c r="N42" s="425"/>
      <c r="O42" s="425"/>
      <c r="P42" s="439"/>
      <c r="Q42" s="424"/>
      <c r="R42" s="425"/>
      <c r="S42" s="533"/>
      <c r="T42" s="425"/>
      <c r="U42" s="425"/>
      <c r="V42" s="439"/>
      <c r="W42" s="424"/>
      <c r="X42" s="425"/>
      <c r="Y42" s="533"/>
      <c r="Z42" s="706"/>
      <c r="AA42" s="425"/>
      <c r="AB42" s="439"/>
      <c r="AC42" s="425"/>
      <c r="AD42" s="425"/>
      <c r="AE42" s="425"/>
      <c r="AF42" s="537">
        <f t="shared" si="14"/>
        <v>0</v>
      </c>
      <c r="AG42" s="537">
        <f t="shared" si="14"/>
        <v>0</v>
      </c>
      <c r="AH42" s="439" t="str">
        <f t="shared" si="6"/>
        <v xml:space="preserve">    ---- </v>
      </c>
      <c r="AI42" s="537">
        <f t="shared" si="15"/>
        <v>0</v>
      </c>
      <c r="AJ42" s="537">
        <f t="shared" si="15"/>
        <v>0</v>
      </c>
      <c r="AK42" s="439" t="str">
        <f t="shared" si="8"/>
        <v xml:space="preserve">    ---- </v>
      </c>
    </row>
    <row r="43" spans="1:38" s="385" customFormat="1" ht="18.75" customHeight="1" x14ac:dyDescent="0.3">
      <c r="A43" s="411" t="s">
        <v>329</v>
      </c>
      <c r="B43" s="424"/>
      <c r="C43" s="708"/>
      <c r="D43" s="533"/>
      <c r="E43" s="424"/>
      <c r="F43" s="425"/>
      <c r="G43" s="439"/>
      <c r="H43" s="424">
        <v>0.17599999999999999</v>
      </c>
      <c r="I43" s="425"/>
      <c r="J43" s="439">
        <f>IF(H43=0, "    ---- ", IF(ABS(ROUND(100/H43*I43-100,1))&lt;999,ROUND(100/H43*I43-100,1),IF(ROUND(100/H43*I43-100,1)&gt;999,999,-999)))</f>
        <v>-100</v>
      </c>
      <c r="K43" s="424"/>
      <c r="L43" s="425"/>
      <c r="M43" s="425"/>
      <c r="N43" s="425"/>
      <c r="O43" s="425"/>
      <c r="P43" s="439"/>
      <c r="Q43" s="424"/>
      <c r="R43" s="425"/>
      <c r="S43" s="533"/>
      <c r="T43" s="425"/>
      <c r="U43" s="425"/>
      <c r="V43" s="439"/>
      <c r="W43" s="424"/>
      <c r="X43" s="425"/>
      <c r="Y43" s="533"/>
      <c r="Z43" s="706"/>
      <c r="AA43" s="425"/>
      <c r="AB43" s="439"/>
      <c r="AC43" s="425"/>
      <c r="AD43" s="425"/>
      <c r="AE43" s="425"/>
      <c r="AF43" s="537">
        <f t="shared" si="14"/>
        <v>0.17599999999999999</v>
      </c>
      <c r="AG43" s="537">
        <f t="shared" si="14"/>
        <v>0</v>
      </c>
      <c r="AH43" s="439">
        <f t="shared" si="6"/>
        <v>-100</v>
      </c>
      <c r="AI43" s="537">
        <f t="shared" si="15"/>
        <v>0.17599999999999999</v>
      </c>
      <c r="AJ43" s="537">
        <f t="shared" si="15"/>
        <v>0</v>
      </c>
      <c r="AK43" s="439">
        <f t="shared" si="8"/>
        <v>-100</v>
      </c>
    </row>
    <row r="44" spans="1:38" s="521" customFormat="1" ht="18.75" customHeight="1" x14ac:dyDescent="0.3">
      <c r="A44" s="528" t="s">
        <v>330</v>
      </c>
      <c r="B44" s="422"/>
      <c r="C44" s="723"/>
      <c r="D44" s="532"/>
      <c r="E44" s="422">
        <f>SUM(E36:E41)+E43</f>
        <v>591.94087469999977</v>
      </c>
      <c r="F44" s="423">
        <f>SUM(F36:F41)+F43</f>
        <v>690.89892101000009</v>
      </c>
      <c r="G44" s="440">
        <f>IF(E44=0, "    ---- ", IF(ABS(ROUND(100/E44*F44-100,1))&lt;999,ROUND(100/E44*F44-100,1),IF(ROUND(100/E44*F44-100,1)&gt;999,999,-999)))</f>
        <v>16.7</v>
      </c>
      <c r="H44" s="422">
        <f>SUM(H36:H41)+H43</f>
        <v>120.67300000000002</v>
      </c>
      <c r="I44" s="423">
        <f>SUM(I36:I41)+I43</f>
        <v>129.584</v>
      </c>
      <c r="J44" s="440">
        <f>IF(H44=0, "    ---- ", IF(ABS(ROUND(100/H44*I44-100,1))&lt;999,ROUND(100/H44*I44-100,1),IF(ROUND(100/H44*I44-100,1)&gt;999,999,-999)))</f>
        <v>7.4</v>
      </c>
      <c r="K44" s="422"/>
      <c r="L44" s="423"/>
      <c r="M44" s="423"/>
      <c r="N44" s="423"/>
      <c r="O44" s="423"/>
      <c r="P44" s="440"/>
      <c r="Q44" s="422">
        <f>SUM(Q36:Q41)+Q43</f>
        <v>233.12558995174444</v>
      </c>
      <c r="R44" s="423">
        <f>SUM(R36:R41)+R43</f>
        <v>254.448888230221</v>
      </c>
      <c r="S44" s="532">
        <f t="shared" si="0"/>
        <v>9.1</v>
      </c>
      <c r="T44" s="423"/>
      <c r="U44" s="423"/>
      <c r="V44" s="440"/>
      <c r="W44" s="422"/>
      <c r="X44" s="423"/>
      <c r="Y44" s="532"/>
      <c r="Z44" s="707">
        <f>SUM(Z36:Z41)+Z43</f>
        <v>240.28171484208227</v>
      </c>
      <c r="AA44" s="423">
        <f>SUM(AA36:AA41)+AA43</f>
        <v>311.29792900000012</v>
      </c>
      <c r="AB44" s="440">
        <f>IF(Z44=0, "    ---- ", IF(ABS(ROUND(100/Z44*AA44-100,1))&lt;999,ROUND(100/Z44*AA44-100,1),IF(ROUND(100/Z44*AA44-100,1)&gt;999,999,-999)))</f>
        <v>29.6</v>
      </c>
      <c r="AC44" s="423"/>
      <c r="AD44" s="423"/>
      <c r="AE44" s="423"/>
      <c r="AF44" s="538">
        <f t="shared" si="14"/>
        <v>1186.0211794938266</v>
      </c>
      <c r="AG44" s="538">
        <f t="shared" si="14"/>
        <v>1386.2297382402212</v>
      </c>
      <c r="AH44" s="440">
        <f t="shared" si="6"/>
        <v>16.899999999999999</v>
      </c>
      <c r="AI44" s="538">
        <f t="shared" si="15"/>
        <v>1186.0211794938266</v>
      </c>
      <c r="AJ44" s="538">
        <f t="shared" si="15"/>
        <v>1386.2297382402212</v>
      </c>
      <c r="AK44" s="440">
        <f t="shared" si="8"/>
        <v>16.899999999999999</v>
      </c>
    </row>
    <row r="45" spans="1:38" s="385" customFormat="1" ht="18.75" customHeight="1" x14ac:dyDescent="0.3">
      <c r="A45" s="411" t="s">
        <v>331</v>
      </c>
      <c r="B45" s="424"/>
      <c r="C45" s="708"/>
      <c r="D45" s="533"/>
      <c r="E45" s="424"/>
      <c r="F45" s="425"/>
      <c r="G45" s="439"/>
      <c r="H45" s="424"/>
      <c r="I45" s="425"/>
      <c r="J45" s="439"/>
      <c r="K45" s="424"/>
      <c r="L45" s="425"/>
      <c r="M45" s="425"/>
      <c r="N45" s="425"/>
      <c r="O45" s="425"/>
      <c r="P45" s="439"/>
      <c r="Q45" s="424"/>
      <c r="R45" s="425"/>
      <c r="S45" s="533"/>
      <c r="T45" s="425"/>
      <c r="U45" s="425"/>
      <c r="V45" s="439"/>
      <c r="W45" s="424"/>
      <c r="X45" s="425"/>
      <c r="Y45" s="533"/>
      <c r="Z45" s="706"/>
      <c r="AA45" s="425"/>
      <c r="AB45" s="439"/>
      <c r="AC45" s="425"/>
      <c r="AD45" s="425"/>
      <c r="AE45" s="425"/>
      <c r="AF45" s="537">
        <f t="shared" si="14"/>
        <v>0</v>
      </c>
      <c r="AG45" s="537">
        <f t="shared" si="14"/>
        <v>0</v>
      </c>
      <c r="AH45" s="439" t="str">
        <f t="shared" si="6"/>
        <v xml:space="preserve">    ---- </v>
      </c>
      <c r="AI45" s="537">
        <f t="shared" si="15"/>
        <v>0</v>
      </c>
      <c r="AJ45" s="537">
        <f t="shared" si="15"/>
        <v>0</v>
      </c>
      <c r="AK45" s="439" t="str">
        <f t="shared" si="8"/>
        <v xml:space="preserve">    ---- </v>
      </c>
    </row>
    <row r="46" spans="1:38" s="385" customFormat="1" ht="18.75" customHeight="1" x14ac:dyDescent="0.3">
      <c r="A46" s="411" t="s">
        <v>332</v>
      </c>
      <c r="B46" s="424"/>
      <c r="C46" s="708"/>
      <c r="D46" s="533"/>
      <c r="E46" s="424">
        <v>591.94087469999977</v>
      </c>
      <c r="F46" s="425">
        <v>690.89892101000021</v>
      </c>
      <c r="G46" s="439">
        <f>IF(E46=0, "    ---- ", IF(ABS(ROUND(100/E46*F46-100,1))&lt;999,ROUND(100/E46*F46-100,1),IF(ROUND(100/E46*F46-100,1)&gt;999,999,-999)))</f>
        <v>16.7</v>
      </c>
      <c r="H46" s="424">
        <v>120.673</v>
      </c>
      <c r="I46" s="425">
        <v>129.85400000000001</v>
      </c>
      <c r="J46" s="439">
        <f>IF(H46=0, "    ---- ", IF(ABS(ROUND(100/H46*I46-100,1))&lt;999,ROUND(100/H46*I46-100,1),IF(ROUND(100/H46*I46-100,1)&gt;999,999,-999)))</f>
        <v>7.6</v>
      </c>
      <c r="K46" s="424"/>
      <c r="L46" s="425"/>
      <c r="M46" s="425"/>
      <c r="N46" s="425"/>
      <c r="O46" s="425"/>
      <c r="P46" s="439"/>
      <c r="Q46" s="424">
        <v>233.12558995174444</v>
      </c>
      <c r="R46" s="425">
        <v>254.448888230221</v>
      </c>
      <c r="S46" s="533">
        <f t="shared" si="0"/>
        <v>9.1</v>
      </c>
      <c r="T46" s="425"/>
      <c r="U46" s="425"/>
      <c r="V46" s="439"/>
      <c r="W46" s="424"/>
      <c r="X46" s="425"/>
      <c r="Y46" s="533"/>
      <c r="Z46" s="706">
        <v>240.28171484208224</v>
      </c>
      <c r="AA46" s="425">
        <v>311.29792900000001</v>
      </c>
      <c r="AB46" s="439">
        <f>IF(Z46=0, "    ---- ", IF(ABS(ROUND(100/Z46*AA46-100,1))&lt;999,ROUND(100/Z46*AA46-100,1),IF(ROUND(100/Z46*AA46-100,1)&gt;999,999,-999)))</f>
        <v>29.6</v>
      </c>
      <c r="AC46" s="425"/>
      <c r="AD46" s="425"/>
      <c r="AE46" s="425"/>
      <c r="AF46" s="537">
        <f t="shared" si="14"/>
        <v>1186.0211794938264</v>
      </c>
      <c r="AG46" s="537">
        <f t="shared" si="14"/>
        <v>1386.4997382402214</v>
      </c>
      <c r="AH46" s="439">
        <f t="shared" si="6"/>
        <v>16.899999999999999</v>
      </c>
      <c r="AI46" s="537">
        <f t="shared" si="15"/>
        <v>1186.0211794938264</v>
      </c>
      <c r="AJ46" s="537">
        <f t="shared" si="15"/>
        <v>1386.4997382402214</v>
      </c>
      <c r="AK46" s="439">
        <f t="shared" si="8"/>
        <v>16.899999999999999</v>
      </c>
      <c r="AL46" s="521"/>
    </row>
    <row r="47" spans="1:38" s="521" customFormat="1" ht="18.75" customHeight="1" x14ac:dyDescent="0.3">
      <c r="A47" s="528" t="s">
        <v>335</v>
      </c>
      <c r="B47" s="422"/>
      <c r="C47" s="723"/>
      <c r="D47" s="532"/>
      <c r="E47" s="422"/>
      <c r="F47" s="423"/>
      <c r="G47" s="440"/>
      <c r="H47" s="422"/>
      <c r="I47" s="423"/>
      <c r="J47" s="440"/>
      <c r="K47" s="422"/>
      <c r="L47" s="423"/>
      <c r="M47" s="423"/>
      <c r="N47" s="423"/>
      <c r="O47" s="423"/>
      <c r="P47" s="440"/>
      <c r="Q47" s="422"/>
      <c r="R47" s="423"/>
      <c r="S47" s="532"/>
      <c r="T47" s="423"/>
      <c r="U47" s="423"/>
      <c r="V47" s="440"/>
      <c r="W47" s="422"/>
      <c r="X47" s="423"/>
      <c r="Y47" s="532"/>
      <c r="Z47" s="707"/>
      <c r="AA47" s="423"/>
      <c r="AB47" s="440"/>
      <c r="AC47" s="423"/>
      <c r="AD47" s="423"/>
      <c r="AE47" s="423"/>
      <c r="AF47" s="537">
        <f t="shared" si="14"/>
        <v>0</v>
      </c>
      <c r="AG47" s="537">
        <f t="shared" si="14"/>
        <v>0</v>
      </c>
      <c r="AH47" s="440"/>
      <c r="AI47" s="537"/>
      <c r="AJ47" s="537"/>
      <c r="AK47" s="440"/>
    </row>
    <row r="48" spans="1:38" s="385" customFormat="1" ht="18.75" x14ac:dyDescent="0.3">
      <c r="A48" s="760" t="s">
        <v>494</v>
      </c>
      <c r="B48" s="424">
        <v>1070</v>
      </c>
      <c r="C48" s="708">
        <v>1437.4559999999999</v>
      </c>
      <c r="D48" s="533">
        <f>IF(B48=0, "    ---- ", IF(ABS(ROUND(100/B48*C48-100,1))&lt;999,ROUND(100/B48*C48-100,1),IF(ROUND(100/B48*C48-100,1)&gt;999,999,-999)))</f>
        <v>34.299999999999997</v>
      </c>
      <c r="E48" s="424"/>
      <c r="F48" s="425"/>
      <c r="G48" s="439"/>
      <c r="H48" s="424"/>
      <c r="I48" s="425"/>
      <c r="J48" s="439"/>
      <c r="K48" s="424"/>
      <c r="L48" s="425"/>
      <c r="M48" s="425"/>
      <c r="N48" s="425"/>
      <c r="O48" s="425"/>
      <c r="P48" s="439"/>
      <c r="Q48" s="424"/>
      <c r="R48" s="425">
        <v>0.51749014913606872</v>
      </c>
      <c r="S48" s="533" t="str">
        <f t="shared" si="0"/>
        <v xml:space="preserve">    ---- </v>
      </c>
      <c r="T48" s="425"/>
      <c r="U48" s="425"/>
      <c r="V48" s="439"/>
      <c r="W48" s="424"/>
      <c r="X48" s="425"/>
      <c r="Y48" s="533"/>
      <c r="Z48" s="706"/>
      <c r="AA48" s="425">
        <v>0.16274656000041399</v>
      </c>
      <c r="AB48" s="439" t="str">
        <f>IF(Z48=0, "    ---- ", IF(ABS(ROUND(100/Z48*AA48-100,1))&lt;999,ROUND(100/Z48*AA48-100,1),IF(ROUND(100/Z48*AA48-100,1)&gt;999,999,-999)))</f>
        <v xml:space="preserve">    ---- </v>
      </c>
      <c r="AC48" s="425"/>
      <c r="AD48" s="425"/>
      <c r="AE48" s="425"/>
      <c r="AF48" s="537">
        <f t="shared" si="14"/>
        <v>1070</v>
      </c>
      <c r="AG48" s="537">
        <f t="shared" si="14"/>
        <v>1438.1362367091365</v>
      </c>
      <c r="AH48" s="439">
        <f t="shared" si="6"/>
        <v>34.4</v>
      </c>
      <c r="AI48" s="537">
        <f t="shared" ref="AI48:AJ49" si="16">+B48+E48+H48+K48+N48+Q48+T48+W48+Z48+AC48</f>
        <v>1070</v>
      </c>
      <c r="AJ48" s="537">
        <f t="shared" si="16"/>
        <v>1438.1362367091365</v>
      </c>
      <c r="AK48" s="439">
        <f t="shared" si="8"/>
        <v>34.4</v>
      </c>
    </row>
    <row r="49" spans="1:37" s="385" customFormat="1" ht="18.75" customHeight="1" x14ac:dyDescent="0.3">
      <c r="A49" s="411" t="s">
        <v>493</v>
      </c>
      <c r="B49" s="424"/>
      <c r="C49" s="714"/>
      <c r="D49" s="533"/>
      <c r="E49" s="424"/>
      <c r="F49" s="390"/>
      <c r="G49" s="439"/>
      <c r="H49" s="424"/>
      <c r="I49" s="390"/>
      <c r="J49" s="439"/>
      <c r="K49" s="424"/>
      <c r="L49" s="390"/>
      <c r="M49" s="425"/>
      <c r="N49" s="425"/>
      <c r="O49" s="76"/>
      <c r="P49" s="439"/>
      <c r="Q49" s="424"/>
      <c r="R49" s="390"/>
      <c r="S49" s="533"/>
      <c r="T49" s="425"/>
      <c r="U49" s="76"/>
      <c r="V49" s="439"/>
      <c r="W49" s="424"/>
      <c r="X49" s="390"/>
      <c r="Y49" s="533"/>
      <c r="Z49" s="706"/>
      <c r="AA49" s="390"/>
      <c r="AB49" s="439"/>
      <c r="AC49" s="425"/>
      <c r="AD49" s="76"/>
      <c r="AE49" s="425"/>
      <c r="AF49" s="537">
        <f>B49+E49+H49+K49+N49+Q49+T49+W49+Z49</f>
        <v>0</v>
      </c>
      <c r="AG49" s="537">
        <f>C49+F49+I49+L49+O49+R49+U49+X49+AA49</f>
        <v>0</v>
      </c>
      <c r="AH49" s="439" t="str">
        <f t="shared" ref="AH49" si="17">IF(AF49=0, "    ---- ", IF(ABS(ROUND(100/AF49*AG49-100,1))&lt;999,ROUND(100/AF49*AG49-100,1),IF(ROUND(100/AF49*AG49-100,1)&gt;999,999,-999)))</f>
        <v xml:space="preserve">    ---- </v>
      </c>
      <c r="AI49" s="537">
        <f t="shared" si="16"/>
        <v>0</v>
      </c>
      <c r="AJ49" s="537">
        <f t="shared" si="16"/>
        <v>0</v>
      </c>
      <c r="AK49" s="439" t="str">
        <f t="shared" ref="AK49" si="18">IF(AI49=0, "    ---- ", IF(ABS(ROUND(100/AI49*AJ49-100,1))&lt;999,ROUND(100/AI49*AJ49-100,1),IF(ROUND(100/AI49*AJ49-100,1)&gt;999,999,-999)))</f>
        <v xml:space="preserve">    ---- </v>
      </c>
    </row>
    <row r="50" spans="1:37" s="385" customFormat="1" ht="18.75" customHeight="1" x14ac:dyDescent="0.3">
      <c r="A50" s="411" t="s">
        <v>324</v>
      </c>
      <c r="B50" s="424">
        <v>14</v>
      </c>
      <c r="C50" s="708">
        <v>20.642900000000001</v>
      </c>
      <c r="D50" s="533">
        <f>IF(B50=0, "    ---- ", IF(ABS(ROUND(100/B50*C50-100,1))&lt;999,ROUND(100/B50*C50-100,1),IF(ROUND(100/B50*C50-100,1)&gt;999,999,-999)))</f>
        <v>47.4</v>
      </c>
      <c r="E50" s="424"/>
      <c r="F50" s="425"/>
      <c r="G50" s="439"/>
      <c r="H50" s="424"/>
      <c r="I50" s="425"/>
      <c r="J50" s="439"/>
      <c r="K50" s="424"/>
      <c r="L50" s="425"/>
      <c r="M50" s="425"/>
      <c r="N50" s="425"/>
      <c r="O50" s="425"/>
      <c r="P50" s="439"/>
      <c r="Q50" s="424">
        <v>277.03598605637126</v>
      </c>
      <c r="R50" s="425">
        <v>369.8058327373983</v>
      </c>
      <c r="S50" s="533">
        <f t="shared" si="0"/>
        <v>33.5</v>
      </c>
      <c r="T50" s="425"/>
      <c r="U50" s="425"/>
      <c r="V50" s="439"/>
      <c r="W50" s="424">
        <v>-10</v>
      </c>
      <c r="X50" s="425">
        <v>-6</v>
      </c>
      <c r="Y50" s="533">
        <f>IF(W50=0, "    ---- ", IF(ABS(ROUND(100/W50*X50-100,1))&lt;999,ROUND(100/W50*X50-100,1),IF(ROUND(100/W50*X50-100,1)&gt;999,999,-999)))</f>
        <v>-40</v>
      </c>
      <c r="Z50" s="706">
        <v>28.956614097337166</v>
      </c>
      <c r="AA50" s="425">
        <v>76.038315310000002</v>
      </c>
      <c r="AB50" s="439">
        <f>IF(Z50=0, "    ---- ", IF(ABS(ROUND(100/Z50*AA50-100,1))&lt;999,ROUND(100/Z50*AA50-100,1),IF(ROUND(100/Z50*AA50-100,1)&gt;999,999,-999)))</f>
        <v>162.6</v>
      </c>
      <c r="AC50" s="425"/>
      <c r="AD50" s="425"/>
      <c r="AE50" s="425"/>
      <c r="AF50" s="537">
        <f t="shared" ref="AF50:AG58" si="19">B50+E50+H50+K50+N50+Q50+T50+W50+Z50</f>
        <v>309.99260015370839</v>
      </c>
      <c r="AG50" s="537">
        <f t="shared" si="19"/>
        <v>460.48704804739828</v>
      </c>
      <c r="AH50" s="439">
        <f t="shared" si="6"/>
        <v>48.5</v>
      </c>
      <c r="AI50" s="537">
        <f t="shared" ref="AI50:AJ58" si="20">+B50+E50+H50+K50+N50+Q50+T50+W50+Z50+AC50</f>
        <v>309.99260015370839</v>
      </c>
      <c r="AJ50" s="537">
        <f t="shared" si="20"/>
        <v>460.48704804739828</v>
      </c>
      <c r="AK50" s="439">
        <f t="shared" si="8"/>
        <v>48.5</v>
      </c>
    </row>
    <row r="51" spans="1:37" s="385" customFormat="1" ht="18.75" customHeight="1" x14ac:dyDescent="0.3">
      <c r="A51" s="411" t="s">
        <v>325</v>
      </c>
      <c r="B51" s="424"/>
      <c r="C51" s="708"/>
      <c r="D51" s="533"/>
      <c r="E51" s="424"/>
      <c r="F51" s="425"/>
      <c r="G51" s="439"/>
      <c r="H51" s="424"/>
      <c r="I51" s="425"/>
      <c r="J51" s="439"/>
      <c r="K51" s="424"/>
      <c r="L51" s="425"/>
      <c r="M51" s="425"/>
      <c r="N51" s="425"/>
      <c r="O51" s="425"/>
      <c r="P51" s="439"/>
      <c r="Q51" s="424"/>
      <c r="R51" s="425"/>
      <c r="S51" s="533"/>
      <c r="T51" s="425"/>
      <c r="U51" s="425"/>
      <c r="V51" s="439"/>
      <c r="W51" s="424"/>
      <c r="X51" s="425"/>
      <c r="Y51" s="533"/>
      <c r="Z51" s="706"/>
      <c r="AA51" s="425"/>
      <c r="AB51" s="439"/>
      <c r="AC51" s="425"/>
      <c r="AD51" s="425"/>
      <c r="AE51" s="425"/>
      <c r="AF51" s="537">
        <f t="shared" si="19"/>
        <v>0</v>
      </c>
      <c r="AG51" s="537">
        <f t="shared" si="19"/>
        <v>0</v>
      </c>
      <c r="AH51" s="439" t="str">
        <f t="shared" si="6"/>
        <v xml:space="preserve">    ---- </v>
      </c>
      <c r="AI51" s="537">
        <f t="shared" si="20"/>
        <v>0</v>
      </c>
      <c r="AJ51" s="537">
        <f t="shared" si="20"/>
        <v>0</v>
      </c>
      <c r="AK51" s="439" t="str">
        <f t="shared" si="8"/>
        <v xml:space="preserve">    ---- </v>
      </c>
    </row>
    <row r="52" spans="1:37" s="385" customFormat="1" ht="18.75" customHeight="1" x14ac:dyDescent="0.3">
      <c r="A52" s="411" t="s">
        <v>326</v>
      </c>
      <c r="B52" s="424"/>
      <c r="C52" s="708"/>
      <c r="D52" s="533"/>
      <c r="E52" s="424"/>
      <c r="F52" s="425"/>
      <c r="G52" s="439"/>
      <c r="H52" s="424"/>
      <c r="I52" s="425"/>
      <c r="J52" s="439"/>
      <c r="K52" s="424"/>
      <c r="L52" s="425"/>
      <c r="M52" s="425"/>
      <c r="N52" s="425"/>
      <c r="O52" s="425"/>
      <c r="P52" s="439"/>
      <c r="Q52" s="424"/>
      <c r="R52" s="425"/>
      <c r="S52" s="533"/>
      <c r="T52" s="425"/>
      <c r="U52" s="425"/>
      <c r="V52" s="439"/>
      <c r="W52" s="424"/>
      <c r="X52" s="425"/>
      <c r="Y52" s="533"/>
      <c r="Z52" s="706"/>
      <c r="AA52" s="425"/>
      <c r="AB52" s="439"/>
      <c r="AC52" s="425"/>
      <c r="AD52" s="425"/>
      <c r="AE52" s="425"/>
      <c r="AF52" s="537">
        <f t="shared" si="19"/>
        <v>0</v>
      </c>
      <c r="AG52" s="537">
        <f t="shared" si="19"/>
        <v>0</v>
      </c>
      <c r="AH52" s="439" t="str">
        <f t="shared" si="6"/>
        <v xml:space="preserve">    ---- </v>
      </c>
      <c r="AI52" s="537">
        <f t="shared" si="20"/>
        <v>0</v>
      </c>
      <c r="AJ52" s="537">
        <f t="shared" si="20"/>
        <v>0</v>
      </c>
      <c r="AK52" s="439" t="str">
        <f t="shared" si="8"/>
        <v xml:space="preserve">    ---- </v>
      </c>
    </row>
    <row r="53" spans="1:37" s="385" customFormat="1" ht="18.75" customHeight="1" x14ac:dyDescent="0.3">
      <c r="A53" s="411" t="s">
        <v>327</v>
      </c>
      <c r="B53" s="424">
        <v>0</v>
      </c>
      <c r="C53" s="708">
        <v>0.52280000000000004</v>
      </c>
      <c r="D53" s="533" t="str">
        <f>IF(B53=0, "    ---- ", IF(ABS(ROUND(100/B53*C53-100,1))&lt;999,ROUND(100/B53*C53-100,1),IF(ROUND(100/B53*C53-100,1)&gt;999,999,-999)))</f>
        <v xml:space="preserve">    ---- </v>
      </c>
      <c r="E53" s="424"/>
      <c r="F53" s="425"/>
      <c r="G53" s="439"/>
      <c r="H53" s="424"/>
      <c r="I53" s="425"/>
      <c r="J53" s="439"/>
      <c r="K53" s="424"/>
      <c r="L53" s="425"/>
      <c r="M53" s="425"/>
      <c r="N53" s="425"/>
      <c r="O53" s="425"/>
      <c r="P53" s="439"/>
      <c r="Q53" s="424">
        <v>8.8974699299999997</v>
      </c>
      <c r="R53" s="425">
        <v>11.401927640000004</v>
      </c>
      <c r="S53" s="533">
        <f t="shared" si="0"/>
        <v>28.1</v>
      </c>
      <c r="T53" s="425"/>
      <c r="U53" s="425"/>
      <c r="V53" s="439"/>
      <c r="W53" s="424">
        <v>1</v>
      </c>
      <c r="X53" s="425">
        <v>1</v>
      </c>
      <c r="Y53" s="533">
        <f>IF(W53=0, "    ---- ", IF(ABS(ROUND(100/W53*X53-100,1))&lt;999,ROUND(100/W53*X53-100,1),IF(ROUND(100/W53*X53-100,1)&gt;999,999,-999)))</f>
        <v>0</v>
      </c>
      <c r="Z53" s="706">
        <v>2.6576677200000001</v>
      </c>
      <c r="AA53" s="425"/>
      <c r="AB53" s="439">
        <f>IF(Z53=0, "    ---- ", IF(ABS(ROUND(100/Z53*AA53-100,1))&lt;999,ROUND(100/Z53*AA53-100,1),IF(ROUND(100/Z53*AA53-100,1)&gt;999,999,-999)))</f>
        <v>-100</v>
      </c>
      <c r="AC53" s="425"/>
      <c r="AD53" s="425"/>
      <c r="AE53" s="425"/>
      <c r="AF53" s="537">
        <f t="shared" si="19"/>
        <v>12.555137649999999</v>
      </c>
      <c r="AG53" s="537">
        <f t="shared" si="19"/>
        <v>12.924727640000004</v>
      </c>
      <c r="AH53" s="439">
        <f t="shared" si="6"/>
        <v>2.9</v>
      </c>
      <c r="AI53" s="537">
        <f t="shared" si="20"/>
        <v>12.555137649999999</v>
      </c>
      <c r="AJ53" s="537">
        <f t="shared" si="20"/>
        <v>12.924727640000004</v>
      </c>
      <c r="AK53" s="439">
        <f t="shared" si="8"/>
        <v>2.9</v>
      </c>
    </row>
    <row r="54" spans="1:37" s="385" customFormat="1" ht="18.75" customHeight="1" x14ac:dyDescent="0.3">
      <c r="A54" s="411" t="s">
        <v>328</v>
      </c>
      <c r="B54" s="424"/>
      <c r="C54" s="708"/>
      <c r="D54" s="533"/>
      <c r="E54" s="424"/>
      <c r="F54" s="425"/>
      <c r="G54" s="439"/>
      <c r="H54" s="424"/>
      <c r="I54" s="425"/>
      <c r="J54" s="439"/>
      <c r="K54" s="424"/>
      <c r="L54" s="425"/>
      <c r="M54" s="425"/>
      <c r="N54" s="425"/>
      <c r="O54" s="425"/>
      <c r="P54" s="439"/>
      <c r="Q54" s="424"/>
      <c r="R54" s="425"/>
      <c r="S54" s="533"/>
      <c r="T54" s="425"/>
      <c r="U54" s="425"/>
      <c r="V54" s="439"/>
      <c r="W54" s="424"/>
      <c r="X54" s="425"/>
      <c r="Y54" s="533"/>
      <c r="Z54" s="706"/>
      <c r="AA54" s="425"/>
      <c r="AB54" s="439"/>
      <c r="AC54" s="425"/>
      <c r="AD54" s="425"/>
      <c r="AE54" s="425"/>
      <c r="AF54" s="537">
        <f t="shared" si="19"/>
        <v>0</v>
      </c>
      <c r="AG54" s="537">
        <f t="shared" si="19"/>
        <v>0</v>
      </c>
      <c r="AH54" s="439" t="str">
        <f t="shared" si="6"/>
        <v xml:space="preserve">    ---- </v>
      </c>
      <c r="AI54" s="537">
        <f t="shared" si="20"/>
        <v>0</v>
      </c>
      <c r="AJ54" s="537">
        <f t="shared" si="20"/>
        <v>0</v>
      </c>
      <c r="AK54" s="439" t="str">
        <f t="shared" si="8"/>
        <v xml:space="preserve">    ---- </v>
      </c>
    </row>
    <row r="55" spans="1:37" s="385" customFormat="1" ht="18.75" customHeight="1" x14ac:dyDescent="0.3">
      <c r="A55" s="411" t="s">
        <v>329</v>
      </c>
      <c r="B55" s="424"/>
      <c r="C55" s="708"/>
      <c r="D55" s="533"/>
      <c r="E55" s="424"/>
      <c r="F55" s="425"/>
      <c r="G55" s="439"/>
      <c r="H55" s="424"/>
      <c r="I55" s="425"/>
      <c r="J55" s="439"/>
      <c r="K55" s="424"/>
      <c r="L55" s="425"/>
      <c r="M55" s="425"/>
      <c r="N55" s="425"/>
      <c r="O55" s="425"/>
      <c r="P55" s="439"/>
      <c r="Q55" s="424"/>
      <c r="R55" s="425"/>
      <c r="S55" s="533"/>
      <c r="T55" s="425"/>
      <c r="U55" s="425"/>
      <c r="V55" s="439"/>
      <c r="W55" s="424"/>
      <c r="X55" s="425"/>
      <c r="Y55" s="533"/>
      <c r="Z55" s="706"/>
      <c r="AA55" s="425"/>
      <c r="AB55" s="439"/>
      <c r="AC55" s="425"/>
      <c r="AD55" s="425"/>
      <c r="AE55" s="425"/>
      <c r="AF55" s="537">
        <f t="shared" si="19"/>
        <v>0</v>
      </c>
      <c r="AG55" s="537">
        <f t="shared" si="19"/>
        <v>0</v>
      </c>
      <c r="AH55" s="439" t="str">
        <f t="shared" si="6"/>
        <v xml:space="preserve">    ---- </v>
      </c>
      <c r="AI55" s="537">
        <f t="shared" si="20"/>
        <v>0</v>
      </c>
      <c r="AJ55" s="537">
        <f t="shared" si="20"/>
        <v>0</v>
      </c>
      <c r="AK55" s="439" t="str">
        <f t="shared" si="8"/>
        <v xml:space="preserve">    ---- </v>
      </c>
    </row>
    <row r="56" spans="1:37" s="521" customFormat="1" ht="18.75" customHeight="1" x14ac:dyDescent="0.3">
      <c r="A56" s="528" t="s">
        <v>330</v>
      </c>
      <c r="B56" s="422">
        <f>SUM(B48:B53)+B55</f>
        <v>1084</v>
      </c>
      <c r="C56" s="723">
        <f>SUM(C48:C53)+C55</f>
        <v>1458.6216999999999</v>
      </c>
      <c r="D56" s="532">
        <f>IF(B56=0, "    ---- ", IF(ABS(ROUND(100/B56*C56-100,1))&lt;999,ROUND(100/B56*C56-100,1),IF(ROUND(100/B56*C56-100,1)&gt;999,999,-999)))</f>
        <v>34.6</v>
      </c>
      <c r="E56" s="422"/>
      <c r="F56" s="423"/>
      <c r="G56" s="440"/>
      <c r="H56" s="422"/>
      <c r="I56" s="423"/>
      <c r="J56" s="440"/>
      <c r="K56" s="422"/>
      <c r="L56" s="423"/>
      <c r="M56" s="423"/>
      <c r="N56" s="423"/>
      <c r="O56" s="423"/>
      <c r="P56" s="440"/>
      <c r="Q56" s="422">
        <f>SUM(Q48:Q53)+Q55</f>
        <v>285.93345598637126</v>
      </c>
      <c r="R56" s="423">
        <f>SUM(R48:R53)+R55</f>
        <v>381.72525052653435</v>
      </c>
      <c r="S56" s="532">
        <f t="shared" si="0"/>
        <v>33.5</v>
      </c>
      <c r="T56" s="423"/>
      <c r="U56" s="423"/>
      <c r="V56" s="440"/>
      <c r="W56" s="422">
        <f>SUM(W48:W53)+W55</f>
        <v>-9</v>
      </c>
      <c r="X56" s="423">
        <f>SUM(X48:X53)+X55</f>
        <v>-5</v>
      </c>
      <c r="Y56" s="532">
        <f>IF(W56=0, "    ---- ", IF(ABS(ROUND(100/W56*X56-100,1))&lt;999,ROUND(100/W56*X56-100,1),IF(ROUND(100/W56*X56-100,1)&gt;999,999,-999)))</f>
        <v>-44.4</v>
      </c>
      <c r="Z56" s="707">
        <f>SUM(Z48:Z53)+Z55</f>
        <v>31.614281817337165</v>
      </c>
      <c r="AA56" s="423">
        <f>SUM(AA48:AA53)+AA55</f>
        <v>76.201061870000416</v>
      </c>
      <c r="AB56" s="440">
        <f>IF(Z56=0, "    ---- ", IF(ABS(ROUND(100/Z56*AA56-100,1))&lt;999,ROUND(100/Z56*AA56-100,1),IF(ROUND(100/Z56*AA56-100,1)&gt;999,999,-999)))</f>
        <v>141</v>
      </c>
      <c r="AC56" s="423"/>
      <c r="AD56" s="423"/>
      <c r="AE56" s="423"/>
      <c r="AF56" s="538">
        <f t="shared" si="19"/>
        <v>1392.5477378037083</v>
      </c>
      <c r="AG56" s="538">
        <f t="shared" si="19"/>
        <v>1911.5480123965347</v>
      </c>
      <c r="AH56" s="440">
        <f t="shared" si="6"/>
        <v>37.299999999999997</v>
      </c>
      <c r="AI56" s="538">
        <f t="shared" si="20"/>
        <v>1392.5477378037083</v>
      </c>
      <c r="AJ56" s="538">
        <f t="shared" si="20"/>
        <v>1911.5480123965347</v>
      </c>
      <c r="AK56" s="440">
        <f t="shared" si="8"/>
        <v>37.299999999999997</v>
      </c>
    </row>
    <row r="57" spans="1:37" s="385" customFormat="1" ht="18.75" customHeight="1" x14ac:dyDescent="0.3">
      <c r="A57" s="411" t="s">
        <v>331</v>
      </c>
      <c r="B57" s="424">
        <v>1070</v>
      </c>
      <c r="C57" s="708">
        <v>1437.4559999999999</v>
      </c>
      <c r="D57" s="532">
        <f>IF(B57=0, "    ---- ", IF(ABS(ROUND(100/B57*C57-100,1))&lt;999,ROUND(100/B57*C57-100,1),IF(ROUND(100/B57*C57-100,1)&gt;999,999,-999)))</f>
        <v>34.299999999999997</v>
      </c>
      <c r="E57" s="424"/>
      <c r="F57" s="425"/>
      <c r="G57" s="439"/>
      <c r="H57" s="424"/>
      <c r="I57" s="425"/>
      <c r="J57" s="439"/>
      <c r="K57" s="424"/>
      <c r="L57" s="425"/>
      <c r="M57" s="425"/>
      <c r="N57" s="425"/>
      <c r="O57" s="425"/>
      <c r="P57" s="439"/>
      <c r="Q57" s="424">
        <v>-4.4487349649999999</v>
      </c>
      <c r="R57" s="425">
        <v>-5.7009638200000019</v>
      </c>
      <c r="S57" s="533">
        <f t="shared" si="0"/>
        <v>28.1</v>
      </c>
      <c r="T57" s="425"/>
      <c r="U57" s="425"/>
      <c r="V57" s="439"/>
      <c r="W57" s="424"/>
      <c r="X57" s="425"/>
      <c r="Y57" s="533"/>
      <c r="Z57" s="706">
        <v>2.5974740000000001</v>
      </c>
      <c r="AA57" s="425"/>
      <c r="AB57" s="439"/>
      <c r="AC57" s="425"/>
      <c r="AD57" s="425"/>
      <c r="AE57" s="425"/>
      <c r="AF57" s="537">
        <f t="shared" si="19"/>
        <v>1068.1487390349998</v>
      </c>
      <c r="AG57" s="537">
        <f t="shared" si="19"/>
        <v>1431.7550361799999</v>
      </c>
      <c r="AH57" s="439">
        <f t="shared" si="6"/>
        <v>34</v>
      </c>
      <c r="AI57" s="537">
        <f t="shared" si="20"/>
        <v>1068.1487390349998</v>
      </c>
      <c r="AJ57" s="537">
        <f t="shared" si="20"/>
        <v>1431.7550361799999</v>
      </c>
      <c r="AK57" s="439">
        <f t="shared" si="8"/>
        <v>34</v>
      </c>
    </row>
    <row r="58" spans="1:37" s="385" customFormat="1" ht="18.75" customHeight="1" x14ac:dyDescent="0.3">
      <c r="A58" s="411" t="s">
        <v>332</v>
      </c>
      <c r="B58" s="424">
        <v>14</v>
      </c>
      <c r="C58" s="708">
        <v>21.164999999999999</v>
      </c>
      <c r="D58" s="533">
        <f>IF(B58=0, "    ---- ", IF(ABS(ROUND(100/B58*C58-100,1))&lt;999,ROUND(100/B58*C58-100,1),IF(ROUND(100/B58*C58-100,1)&gt;999,999,-999)))</f>
        <v>51.2</v>
      </c>
      <c r="E58" s="424"/>
      <c r="F58" s="425"/>
      <c r="G58" s="439"/>
      <c r="H58" s="424"/>
      <c r="I58" s="425"/>
      <c r="J58" s="439"/>
      <c r="K58" s="424"/>
      <c r="L58" s="425"/>
      <c r="M58" s="425"/>
      <c r="N58" s="425"/>
      <c r="O58" s="425"/>
      <c r="P58" s="439"/>
      <c r="Q58" s="424">
        <v>290.38219095137129</v>
      </c>
      <c r="R58" s="425">
        <v>387.42621434653438</v>
      </c>
      <c r="S58" s="533">
        <f t="shared" si="0"/>
        <v>33.4</v>
      </c>
      <c r="T58" s="425"/>
      <c r="U58" s="425"/>
      <c r="V58" s="439"/>
      <c r="W58" s="424">
        <v>-9</v>
      </c>
      <c r="X58" s="425">
        <v>-5</v>
      </c>
      <c r="Y58" s="533">
        <f>IF(W58=0, "    ---- ", IF(ABS(ROUND(100/W58*X58-100,1))&lt;999,ROUND(100/W58*X58-100,1),IF(ROUND(100/W58*X58-100,1)&gt;999,999,-999)))</f>
        <v>-44.4</v>
      </c>
      <c r="Z58" s="706">
        <v>28.932449207337186</v>
      </c>
      <c r="AA58" s="425">
        <v>76.201061870000402</v>
      </c>
      <c r="AB58" s="439">
        <f>IF(Z58=0, "    ---- ", IF(ABS(ROUND(100/Z58*AA58-100,1))&lt;999,ROUND(100/Z58*AA58-100,1),IF(ROUND(100/Z58*AA58-100,1)&gt;999,999,-999)))</f>
        <v>163.4</v>
      </c>
      <c r="AC58" s="425"/>
      <c r="AD58" s="425"/>
      <c r="AE58" s="425"/>
      <c r="AF58" s="537">
        <f t="shared" si="19"/>
        <v>324.31464015870847</v>
      </c>
      <c r="AG58" s="537">
        <f t="shared" si="19"/>
        <v>479.79227621653479</v>
      </c>
      <c r="AH58" s="439">
        <f t="shared" si="6"/>
        <v>47.9</v>
      </c>
      <c r="AI58" s="537">
        <f t="shared" si="20"/>
        <v>324.31464015870847</v>
      </c>
      <c r="AJ58" s="537">
        <f t="shared" si="20"/>
        <v>479.79227621653479</v>
      </c>
      <c r="AK58" s="439">
        <f t="shared" si="8"/>
        <v>47.9</v>
      </c>
    </row>
    <row r="59" spans="1:37" s="385" customFormat="1" ht="18.75" customHeight="1" x14ac:dyDescent="0.3">
      <c r="A59" s="413"/>
      <c r="B59" s="689"/>
      <c r="C59" s="724"/>
      <c r="D59" s="539"/>
      <c r="E59" s="689"/>
      <c r="F59" s="426"/>
      <c r="G59" s="441"/>
      <c r="H59" s="689"/>
      <c r="I59" s="426"/>
      <c r="J59" s="441"/>
      <c r="K59" s="689"/>
      <c r="L59" s="426"/>
      <c r="M59" s="426"/>
      <c r="N59" s="426"/>
      <c r="O59" s="426"/>
      <c r="P59" s="441"/>
      <c r="Q59" s="689"/>
      <c r="R59" s="426"/>
      <c r="S59" s="539"/>
      <c r="T59" s="426"/>
      <c r="U59" s="426"/>
      <c r="V59" s="441"/>
      <c r="W59" s="689"/>
      <c r="X59" s="426"/>
      <c r="Y59" s="539"/>
      <c r="Z59" s="689"/>
      <c r="AA59" s="426"/>
      <c r="AB59" s="441"/>
      <c r="AC59" s="441"/>
      <c r="AD59" s="441"/>
      <c r="AE59" s="441"/>
      <c r="AF59" s="539"/>
      <c r="AG59" s="539"/>
      <c r="AH59" s="441"/>
      <c r="AI59" s="539"/>
      <c r="AJ59" s="539"/>
      <c r="AK59" s="441"/>
    </row>
    <row r="60" spans="1:37" s="385" customFormat="1" ht="18.75" customHeight="1" x14ac:dyDescent="0.3">
      <c r="A60" s="540"/>
      <c r="B60" s="690"/>
      <c r="C60" s="725"/>
      <c r="D60" s="541"/>
      <c r="E60" s="690"/>
      <c r="F60" s="427"/>
      <c r="G60" s="542"/>
      <c r="H60" s="690"/>
      <c r="I60" s="427"/>
      <c r="J60" s="542"/>
      <c r="K60" s="690"/>
      <c r="L60" s="427"/>
      <c r="M60" s="427"/>
      <c r="N60" s="427"/>
      <c r="O60" s="427"/>
      <c r="P60" s="542"/>
      <c r="Q60" s="690"/>
      <c r="R60" s="427"/>
      <c r="S60" s="541"/>
      <c r="T60" s="427"/>
      <c r="U60" s="427"/>
      <c r="V60" s="542"/>
      <c r="W60" s="690"/>
      <c r="X60" s="427"/>
      <c r="Y60" s="541"/>
      <c r="Z60" s="690"/>
      <c r="AA60" s="427"/>
      <c r="AB60" s="542"/>
      <c r="AC60" s="542"/>
      <c r="AD60" s="542"/>
      <c r="AE60" s="542"/>
      <c r="AF60" s="541"/>
      <c r="AG60" s="541"/>
      <c r="AH60" s="542"/>
      <c r="AI60" s="541"/>
      <c r="AJ60" s="541"/>
      <c r="AK60" s="542"/>
    </row>
    <row r="61" spans="1:37" s="521" customFormat="1" ht="18.75" customHeight="1" x14ac:dyDescent="0.3">
      <c r="A61" s="528" t="s">
        <v>336</v>
      </c>
      <c r="B61" s="422"/>
      <c r="C61" s="723"/>
      <c r="D61" s="532"/>
      <c r="E61" s="422"/>
      <c r="F61" s="423"/>
      <c r="G61" s="440"/>
      <c r="H61" s="422"/>
      <c r="I61" s="423"/>
      <c r="J61" s="440"/>
      <c r="K61" s="422"/>
      <c r="L61" s="423"/>
      <c r="M61" s="423"/>
      <c r="N61" s="423"/>
      <c r="O61" s="423"/>
      <c r="P61" s="440"/>
      <c r="Q61" s="422"/>
      <c r="R61" s="423"/>
      <c r="S61" s="532"/>
      <c r="T61" s="423"/>
      <c r="U61" s="423"/>
      <c r="V61" s="440"/>
      <c r="W61" s="422"/>
      <c r="X61" s="423"/>
      <c r="Y61" s="532"/>
      <c r="Z61" s="422"/>
      <c r="AA61" s="423"/>
      <c r="AB61" s="440"/>
      <c r="AC61" s="423"/>
      <c r="AD61" s="423"/>
      <c r="AE61" s="423"/>
      <c r="AF61" s="537"/>
      <c r="AG61" s="537"/>
      <c r="AH61" s="440"/>
      <c r="AI61" s="537"/>
      <c r="AJ61" s="537"/>
      <c r="AK61" s="440"/>
    </row>
    <row r="62" spans="1:37" s="385" customFormat="1" ht="18.75" x14ac:dyDescent="0.3">
      <c r="A62" s="760" t="s">
        <v>494</v>
      </c>
      <c r="B62" s="424">
        <v>-126</v>
      </c>
      <c r="C62" s="708">
        <v>153.6</v>
      </c>
      <c r="D62" s="533">
        <f>IF(B62=0, "    ---- ", IF(ABS(ROUND(100/B62*C62-100,1))&lt;999,ROUND(100/B62*C62-100,1),IF(ROUND(100/B62*C62-100,1)&gt;999,999,-999)))</f>
        <v>-221.9</v>
      </c>
      <c r="E62" s="424"/>
      <c r="F62" s="425"/>
      <c r="G62" s="439"/>
      <c r="H62" s="424"/>
      <c r="I62" s="425"/>
      <c r="J62" s="439"/>
      <c r="K62" s="424"/>
      <c r="L62" s="425"/>
      <c r="M62" s="425"/>
      <c r="N62" s="425"/>
      <c r="O62" s="425"/>
      <c r="P62" s="439"/>
      <c r="Q62" s="424">
        <v>-25.504851837966445</v>
      </c>
      <c r="R62" s="425">
        <v>33.862260206834108</v>
      </c>
      <c r="S62" s="533">
        <f t="shared" ref="S62:S108" si="21">IF(Q62=0, "    ---- ", IF(ABS(ROUND(100/Q62*R62-100,1))&lt;999,ROUND(100/Q62*R62-100,1),IF(ROUND(100/Q62*R62-100,1)&gt;999,999,-999)))</f>
        <v>-232.8</v>
      </c>
      <c r="T62" s="425"/>
      <c r="U62" s="425"/>
      <c r="V62" s="439"/>
      <c r="W62" s="424">
        <v>-4</v>
      </c>
      <c r="X62" s="425">
        <v>45</v>
      </c>
      <c r="Y62" s="533">
        <f>IF(W62=0, "    ---- ", IF(ABS(ROUND(100/W62*X62-100,1))&lt;999,ROUND(100/W62*X62-100,1),IF(ROUND(100/W62*X62-100,1)&gt;999,999,-999)))</f>
        <v>-999</v>
      </c>
      <c r="Z62" s="706">
        <v>-112.48803033884576</v>
      </c>
      <c r="AA62" s="425">
        <v>32.608044790000001</v>
      </c>
      <c r="AB62" s="439">
        <f>IF(Z62=0, "    ---- ", IF(ABS(ROUND(100/Z62*AA62-100,1))&lt;999,ROUND(100/Z62*AA62-100,1),IF(ROUND(100/Z62*AA62-100,1)&gt;999,999,-999)))</f>
        <v>-129</v>
      </c>
      <c r="AC62" s="425"/>
      <c r="AD62" s="425"/>
      <c r="AE62" s="425"/>
      <c r="AF62" s="537">
        <f t="shared" ref="AF62:AG62" si="22">B62+E62+H62+K62+N62+Q62+T62+W62+Z62</f>
        <v>-267.9928821768122</v>
      </c>
      <c r="AG62" s="537">
        <f t="shared" si="22"/>
        <v>265.07030499683412</v>
      </c>
      <c r="AH62" s="439">
        <f t="shared" si="6"/>
        <v>-198.9</v>
      </c>
      <c r="AI62" s="537">
        <f t="shared" ref="AI62:AJ62" si="23">+B62+E62+H62+K62+N62+Q62+T62+W62+Z62+AC62</f>
        <v>-267.9928821768122</v>
      </c>
      <c r="AJ62" s="537">
        <f t="shared" si="23"/>
        <v>265.07030499683412</v>
      </c>
      <c r="AK62" s="439">
        <f t="shared" si="8"/>
        <v>-198.9</v>
      </c>
    </row>
    <row r="63" spans="1:37" s="385" customFormat="1" ht="18.75" customHeight="1" x14ac:dyDescent="0.3">
      <c r="A63" s="411" t="s">
        <v>493</v>
      </c>
      <c r="B63" s="424">
        <v>22</v>
      </c>
      <c r="C63" s="714">
        <v>-117.7</v>
      </c>
      <c r="D63" s="533">
        <f>IF(B63=0, "    ---- ", IF(ABS(ROUND(100/B63*C63-100,1))&lt;999,ROUND(100/B63*C63-100,1),IF(ROUND(100/B63*C63-100,1)&gt;999,999,-999)))</f>
        <v>-635</v>
      </c>
      <c r="E63" s="424"/>
      <c r="F63" s="390"/>
      <c r="G63" s="439"/>
      <c r="H63" s="424"/>
      <c r="I63" s="390"/>
      <c r="J63" s="439"/>
      <c r="K63" s="424"/>
      <c r="L63" s="390"/>
      <c r="M63" s="425"/>
      <c r="N63" s="425"/>
      <c r="O63" s="76"/>
      <c r="P63" s="439"/>
      <c r="Q63" s="424">
        <v>25.504851837966445</v>
      </c>
      <c r="R63" s="390">
        <v>-33.862260206834108</v>
      </c>
      <c r="S63" s="533">
        <f t="shared" si="21"/>
        <v>-232.8</v>
      </c>
      <c r="T63" s="425"/>
      <c r="U63" s="76"/>
      <c r="V63" s="439"/>
      <c r="W63" s="424">
        <v>4</v>
      </c>
      <c r="X63" s="390">
        <v>-10</v>
      </c>
      <c r="Y63" s="533">
        <f>IF(W63=0, "    ---- ", IF(ABS(ROUND(100/W63*X63-100,1))&lt;999,ROUND(100/W63*X63-100,1),IF(ROUND(100/W63*X63-100,1)&gt;999,999,-999)))</f>
        <v>-350</v>
      </c>
      <c r="Z63" s="706">
        <v>110.076667</v>
      </c>
      <c r="AA63" s="390">
        <v>-15.826669000000001</v>
      </c>
      <c r="AB63" s="439">
        <f>IF(Z63=0, "    ---- ", IF(ABS(ROUND(100/Z63*AA63-100,1))&lt;999,ROUND(100/Z63*AA63-100,1),IF(ROUND(100/Z63*AA63-100,1)&gt;999,999,-999)))</f>
        <v>-114.4</v>
      </c>
      <c r="AC63" s="425"/>
      <c r="AD63" s="76"/>
      <c r="AE63" s="425"/>
      <c r="AF63" s="537">
        <f t="shared" ref="AF63" si="24">B63+E63+H63+K63+N63+Q63+T63+W63+Z63</f>
        <v>161.58151883796643</v>
      </c>
      <c r="AG63" s="537">
        <f t="shared" ref="AG63" si="25">C63+F63+I63+L63+O63+R63+U63+X63+AA63</f>
        <v>-177.38892920683412</v>
      </c>
      <c r="AH63" s="439">
        <f t="shared" ref="AH63" si="26">IF(AF63=0, "    ---- ", IF(ABS(ROUND(100/AF63*AG63-100,1))&lt;999,ROUND(100/AF63*AG63-100,1),IF(ROUND(100/AF63*AG63-100,1)&gt;999,999,-999)))</f>
        <v>-209.8</v>
      </c>
      <c r="AI63" s="537">
        <f t="shared" ref="AI63" si="27">+B63+E63+H63+K63+N63+Q63+T63+W63+Z63+AC63</f>
        <v>161.58151883796643</v>
      </c>
      <c r="AJ63" s="537">
        <f t="shared" ref="AJ63" si="28">+C63+F63+I63+L63+O63+R63+U63+X63+AA63+AD63</f>
        <v>-177.38892920683412</v>
      </c>
      <c r="AK63" s="439">
        <f t="shared" ref="AK63" si="29">IF(AI63=0, "    ---- ", IF(ABS(ROUND(100/AI63*AJ63-100,1))&lt;999,ROUND(100/AI63*AJ63-100,1),IF(ROUND(100/AI63*AJ63-100,1)&gt;999,999,-999)))</f>
        <v>-209.8</v>
      </c>
    </row>
    <row r="64" spans="1:37" s="385" customFormat="1" ht="18.75" customHeight="1" x14ac:dyDescent="0.3">
      <c r="A64" s="411" t="s">
        <v>324</v>
      </c>
      <c r="B64" s="424">
        <v>75</v>
      </c>
      <c r="C64" s="708">
        <v>65.3</v>
      </c>
      <c r="D64" s="533">
        <f>IF(B64=0, "    ---- ", IF(ABS(ROUND(100/B64*C64-100,1))&lt;999,ROUND(100/B64*C64-100,1),IF(ROUND(100/B64*C64-100,1)&gt;999,999,-999)))</f>
        <v>-12.9</v>
      </c>
      <c r="E64" s="424"/>
      <c r="F64" s="425"/>
      <c r="G64" s="439"/>
      <c r="H64" s="424"/>
      <c r="I64" s="425"/>
      <c r="J64" s="439"/>
      <c r="K64" s="424"/>
      <c r="L64" s="425"/>
      <c r="M64" s="425"/>
      <c r="N64" s="425"/>
      <c r="O64" s="425"/>
      <c r="P64" s="439"/>
      <c r="Q64" s="424">
        <v>5.6884488450339532</v>
      </c>
      <c r="R64" s="425">
        <v>6.1212694572271689</v>
      </c>
      <c r="S64" s="533">
        <f t="shared" si="21"/>
        <v>7.6</v>
      </c>
      <c r="T64" s="425"/>
      <c r="U64" s="425"/>
      <c r="V64" s="439"/>
      <c r="W64" s="424">
        <v>-4</v>
      </c>
      <c r="X64" s="425">
        <v>2</v>
      </c>
      <c r="Y64" s="533">
        <f>IF(W64=0, "    ---- ", IF(ABS(ROUND(100/W64*X64-100,1))&lt;999,ROUND(100/W64*X64-100,1),IF(ROUND(100/W64*X64-100,1)&gt;999,999,-999)))</f>
        <v>-150</v>
      </c>
      <c r="Z64" s="706">
        <v>7.4331597696595466</v>
      </c>
      <c r="AA64" s="425">
        <v>-8.5174307099999904</v>
      </c>
      <c r="AB64" s="439">
        <f>IF(Z64=0, "    ---- ", IF(ABS(ROUND(100/Z64*AA64-100,1))&lt;999,ROUND(100/Z64*AA64-100,1),IF(ROUND(100/Z64*AA64-100,1)&gt;999,999,-999)))</f>
        <v>-214.6</v>
      </c>
      <c r="AC64" s="425"/>
      <c r="AD64" s="425"/>
      <c r="AE64" s="425"/>
      <c r="AF64" s="537">
        <f t="shared" ref="AF64:AG72" si="30">B64+E64+H64+K64+N64+Q64+T64+W64+Z64</f>
        <v>84.121608614693486</v>
      </c>
      <c r="AG64" s="537">
        <f t="shared" si="30"/>
        <v>64.903838747227184</v>
      </c>
      <c r="AH64" s="439">
        <f t="shared" si="6"/>
        <v>-22.8</v>
      </c>
      <c r="AI64" s="537">
        <f t="shared" ref="AI64:AJ72" si="31">+B64+E64+H64+K64+N64+Q64+T64+W64+Z64+AC64</f>
        <v>84.121608614693486</v>
      </c>
      <c r="AJ64" s="537">
        <f t="shared" si="31"/>
        <v>64.903838747227184</v>
      </c>
      <c r="AK64" s="439">
        <f t="shared" si="8"/>
        <v>-22.8</v>
      </c>
    </row>
    <row r="65" spans="1:37" s="385" customFormat="1" ht="18.75" customHeight="1" x14ac:dyDescent="0.3">
      <c r="A65" s="411" t="s">
        <v>325</v>
      </c>
      <c r="B65" s="424"/>
      <c r="C65" s="708"/>
      <c r="D65" s="533"/>
      <c r="E65" s="424"/>
      <c r="F65" s="425"/>
      <c r="G65" s="439"/>
      <c r="H65" s="424"/>
      <c r="I65" s="425"/>
      <c r="J65" s="439"/>
      <c r="K65" s="424"/>
      <c r="L65" s="425"/>
      <c r="M65" s="425"/>
      <c r="N65" s="425"/>
      <c r="O65" s="425"/>
      <c r="P65" s="439"/>
      <c r="Q65" s="424"/>
      <c r="R65" s="425"/>
      <c r="S65" s="533"/>
      <c r="T65" s="425"/>
      <c r="U65" s="425"/>
      <c r="V65" s="439"/>
      <c r="W65" s="424"/>
      <c r="X65" s="425"/>
      <c r="Y65" s="533"/>
      <c r="Z65" s="706"/>
      <c r="AA65" s="425"/>
      <c r="AB65" s="439"/>
      <c r="AC65" s="425"/>
      <c r="AD65" s="425"/>
      <c r="AE65" s="425"/>
      <c r="AF65" s="537">
        <f t="shared" si="30"/>
        <v>0</v>
      </c>
      <c r="AG65" s="537">
        <f t="shared" si="30"/>
        <v>0</v>
      </c>
      <c r="AH65" s="439" t="str">
        <f t="shared" si="6"/>
        <v xml:space="preserve">    ---- </v>
      </c>
      <c r="AI65" s="537">
        <f t="shared" si="31"/>
        <v>0</v>
      </c>
      <c r="AJ65" s="537">
        <f t="shared" si="31"/>
        <v>0</v>
      </c>
      <c r="AK65" s="439" t="str">
        <f t="shared" si="8"/>
        <v xml:space="preserve">    ---- </v>
      </c>
    </row>
    <row r="66" spans="1:37" s="385" customFormat="1" ht="18.75" customHeight="1" x14ac:dyDescent="0.3">
      <c r="A66" s="411" t="s">
        <v>326</v>
      </c>
      <c r="B66" s="424"/>
      <c r="C66" s="708"/>
      <c r="D66" s="533"/>
      <c r="E66" s="424"/>
      <c r="F66" s="425"/>
      <c r="G66" s="439"/>
      <c r="H66" s="424"/>
      <c r="I66" s="425"/>
      <c r="J66" s="439"/>
      <c r="K66" s="424"/>
      <c r="L66" s="425"/>
      <c r="M66" s="425"/>
      <c r="N66" s="425"/>
      <c r="O66" s="425"/>
      <c r="P66" s="439"/>
      <c r="Q66" s="424"/>
      <c r="R66" s="425"/>
      <c r="S66" s="533"/>
      <c r="T66" s="425"/>
      <c r="U66" s="425"/>
      <c r="V66" s="439"/>
      <c r="W66" s="424"/>
      <c r="X66" s="425"/>
      <c r="Y66" s="533"/>
      <c r="Z66" s="706"/>
      <c r="AA66" s="425"/>
      <c r="AB66" s="439"/>
      <c r="AC66" s="425"/>
      <c r="AD66" s="425"/>
      <c r="AE66" s="425"/>
      <c r="AF66" s="537">
        <f t="shared" si="30"/>
        <v>0</v>
      </c>
      <c r="AG66" s="537">
        <f t="shared" si="30"/>
        <v>0</v>
      </c>
      <c r="AH66" s="439" t="str">
        <f t="shared" si="6"/>
        <v xml:space="preserve">    ---- </v>
      </c>
      <c r="AI66" s="537">
        <f t="shared" si="31"/>
        <v>0</v>
      </c>
      <c r="AJ66" s="537">
        <f t="shared" si="31"/>
        <v>0</v>
      </c>
      <c r="AK66" s="439" t="str">
        <f t="shared" si="8"/>
        <v xml:space="preserve">    ---- </v>
      </c>
    </row>
    <row r="67" spans="1:37" s="385" customFormat="1" ht="18.75" customHeight="1" x14ac:dyDescent="0.3">
      <c r="A67" s="411" t="s">
        <v>327</v>
      </c>
      <c r="B67" s="424">
        <v>33</v>
      </c>
      <c r="C67" s="708">
        <v>30.87</v>
      </c>
      <c r="D67" s="533">
        <f>IF(B67=0, "    ---- ", IF(ABS(ROUND(100/B67*C67-100,1))&lt;999,ROUND(100/B67*C67-100,1),IF(ROUND(100/B67*C67-100,1)&gt;999,999,-999)))</f>
        <v>-6.5</v>
      </c>
      <c r="E67" s="424"/>
      <c r="F67" s="425"/>
      <c r="G67" s="439"/>
      <c r="H67" s="424"/>
      <c r="I67" s="425"/>
      <c r="J67" s="439"/>
      <c r="K67" s="424"/>
      <c r="L67" s="425"/>
      <c r="M67" s="425"/>
      <c r="N67" s="425"/>
      <c r="O67" s="425"/>
      <c r="P67" s="439"/>
      <c r="Q67" s="424">
        <v>12.270315218730246</v>
      </c>
      <c r="R67" s="425">
        <v>6.7412602089221796</v>
      </c>
      <c r="S67" s="533">
        <f t="shared" si="21"/>
        <v>-45.1</v>
      </c>
      <c r="T67" s="425"/>
      <c r="U67" s="425"/>
      <c r="V67" s="439"/>
      <c r="W67" s="424"/>
      <c r="X67" s="425">
        <v>5</v>
      </c>
      <c r="Y67" s="533" t="str">
        <f>IF(W67=0, "    ---- ", IF(ABS(ROUND(100/W67*X67-100,1))&lt;999,ROUND(100/W67*X67-100,1),IF(ROUND(100/W67*X67-100,1)&gt;999,999,-999)))</f>
        <v xml:space="preserve">    ---- </v>
      </c>
      <c r="Z67" s="706">
        <v>36.136848050000076</v>
      </c>
      <c r="AA67" s="425">
        <v>-78.835513849999998</v>
      </c>
      <c r="AB67" s="439">
        <f t="shared" ref="AB67:AB72" si="32">IF(Z67=0, "    ---- ", IF(ABS(ROUND(100/Z67*AA67-100,1))&lt;999,ROUND(100/Z67*AA67-100,1),IF(ROUND(100/Z67*AA67-100,1)&gt;999,999,-999)))</f>
        <v>-318.2</v>
      </c>
      <c r="AC67" s="425"/>
      <c r="AD67" s="425"/>
      <c r="AE67" s="425"/>
      <c r="AF67" s="537">
        <f t="shared" si="30"/>
        <v>81.407163268730329</v>
      </c>
      <c r="AG67" s="537">
        <f t="shared" si="30"/>
        <v>-36.224253641077816</v>
      </c>
      <c r="AH67" s="439">
        <f t="shared" si="6"/>
        <v>-144.5</v>
      </c>
      <c r="AI67" s="537">
        <f t="shared" si="31"/>
        <v>81.407163268730329</v>
      </c>
      <c r="AJ67" s="537">
        <f t="shared" si="31"/>
        <v>-36.224253641077816</v>
      </c>
      <c r="AK67" s="439">
        <f t="shared" si="8"/>
        <v>-144.5</v>
      </c>
    </row>
    <row r="68" spans="1:37" s="385" customFormat="1" ht="18.75" customHeight="1" x14ac:dyDescent="0.3">
      <c r="A68" s="411" t="s">
        <v>328</v>
      </c>
      <c r="B68" s="424"/>
      <c r="C68" s="708"/>
      <c r="D68" s="533"/>
      <c r="E68" s="424"/>
      <c r="F68" s="425"/>
      <c r="G68" s="439"/>
      <c r="H68" s="424"/>
      <c r="I68" s="425"/>
      <c r="J68" s="439"/>
      <c r="K68" s="424"/>
      <c r="L68" s="425"/>
      <c r="M68" s="425"/>
      <c r="N68" s="425"/>
      <c r="O68" s="425"/>
      <c r="P68" s="439"/>
      <c r="Q68" s="424"/>
      <c r="R68" s="425"/>
      <c r="S68" s="533"/>
      <c r="T68" s="425"/>
      <c r="U68" s="425"/>
      <c r="V68" s="439"/>
      <c r="W68" s="424"/>
      <c r="X68" s="425"/>
      <c r="Y68" s="533"/>
      <c r="Z68" s="706">
        <v>-27.255866579999999</v>
      </c>
      <c r="AA68" s="425">
        <v>-75.451436000000001</v>
      </c>
      <c r="AB68" s="439">
        <f t="shared" si="32"/>
        <v>176.8</v>
      </c>
      <c r="AC68" s="425"/>
      <c r="AD68" s="425"/>
      <c r="AE68" s="425"/>
      <c r="AF68" s="537">
        <f t="shared" si="30"/>
        <v>-27.255866579999999</v>
      </c>
      <c r="AG68" s="537">
        <f t="shared" si="30"/>
        <v>-75.451436000000001</v>
      </c>
      <c r="AH68" s="439">
        <f t="shared" si="6"/>
        <v>176.8</v>
      </c>
      <c r="AI68" s="537">
        <f t="shared" si="31"/>
        <v>-27.255866579999999</v>
      </c>
      <c r="AJ68" s="537">
        <f t="shared" si="31"/>
        <v>-75.451436000000001</v>
      </c>
      <c r="AK68" s="439">
        <f t="shared" si="8"/>
        <v>176.8</v>
      </c>
    </row>
    <row r="69" spans="1:37" s="385" customFormat="1" ht="18.75" customHeight="1" x14ac:dyDescent="0.3">
      <c r="A69" s="411" t="s">
        <v>329</v>
      </c>
      <c r="B69" s="424"/>
      <c r="C69" s="708"/>
      <c r="D69" s="533"/>
      <c r="E69" s="424"/>
      <c r="F69" s="425"/>
      <c r="G69" s="439"/>
      <c r="H69" s="424"/>
      <c r="I69" s="425"/>
      <c r="J69" s="439"/>
      <c r="K69" s="424"/>
      <c r="L69" s="425"/>
      <c r="M69" s="425"/>
      <c r="N69" s="425"/>
      <c r="O69" s="425"/>
      <c r="P69" s="439"/>
      <c r="Q69" s="424"/>
      <c r="R69" s="425"/>
      <c r="S69" s="533"/>
      <c r="T69" s="425"/>
      <c r="U69" s="425"/>
      <c r="V69" s="439"/>
      <c r="W69" s="424"/>
      <c r="X69" s="425"/>
      <c r="Y69" s="533"/>
      <c r="Z69" s="706">
        <v>-1.0462999999999999E-4</v>
      </c>
      <c r="AA69" s="425"/>
      <c r="AB69" s="439">
        <f t="shared" si="32"/>
        <v>-100</v>
      </c>
      <c r="AC69" s="425"/>
      <c r="AD69" s="425"/>
      <c r="AE69" s="425"/>
      <c r="AF69" s="537">
        <f t="shared" si="30"/>
        <v>-1.0462999999999999E-4</v>
      </c>
      <c r="AG69" s="537">
        <f t="shared" si="30"/>
        <v>0</v>
      </c>
      <c r="AH69" s="439">
        <f t="shared" si="6"/>
        <v>-100</v>
      </c>
      <c r="AI69" s="537">
        <f t="shared" si="31"/>
        <v>-1.0462999999999999E-4</v>
      </c>
      <c r="AJ69" s="537">
        <f t="shared" si="31"/>
        <v>0</v>
      </c>
      <c r="AK69" s="439">
        <f t="shared" si="8"/>
        <v>-100</v>
      </c>
    </row>
    <row r="70" spans="1:37" s="521" customFormat="1" ht="18.75" customHeight="1" x14ac:dyDescent="0.3">
      <c r="A70" s="528" t="s">
        <v>330</v>
      </c>
      <c r="B70" s="422">
        <f>SUM(B62:B67)+B69</f>
        <v>4</v>
      </c>
      <c r="C70" s="723">
        <f>SUM(C62:C67)+C69</f>
        <v>132.07</v>
      </c>
      <c r="D70" s="532">
        <f>IF(B70=0, "    ---- ", IF(ABS(ROUND(100/B70*C70-100,1))&lt;999,ROUND(100/B70*C70-100,1),IF(ROUND(100/B70*C70-100,1)&gt;999,999,-999)))</f>
        <v>999</v>
      </c>
      <c r="E70" s="422"/>
      <c r="F70" s="423"/>
      <c r="G70" s="440"/>
      <c r="H70" s="422"/>
      <c r="I70" s="423"/>
      <c r="J70" s="440"/>
      <c r="K70" s="422"/>
      <c r="L70" s="423"/>
      <c r="M70" s="423"/>
      <c r="N70" s="423"/>
      <c r="O70" s="423"/>
      <c r="P70" s="440"/>
      <c r="Q70" s="422">
        <f>SUM(Q62:Q67)+Q69</f>
        <v>17.9587640637642</v>
      </c>
      <c r="R70" s="423">
        <f>SUM(R62:R67)+R69</f>
        <v>12.862529666149349</v>
      </c>
      <c r="S70" s="532">
        <f t="shared" si="21"/>
        <v>-28.4</v>
      </c>
      <c r="T70" s="423"/>
      <c r="U70" s="423"/>
      <c r="V70" s="440"/>
      <c r="W70" s="422">
        <f>SUM(W62:W67)+W69</f>
        <v>-4</v>
      </c>
      <c r="X70" s="423">
        <f>SUM(X62:X67)+X69</f>
        <v>42</v>
      </c>
      <c r="Y70" s="532">
        <f>IF(W70=0, "    ---- ", IF(ABS(ROUND(100/W70*X70-100,1))&lt;999,ROUND(100/W70*X70-100,1),IF(ROUND(100/W70*X70-100,1)&gt;999,999,-999)))</f>
        <v>-999</v>
      </c>
      <c r="Z70" s="707">
        <f>SUM(Z62:Z67)+Z69</f>
        <v>41.15853985081386</v>
      </c>
      <c r="AA70" s="423">
        <f>SUM(AA62:AA67)+AA69</f>
        <v>-70.571568769999985</v>
      </c>
      <c r="AB70" s="440">
        <f t="shared" si="32"/>
        <v>-271.5</v>
      </c>
      <c r="AC70" s="423"/>
      <c r="AD70" s="423"/>
      <c r="AE70" s="423"/>
      <c r="AF70" s="538">
        <f t="shared" si="30"/>
        <v>59.117303914578059</v>
      </c>
      <c r="AG70" s="538">
        <f t="shared" si="30"/>
        <v>116.36096089614936</v>
      </c>
      <c r="AH70" s="440">
        <f t="shared" si="6"/>
        <v>96.8</v>
      </c>
      <c r="AI70" s="538">
        <f t="shared" si="31"/>
        <v>59.117303914578059</v>
      </c>
      <c r="AJ70" s="538">
        <f t="shared" si="31"/>
        <v>116.36096089614936</v>
      </c>
      <c r="AK70" s="440">
        <f t="shared" si="8"/>
        <v>96.8</v>
      </c>
    </row>
    <row r="71" spans="1:37" s="385" customFormat="1" ht="18.75" customHeight="1" x14ac:dyDescent="0.3">
      <c r="A71" s="411" t="s">
        <v>331</v>
      </c>
      <c r="B71" s="424">
        <v>20</v>
      </c>
      <c r="C71" s="708">
        <v>84.62</v>
      </c>
      <c r="D71" s="533">
        <f>IF(B71=0, "    ---- ", IF(ABS(ROUND(100/B71*C71-100,1))&lt;999,ROUND(100/B71*C71-100,1),IF(ROUND(100/B71*C71-100,1)&gt;999,999,-999)))</f>
        <v>323.10000000000002</v>
      </c>
      <c r="E71" s="424"/>
      <c r="F71" s="425"/>
      <c r="G71" s="439"/>
      <c r="H71" s="424"/>
      <c r="I71" s="425"/>
      <c r="J71" s="439"/>
      <c r="K71" s="424"/>
      <c r="L71" s="425"/>
      <c r="M71" s="425"/>
      <c r="N71" s="425"/>
      <c r="O71" s="425"/>
      <c r="P71" s="439"/>
      <c r="Q71" s="424">
        <v>11.673196641446729</v>
      </c>
      <c r="R71" s="425">
        <v>8.3606442829970753</v>
      </c>
      <c r="S71" s="533">
        <f t="shared" si="21"/>
        <v>-28.4</v>
      </c>
      <c r="T71" s="425"/>
      <c r="U71" s="425"/>
      <c r="V71" s="439"/>
      <c r="W71" s="424"/>
      <c r="X71" s="425">
        <v>27</v>
      </c>
      <c r="Y71" s="533" t="str">
        <f>IF(W71=0, "    ---- ", IF(ABS(ROUND(100/W71*X71-100,1))&lt;999,ROUND(100/W71*X71-100,1),IF(ROUND(100/W71*X71-100,1)&gt;999,999,-999)))</f>
        <v xml:space="preserve">    ---- </v>
      </c>
      <c r="Z71" s="706">
        <v>1.7220698711542599</v>
      </c>
      <c r="AA71" s="425">
        <v>32.112450000000003</v>
      </c>
      <c r="AB71" s="439">
        <f t="shared" si="32"/>
        <v>999</v>
      </c>
      <c r="AC71" s="425"/>
      <c r="AD71" s="425"/>
      <c r="AE71" s="425"/>
      <c r="AF71" s="537">
        <f t="shared" si="30"/>
        <v>33.39526651260099</v>
      </c>
      <c r="AG71" s="537">
        <f t="shared" si="30"/>
        <v>152.09309428299707</v>
      </c>
      <c r="AH71" s="439">
        <f t="shared" si="6"/>
        <v>355.4</v>
      </c>
      <c r="AI71" s="537">
        <f t="shared" si="31"/>
        <v>33.39526651260099</v>
      </c>
      <c r="AJ71" s="537">
        <f t="shared" si="31"/>
        <v>152.09309428299707</v>
      </c>
      <c r="AK71" s="439">
        <f t="shared" si="8"/>
        <v>355.4</v>
      </c>
    </row>
    <row r="72" spans="1:37" s="385" customFormat="1" ht="18.75" customHeight="1" x14ac:dyDescent="0.3">
      <c r="A72" s="411" t="s">
        <v>332</v>
      </c>
      <c r="B72" s="424">
        <v>-16</v>
      </c>
      <c r="C72" s="708">
        <v>47.58</v>
      </c>
      <c r="D72" s="533">
        <f>IF(B72=0, "    ---- ", IF(ABS(ROUND(100/B72*C72-100,1))&lt;999,ROUND(100/B72*C72-100,1),IF(ROUND(100/B72*C72-100,1)&gt;999,999,-999)))</f>
        <v>-397.4</v>
      </c>
      <c r="E72" s="424"/>
      <c r="F72" s="425"/>
      <c r="G72" s="439"/>
      <c r="H72" s="424"/>
      <c r="I72" s="425"/>
      <c r="J72" s="439"/>
      <c r="K72" s="424"/>
      <c r="L72" s="425"/>
      <c r="M72" s="425"/>
      <c r="N72" s="425"/>
      <c r="O72" s="425"/>
      <c r="P72" s="439"/>
      <c r="Q72" s="424">
        <v>6.2855674223174702</v>
      </c>
      <c r="R72" s="425">
        <v>4.501885383152274</v>
      </c>
      <c r="S72" s="533">
        <f t="shared" si="21"/>
        <v>-28.4</v>
      </c>
      <c r="T72" s="425"/>
      <c r="U72" s="425"/>
      <c r="V72" s="439"/>
      <c r="W72" s="424">
        <v>-4</v>
      </c>
      <c r="X72" s="425">
        <v>15</v>
      </c>
      <c r="Y72" s="533">
        <f>IF(W72=0, "    ---- ", IF(ABS(ROUND(100/W72*X72-100,1))&lt;999,ROUND(100/W72*X72-100,1),IF(ROUND(100/W72*X72-100,1)&gt;999,999,-999)))</f>
        <v>-475</v>
      </c>
      <c r="Z72" s="706">
        <v>39.436469979659606</v>
      </c>
      <c r="AA72" s="425">
        <v>-102.68633543999999</v>
      </c>
      <c r="AB72" s="439">
        <f t="shared" si="32"/>
        <v>-360.4</v>
      </c>
      <c r="AC72" s="425"/>
      <c r="AD72" s="425"/>
      <c r="AE72" s="425"/>
      <c r="AF72" s="537">
        <f t="shared" si="30"/>
        <v>25.722037401977076</v>
      </c>
      <c r="AG72" s="537">
        <f t="shared" si="30"/>
        <v>-35.604450056847725</v>
      </c>
      <c r="AH72" s="439">
        <f t="shared" si="6"/>
        <v>-238.4</v>
      </c>
      <c r="AI72" s="537">
        <f t="shared" si="31"/>
        <v>25.722037401977076</v>
      </c>
      <c r="AJ72" s="537">
        <f t="shared" si="31"/>
        <v>-35.604450056847725</v>
      </c>
      <c r="AK72" s="439">
        <f t="shared" si="8"/>
        <v>-238.4</v>
      </c>
    </row>
    <row r="73" spans="1:37" s="521" customFormat="1" ht="18.75" customHeight="1" x14ac:dyDescent="0.3">
      <c r="A73" s="528" t="s">
        <v>337</v>
      </c>
      <c r="B73" s="422"/>
      <c r="C73" s="723"/>
      <c r="D73" s="532"/>
      <c r="E73" s="422"/>
      <c r="F73" s="423"/>
      <c r="G73" s="440"/>
      <c r="H73" s="422"/>
      <c r="I73" s="423"/>
      <c r="J73" s="440"/>
      <c r="K73" s="422"/>
      <c r="L73" s="423"/>
      <c r="M73" s="423"/>
      <c r="N73" s="423"/>
      <c r="O73" s="423"/>
      <c r="P73" s="440"/>
      <c r="Q73" s="422"/>
      <c r="R73" s="423"/>
      <c r="S73" s="532"/>
      <c r="T73" s="423"/>
      <c r="U73" s="423"/>
      <c r="V73" s="440"/>
      <c r="W73" s="422"/>
      <c r="X73" s="423"/>
      <c r="Y73" s="532"/>
      <c r="Z73" s="707"/>
      <c r="AA73" s="423"/>
      <c r="AB73" s="440"/>
      <c r="AC73" s="423"/>
      <c r="AD73" s="423"/>
      <c r="AE73" s="423"/>
      <c r="AF73" s="537"/>
      <c r="AG73" s="537"/>
      <c r="AH73" s="440"/>
      <c r="AI73" s="537"/>
      <c r="AJ73" s="537"/>
      <c r="AK73" s="440"/>
    </row>
    <row r="74" spans="1:37" s="385" customFormat="1" ht="18.75" x14ac:dyDescent="0.3">
      <c r="A74" s="760" t="s">
        <v>494</v>
      </c>
      <c r="B74" s="424">
        <v>7</v>
      </c>
      <c r="C74" s="708">
        <v>118.41</v>
      </c>
      <c r="D74" s="533">
        <f t="shared" ref="D74:D79" si="33">IF(B74=0, "    ---- ", IF(ABS(ROUND(100/B74*C74-100,1))&lt;999,ROUND(100/B74*C74-100,1),IF(ROUND(100/B74*C74-100,1)&gt;999,999,-999)))</f>
        <v>999</v>
      </c>
      <c r="E74" s="424"/>
      <c r="F74" s="425"/>
      <c r="G74" s="439"/>
      <c r="H74" s="424"/>
      <c r="I74" s="425"/>
      <c r="J74" s="439"/>
      <c r="K74" s="424"/>
      <c r="L74" s="425"/>
      <c r="M74" s="425"/>
      <c r="N74" s="425"/>
      <c r="O74" s="425"/>
      <c r="P74" s="439"/>
      <c r="Q74" s="424">
        <v>2.7697471007042997</v>
      </c>
      <c r="R74" s="425">
        <v>19.072789507792798</v>
      </c>
      <c r="S74" s="533">
        <f t="shared" si="21"/>
        <v>588.6</v>
      </c>
      <c r="T74" s="425"/>
      <c r="U74" s="425"/>
      <c r="V74" s="439"/>
      <c r="W74" s="424">
        <v>-3</v>
      </c>
      <c r="X74" s="425">
        <v>12</v>
      </c>
      <c r="Y74" s="533">
        <f>IF(W74=0, "    ---- ", IF(ABS(ROUND(100/W74*X74-100,1))&lt;999,ROUND(100/W74*X74-100,1),IF(ROUND(100/W74*X74-100,1)&gt;999,999,-999)))</f>
        <v>-500</v>
      </c>
      <c r="Z74" s="706"/>
      <c r="AA74" s="425"/>
      <c r="AB74" s="439"/>
      <c r="AC74" s="425"/>
      <c r="AD74" s="425"/>
      <c r="AE74" s="425"/>
      <c r="AF74" s="537">
        <f t="shared" ref="AF74:AG75" si="34">B74+E74+H74+K74+N74+Q74+T74+W74+Z74</f>
        <v>6.7697471007043006</v>
      </c>
      <c r="AG74" s="537">
        <f t="shared" si="34"/>
        <v>149.4827895077928</v>
      </c>
      <c r="AH74" s="439">
        <f t="shared" si="6"/>
        <v>999</v>
      </c>
      <c r="AI74" s="537">
        <f t="shared" ref="AI74:AJ75" si="35">+B74+E74+H74+K74+N74+Q74+T74+W74+Z74+AC74</f>
        <v>6.7697471007043006</v>
      </c>
      <c r="AJ74" s="537">
        <f t="shared" si="35"/>
        <v>149.4827895077928</v>
      </c>
      <c r="AK74" s="439">
        <f t="shared" si="8"/>
        <v>999</v>
      </c>
    </row>
    <row r="75" spans="1:37" s="385" customFormat="1" ht="18.75" customHeight="1" x14ac:dyDescent="0.3">
      <c r="A75" s="411" t="s">
        <v>493</v>
      </c>
      <c r="B75" s="424"/>
      <c r="C75" s="714">
        <v>-19.559999999999999</v>
      </c>
      <c r="D75" s="533" t="str">
        <f>IF(B75=0, "    ---- ", IF(ABS(ROUND(100/B75*C75-100,1))&lt;999,ROUND(100/B75*C75-100,1),IF(ROUND(100/B75*C75-100,1)&gt;999,999,-999)))</f>
        <v xml:space="preserve">    ---- </v>
      </c>
      <c r="E75" s="424"/>
      <c r="F75" s="390"/>
      <c r="G75" s="439"/>
      <c r="H75" s="424"/>
      <c r="I75" s="390"/>
      <c r="J75" s="439"/>
      <c r="K75" s="424"/>
      <c r="L75" s="390"/>
      <c r="M75" s="425"/>
      <c r="N75" s="425"/>
      <c r="O75" s="76"/>
      <c r="P75" s="439"/>
      <c r="Q75" s="424">
        <v>-2.5457642252901342</v>
      </c>
      <c r="R75" s="390">
        <v>-18.176281076705976</v>
      </c>
      <c r="S75" s="533">
        <f t="shared" si="21"/>
        <v>614</v>
      </c>
      <c r="T75" s="425"/>
      <c r="U75" s="76"/>
      <c r="V75" s="439"/>
      <c r="W75" s="424">
        <v>2</v>
      </c>
      <c r="X75" s="390">
        <v>-8</v>
      </c>
      <c r="Y75" s="533">
        <f>IF(W75=0, "    ---- ", IF(ABS(ROUND(100/W75*X75-100,1))&lt;999,ROUND(100/W75*X75-100,1),IF(ROUND(100/W75*X75-100,1)&gt;999,999,-999)))</f>
        <v>-500</v>
      </c>
      <c r="Z75" s="706"/>
      <c r="AA75" s="390"/>
      <c r="AB75" s="439"/>
      <c r="AC75" s="425"/>
      <c r="AD75" s="76"/>
      <c r="AE75" s="425"/>
      <c r="AF75" s="537">
        <f t="shared" si="34"/>
        <v>-0.54576422529013424</v>
      </c>
      <c r="AG75" s="537">
        <f t="shared" si="34"/>
        <v>-45.736281076705978</v>
      </c>
      <c r="AH75" s="439">
        <f t="shared" ref="AH75" si="36">IF(AF75=0, "    ---- ", IF(ABS(ROUND(100/AF75*AG75-100,1))&lt;999,ROUND(100/AF75*AG75-100,1),IF(ROUND(100/AF75*AG75-100,1)&gt;999,999,-999)))</f>
        <v>999</v>
      </c>
      <c r="AI75" s="537">
        <f t="shared" si="35"/>
        <v>-0.54576422529013424</v>
      </c>
      <c r="AJ75" s="537">
        <f t="shared" si="35"/>
        <v>-45.736281076705978</v>
      </c>
      <c r="AK75" s="439">
        <f t="shared" ref="AK75" si="37">IF(AI75=0, "    ---- ", IF(ABS(ROUND(100/AI75*AJ75-100,1))&lt;999,ROUND(100/AI75*AJ75-100,1),IF(ROUND(100/AI75*AJ75-100,1)&gt;999,999,-999)))</f>
        <v>999</v>
      </c>
    </row>
    <row r="76" spans="1:37" s="385" customFormat="1" ht="18.75" customHeight="1" x14ac:dyDescent="0.3">
      <c r="A76" s="411" t="s">
        <v>324</v>
      </c>
      <c r="B76" s="424">
        <v>5</v>
      </c>
      <c r="C76" s="708">
        <v>1.83</v>
      </c>
      <c r="D76" s="533">
        <f t="shared" si="33"/>
        <v>-63.4</v>
      </c>
      <c r="E76" s="424"/>
      <c r="F76" s="425"/>
      <c r="G76" s="439"/>
      <c r="H76" s="424"/>
      <c r="I76" s="425"/>
      <c r="J76" s="439"/>
      <c r="K76" s="424"/>
      <c r="L76" s="425"/>
      <c r="M76" s="425"/>
      <c r="N76" s="425"/>
      <c r="O76" s="425"/>
      <c r="P76" s="439"/>
      <c r="Q76" s="424">
        <v>3.545865964888602</v>
      </c>
      <c r="R76" s="425">
        <v>4.4498960051309915</v>
      </c>
      <c r="S76" s="533">
        <f t="shared" si="21"/>
        <v>25.5</v>
      </c>
      <c r="T76" s="425"/>
      <c r="U76" s="425"/>
      <c r="V76" s="439"/>
      <c r="W76" s="424">
        <v>1</v>
      </c>
      <c r="X76" s="425">
        <v>1</v>
      </c>
      <c r="Y76" s="533">
        <f>IF(W76=0, "    ---- ", IF(ABS(ROUND(100/W76*X76-100,1))&lt;999,ROUND(100/W76*X76-100,1),IF(ROUND(100/W76*X76-100,1)&gt;999,999,-999)))</f>
        <v>0</v>
      </c>
      <c r="Z76" s="706"/>
      <c r="AA76" s="425"/>
      <c r="AB76" s="439"/>
      <c r="AC76" s="425"/>
      <c r="AD76" s="425"/>
      <c r="AE76" s="425"/>
      <c r="AF76" s="537">
        <f t="shared" ref="AF76:AG84" si="38">B76+E76+H76+K76+N76+Q76+T76+W76+Z76</f>
        <v>9.545865964888602</v>
      </c>
      <c r="AG76" s="537">
        <f t="shared" si="38"/>
        <v>7.2798960051309916</v>
      </c>
      <c r="AH76" s="439">
        <f t="shared" si="6"/>
        <v>-23.7</v>
      </c>
      <c r="AI76" s="537">
        <f t="shared" ref="AI76:AJ84" si="39">+B76+E76+H76+K76+N76+Q76+T76+W76+Z76+AC76</f>
        <v>9.545865964888602</v>
      </c>
      <c r="AJ76" s="537">
        <f t="shared" si="39"/>
        <v>7.2798960051309916</v>
      </c>
      <c r="AK76" s="439">
        <f t="shared" si="8"/>
        <v>-23.7</v>
      </c>
    </row>
    <row r="77" spans="1:37" s="385" customFormat="1" ht="18.75" customHeight="1" x14ac:dyDescent="0.3">
      <c r="A77" s="411" t="s">
        <v>325</v>
      </c>
      <c r="B77" s="424">
        <v>1</v>
      </c>
      <c r="C77" s="708">
        <v>1</v>
      </c>
      <c r="D77" s="533">
        <f t="shared" si="33"/>
        <v>0</v>
      </c>
      <c r="E77" s="424"/>
      <c r="F77" s="425"/>
      <c r="G77" s="439"/>
      <c r="H77" s="424"/>
      <c r="I77" s="425"/>
      <c r="J77" s="439"/>
      <c r="K77" s="424"/>
      <c r="L77" s="425"/>
      <c r="M77" s="425"/>
      <c r="N77" s="425"/>
      <c r="O77" s="425"/>
      <c r="P77" s="439"/>
      <c r="Q77" s="424"/>
      <c r="R77" s="425"/>
      <c r="S77" s="533"/>
      <c r="T77" s="425"/>
      <c r="U77" s="425"/>
      <c r="V77" s="439"/>
      <c r="W77" s="424"/>
      <c r="X77" s="425"/>
      <c r="Y77" s="533"/>
      <c r="Z77" s="706"/>
      <c r="AA77" s="425"/>
      <c r="AB77" s="439"/>
      <c r="AC77" s="425"/>
      <c r="AD77" s="425"/>
      <c r="AE77" s="425"/>
      <c r="AF77" s="537">
        <f t="shared" si="38"/>
        <v>1</v>
      </c>
      <c r="AG77" s="537">
        <f t="shared" si="38"/>
        <v>1</v>
      </c>
      <c r="AH77" s="439">
        <f t="shared" si="6"/>
        <v>0</v>
      </c>
      <c r="AI77" s="537">
        <f t="shared" si="39"/>
        <v>1</v>
      </c>
      <c r="AJ77" s="537">
        <f t="shared" si="39"/>
        <v>1</v>
      </c>
      <c r="AK77" s="439">
        <f t="shared" si="8"/>
        <v>0</v>
      </c>
    </row>
    <row r="78" spans="1:37" s="385" customFormat="1" ht="18.75" customHeight="1" x14ac:dyDescent="0.3">
      <c r="A78" s="411" t="s">
        <v>326</v>
      </c>
      <c r="B78" s="424">
        <v>20</v>
      </c>
      <c r="C78" s="708">
        <v>19</v>
      </c>
      <c r="D78" s="533">
        <f t="shared" si="33"/>
        <v>-5</v>
      </c>
      <c r="E78" s="424"/>
      <c r="F78" s="425"/>
      <c r="G78" s="439"/>
      <c r="H78" s="424"/>
      <c r="I78" s="425"/>
      <c r="J78" s="439"/>
      <c r="K78" s="424"/>
      <c r="L78" s="425"/>
      <c r="M78" s="425"/>
      <c r="N78" s="425"/>
      <c r="O78" s="425"/>
      <c r="P78" s="439"/>
      <c r="Q78" s="424">
        <v>2.7520559433333327</v>
      </c>
      <c r="R78" s="425">
        <v>3.0006837013333332</v>
      </c>
      <c r="S78" s="533">
        <f t="shared" si="21"/>
        <v>9</v>
      </c>
      <c r="T78" s="425"/>
      <c r="U78" s="425"/>
      <c r="V78" s="439"/>
      <c r="W78" s="424">
        <v>2</v>
      </c>
      <c r="X78" s="425">
        <v>2</v>
      </c>
      <c r="Y78" s="533">
        <f>IF(W78=0, "    ---- ", IF(ABS(ROUND(100/W78*X78-100,1))&lt;999,ROUND(100/W78*X78-100,1),IF(ROUND(100/W78*X78-100,1)&gt;999,999,-999)))</f>
        <v>0</v>
      </c>
      <c r="Z78" s="706"/>
      <c r="AA78" s="425"/>
      <c r="AB78" s="439"/>
      <c r="AC78" s="425"/>
      <c r="AD78" s="425"/>
      <c r="AE78" s="425"/>
      <c r="AF78" s="537">
        <f t="shared" si="38"/>
        <v>24.752055943333332</v>
      </c>
      <c r="AG78" s="537">
        <f t="shared" si="38"/>
        <v>24.000683701333333</v>
      </c>
      <c r="AH78" s="439">
        <f t="shared" si="6"/>
        <v>-3</v>
      </c>
      <c r="AI78" s="537">
        <f t="shared" si="39"/>
        <v>24.752055943333332</v>
      </c>
      <c r="AJ78" s="537">
        <f t="shared" si="39"/>
        <v>24.000683701333333</v>
      </c>
      <c r="AK78" s="439">
        <f t="shared" si="8"/>
        <v>-3</v>
      </c>
    </row>
    <row r="79" spans="1:37" s="385" customFormat="1" ht="18.75" customHeight="1" x14ac:dyDescent="0.3">
      <c r="A79" s="411" t="s">
        <v>327</v>
      </c>
      <c r="B79" s="424">
        <v>0</v>
      </c>
      <c r="C79" s="708">
        <v>6</v>
      </c>
      <c r="D79" s="533" t="str">
        <f t="shared" si="33"/>
        <v xml:space="preserve">    ---- </v>
      </c>
      <c r="E79" s="424"/>
      <c r="F79" s="425"/>
      <c r="G79" s="439"/>
      <c r="H79" s="424"/>
      <c r="I79" s="425"/>
      <c r="J79" s="439"/>
      <c r="K79" s="424"/>
      <c r="L79" s="425"/>
      <c r="M79" s="425"/>
      <c r="N79" s="425"/>
      <c r="O79" s="425"/>
      <c r="P79" s="439"/>
      <c r="Q79" s="424">
        <v>4.7101389028740943</v>
      </c>
      <c r="R79" s="425">
        <v>1.3240364428641076</v>
      </c>
      <c r="S79" s="533">
        <f t="shared" si="21"/>
        <v>-71.900000000000006</v>
      </c>
      <c r="T79" s="425"/>
      <c r="U79" s="425"/>
      <c r="V79" s="439"/>
      <c r="W79" s="424">
        <v>-7</v>
      </c>
      <c r="X79" s="425">
        <v>3</v>
      </c>
      <c r="Y79" s="533">
        <f>IF(W79=0, "    ---- ", IF(ABS(ROUND(100/W79*X79-100,1))&lt;999,ROUND(100/W79*X79-100,1),IF(ROUND(100/W79*X79-100,1)&gt;999,999,-999)))</f>
        <v>-142.9</v>
      </c>
      <c r="Z79" s="706"/>
      <c r="AA79" s="425"/>
      <c r="AB79" s="439"/>
      <c r="AC79" s="425"/>
      <c r="AD79" s="425"/>
      <c r="AE79" s="425"/>
      <c r="AF79" s="537">
        <f t="shared" si="38"/>
        <v>-2.2898610971259057</v>
      </c>
      <c r="AG79" s="537">
        <f t="shared" si="38"/>
        <v>10.324036442864108</v>
      </c>
      <c r="AH79" s="439">
        <f t="shared" si="6"/>
        <v>-550.9</v>
      </c>
      <c r="AI79" s="537">
        <f t="shared" si="39"/>
        <v>-2.2898610971259057</v>
      </c>
      <c r="AJ79" s="537">
        <f t="shared" si="39"/>
        <v>10.324036442864108</v>
      </c>
      <c r="AK79" s="439">
        <f t="shared" si="8"/>
        <v>-550.9</v>
      </c>
    </row>
    <row r="80" spans="1:37" s="385" customFormat="1" ht="18.75" customHeight="1" x14ac:dyDescent="0.3">
      <c r="A80" s="411" t="s">
        <v>328</v>
      </c>
      <c r="B80" s="424"/>
      <c r="C80" s="708"/>
      <c r="D80" s="533"/>
      <c r="E80" s="424"/>
      <c r="F80" s="425"/>
      <c r="G80" s="439"/>
      <c r="H80" s="424"/>
      <c r="I80" s="425"/>
      <c r="J80" s="439"/>
      <c r="K80" s="424"/>
      <c r="L80" s="425"/>
      <c r="M80" s="425"/>
      <c r="N80" s="425"/>
      <c r="O80" s="425"/>
      <c r="P80" s="439"/>
      <c r="Q80" s="424">
        <v>10.126626028157565</v>
      </c>
      <c r="R80" s="425">
        <v>11.869593475881926</v>
      </c>
      <c r="S80" s="533">
        <f t="shared" si="21"/>
        <v>17.2</v>
      </c>
      <c r="T80" s="425"/>
      <c r="U80" s="425"/>
      <c r="V80" s="439"/>
      <c r="W80" s="424"/>
      <c r="X80" s="425"/>
      <c r="Y80" s="533"/>
      <c r="Z80" s="706"/>
      <c r="AA80" s="425"/>
      <c r="AB80" s="439"/>
      <c r="AC80" s="425"/>
      <c r="AD80" s="425"/>
      <c r="AE80" s="425"/>
      <c r="AF80" s="537">
        <f t="shared" si="38"/>
        <v>10.126626028157565</v>
      </c>
      <c r="AG80" s="537">
        <f t="shared" si="38"/>
        <v>11.869593475881926</v>
      </c>
      <c r="AH80" s="439">
        <f t="shared" si="6"/>
        <v>17.2</v>
      </c>
      <c r="AI80" s="537">
        <f t="shared" si="39"/>
        <v>10.126626028157565</v>
      </c>
      <c r="AJ80" s="537">
        <f t="shared" si="39"/>
        <v>11.869593475881926</v>
      </c>
      <c r="AK80" s="439">
        <f t="shared" si="8"/>
        <v>17.2</v>
      </c>
    </row>
    <row r="81" spans="1:37" s="385" customFormat="1" ht="18.75" customHeight="1" x14ac:dyDescent="0.3">
      <c r="A81" s="411" t="s">
        <v>329</v>
      </c>
      <c r="B81" s="424"/>
      <c r="C81" s="708"/>
      <c r="D81" s="533"/>
      <c r="E81" s="424"/>
      <c r="F81" s="425"/>
      <c r="G81" s="439"/>
      <c r="H81" s="424"/>
      <c r="I81" s="425"/>
      <c r="J81" s="439"/>
      <c r="K81" s="424"/>
      <c r="L81" s="425"/>
      <c r="M81" s="425"/>
      <c r="N81" s="425"/>
      <c r="O81" s="425"/>
      <c r="P81" s="439"/>
      <c r="Q81" s="424"/>
      <c r="R81" s="425"/>
      <c r="S81" s="533"/>
      <c r="T81" s="425"/>
      <c r="U81" s="425"/>
      <c r="V81" s="439"/>
      <c r="W81" s="424"/>
      <c r="X81" s="425"/>
      <c r="Y81" s="533"/>
      <c r="Z81" s="706"/>
      <c r="AA81" s="425"/>
      <c r="AB81" s="439"/>
      <c r="AC81" s="425"/>
      <c r="AD81" s="425"/>
      <c r="AE81" s="425"/>
      <c r="AF81" s="537">
        <f t="shared" si="38"/>
        <v>0</v>
      </c>
      <c r="AG81" s="537">
        <f t="shared" si="38"/>
        <v>0</v>
      </c>
      <c r="AH81" s="439" t="str">
        <f t="shared" si="6"/>
        <v xml:space="preserve">    ---- </v>
      </c>
      <c r="AI81" s="537">
        <f t="shared" si="39"/>
        <v>0</v>
      </c>
      <c r="AJ81" s="537">
        <f t="shared" si="39"/>
        <v>0</v>
      </c>
      <c r="AK81" s="439" t="str">
        <f t="shared" si="8"/>
        <v xml:space="preserve">    ---- </v>
      </c>
    </row>
    <row r="82" spans="1:37" s="521" customFormat="1" ht="18.75" customHeight="1" x14ac:dyDescent="0.3">
      <c r="A82" s="528" t="s">
        <v>330</v>
      </c>
      <c r="B82" s="422">
        <f>SUM(B74:B79)+B81</f>
        <v>33</v>
      </c>
      <c r="C82" s="723">
        <f>SUM(C74:C79)+C81</f>
        <v>126.67999999999999</v>
      </c>
      <c r="D82" s="532">
        <f>IF(B82=0, "    ---- ", IF(ABS(ROUND(100/B82*C82-100,1))&lt;999,ROUND(100/B82*C82-100,1),IF(ROUND(100/B82*C82-100,1)&gt;999,999,-999)))</f>
        <v>283.89999999999998</v>
      </c>
      <c r="E82" s="422"/>
      <c r="F82" s="423"/>
      <c r="G82" s="440"/>
      <c r="H82" s="422"/>
      <c r="I82" s="423"/>
      <c r="J82" s="440"/>
      <c r="K82" s="422"/>
      <c r="L82" s="423"/>
      <c r="M82" s="423"/>
      <c r="N82" s="423"/>
      <c r="O82" s="423"/>
      <c r="P82" s="440"/>
      <c r="Q82" s="422">
        <f>SUM(Q74:Q79)+Q81</f>
        <v>11.232043686510195</v>
      </c>
      <c r="R82" s="423">
        <f>SUM(R74:R79)+R81</f>
        <v>9.6711245804152544</v>
      </c>
      <c r="S82" s="532">
        <f t="shared" si="21"/>
        <v>-13.9</v>
      </c>
      <c r="T82" s="423"/>
      <c r="U82" s="423"/>
      <c r="V82" s="440"/>
      <c r="W82" s="422">
        <f>SUM(W74:W79)+W81</f>
        <v>-5</v>
      </c>
      <c r="X82" s="423">
        <f>SUM(X74:X79)+X81</f>
        <v>10</v>
      </c>
      <c r="Y82" s="532">
        <f>IF(W82=0, "    ---- ", IF(ABS(ROUND(100/W82*X82-100,1))&lt;999,ROUND(100/W82*X82-100,1),IF(ROUND(100/W82*X82-100,1)&gt;999,999,-999)))</f>
        <v>-300</v>
      </c>
      <c r="Z82" s="707"/>
      <c r="AA82" s="423"/>
      <c r="AB82" s="440"/>
      <c r="AC82" s="423"/>
      <c r="AD82" s="423"/>
      <c r="AE82" s="423"/>
      <c r="AF82" s="538">
        <f t="shared" si="38"/>
        <v>39.232043686510195</v>
      </c>
      <c r="AG82" s="538">
        <f t="shared" si="38"/>
        <v>146.35112458041525</v>
      </c>
      <c r="AH82" s="440">
        <f t="shared" si="6"/>
        <v>273</v>
      </c>
      <c r="AI82" s="538">
        <f t="shared" si="39"/>
        <v>39.232043686510195</v>
      </c>
      <c r="AJ82" s="538">
        <f t="shared" si="39"/>
        <v>146.35112458041525</v>
      </c>
      <c r="AK82" s="440">
        <f t="shared" si="8"/>
        <v>273</v>
      </c>
    </row>
    <row r="83" spans="1:37" s="385" customFormat="1" ht="18.75" customHeight="1" x14ac:dyDescent="0.3">
      <c r="A83" s="411" t="s">
        <v>331</v>
      </c>
      <c r="B83" s="424">
        <v>7</v>
      </c>
      <c r="C83" s="708">
        <v>102</v>
      </c>
      <c r="D83" s="533">
        <f>IF(B83=0, "    ---- ", IF(ABS(ROUND(100/B83*C83-100,1))&lt;999,ROUND(100/B83*C83-100,1),IF(ROUND(100/B83*C83-100,1)&gt;999,999,-999)))</f>
        <v>999</v>
      </c>
      <c r="E83" s="424"/>
      <c r="F83" s="425"/>
      <c r="G83" s="439"/>
      <c r="H83" s="424"/>
      <c r="I83" s="425"/>
      <c r="J83" s="439"/>
      <c r="K83" s="424"/>
      <c r="L83" s="425"/>
      <c r="M83" s="425"/>
      <c r="N83" s="425"/>
      <c r="O83" s="425"/>
      <c r="P83" s="439"/>
      <c r="Q83" s="424">
        <v>2.3550694514370472</v>
      </c>
      <c r="R83" s="425">
        <v>0.66201822143205258</v>
      </c>
      <c r="S83" s="533">
        <f t="shared" si="21"/>
        <v>-71.900000000000006</v>
      </c>
      <c r="T83" s="425"/>
      <c r="U83" s="425"/>
      <c r="V83" s="439"/>
      <c r="W83" s="424"/>
      <c r="X83" s="425">
        <v>4</v>
      </c>
      <c r="Y83" s="533" t="str">
        <f>IF(W83=0, "    ---- ", IF(ABS(ROUND(100/W83*X83-100,1))&lt;999,ROUND(100/W83*X83-100,1),IF(ROUND(100/W83*X83-100,1)&gt;999,999,-999)))</f>
        <v xml:space="preserve">    ---- </v>
      </c>
      <c r="Z83" s="706"/>
      <c r="AA83" s="425"/>
      <c r="AB83" s="439"/>
      <c r="AC83" s="425"/>
      <c r="AD83" s="425"/>
      <c r="AE83" s="425"/>
      <c r="AF83" s="537">
        <f t="shared" si="38"/>
        <v>9.3550694514370463</v>
      </c>
      <c r="AG83" s="537">
        <f t="shared" si="38"/>
        <v>106.66201822143205</v>
      </c>
      <c r="AH83" s="439">
        <f t="shared" si="6"/>
        <v>999</v>
      </c>
      <c r="AI83" s="537">
        <f t="shared" si="39"/>
        <v>9.3550694514370463</v>
      </c>
      <c r="AJ83" s="537">
        <f t="shared" si="39"/>
        <v>106.66201822143205</v>
      </c>
      <c r="AK83" s="439">
        <f t="shared" si="8"/>
        <v>999</v>
      </c>
    </row>
    <row r="84" spans="1:37" s="385" customFormat="1" ht="18.75" customHeight="1" x14ac:dyDescent="0.3">
      <c r="A84" s="411" t="s">
        <v>332</v>
      </c>
      <c r="B84" s="424">
        <v>26</v>
      </c>
      <c r="C84" s="708">
        <v>25</v>
      </c>
      <c r="D84" s="533">
        <f>IF(B84=0, "    ---- ", IF(ABS(ROUND(100/B84*C84-100,1))&lt;999,ROUND(100/B84*C84-100,1),IF(ROUND(100/B84*C84-100,1)&gt;999,999,-999)))</f>
        <v>-3.8</v>
      </c>
      <c r="E84" s="424"/>
      <c r="F84" s="425"/>
      <c r="G84" s="439"/>
      <c r="H84" s="424"/>
      <c r="I84" s="425"/>
      <c r="J84" s="439"/>
      <c r="K84" s="424"/>
      <c r="L84" s="425"/>
      <c r="M84" s="425"/>
      <c r="N84" s="425"/>
      <c r="O84" s="425"/>
      <c r="P84" s="439"/>
      <c r="Q84" s="424">
        <v>8.8769742350731491</v>
      </c>
      <c r="R84" s="425">
        <v>9.0091063589832014</v>
      </c>
      <c r="S84" s="533">
        <f t="shared" si="21"/>
        <v>1.5</v>
      </c>
      <c r="T84" s="425"/>
      <c r="U84" s="425"/>
      <c r="V84" s="439"/>
      <c r="W84" s="424">
        <v>-5</v>
      </c>
      <c r="X84" s="425">
        <v>6</v>
      </c>
      <c r="Y84" s="533">
        <f>IF(W84=0, "    ---- ", IF(ABS(ROUND(100/W84*X84-100,1))&lt;999,ROUND(100/W84*X84-100,1),IF(ROUND(100/W84*X84-100,1)&gt;999,999,-999)))</f>
        <v>-220</v>
      </c>
      <c r="Z84" s="706"/>
      <c r="AA84" s="425"/>
      <c r="AB84" s="439"/>
      <c r="AC84" s="425"/>
      <c r="AD84" s="425"/>
      <c r="AE84" s="425"/>
      <c r="AF84" s="537">
        <f t="shared" si="38"/>
        <v>29.876974235073149</v>
      </c>
      <c r="AG84" s="537">
        <f t="shared" si="38"/>
        <v>40.009106358983203</v>
      </c>
      <c r="AH84" s="439">
        <f t="shared" si="6"/>
        <v>33.9</v>
      </c>
      <c r="AI84" s="537">
        <f t="shared" si="39"/>
        <v>29.876974235073149</v>
      </c>
      <c r="AJ84" s="537">
        <f t="shared" si="39"/>
        <v>40.009106358983203</v>
      </c>
      <c r="AK84" s="439">
        <f t="shared" si="8"/>
        <v>33.9</v>
      </c>
    </row>
    <row r="85" spans="1:37" s="521" customFormat="1" ht="18.75" customHeight="1" x14ac:dyDescent="0.3">
      <c r="A85" s="528" t="s">
        <v>338</v>
      </c>
      <c r="B85" s="422"/>
      <c r="C85" s="723"/>
      <c r="D85" s="532"/>
      <c r="E85" s="422"/>
      <c r="F85" s="423"/>
      <c r="G85" s="440"/>
      <c r="H85" s="422"/>
      <c r="I85" s="423"/>
      <c r="J85" s="440"/>
      <c r="K85" s="422"/>
      <c r="L85" s="423"/>
      <c r="M85" s="423"/>
      <c r="N85" s="423"/>
      <c r="O85" s="423"/>
      <c r="P85" s="440"/>
      <c r="Q85" s="422"/>
      <c r="R85" s="423"/>
      <c r="S85" s="532"/>
      <c r="T85" s="423"/>
      <c r="U85" s="423"/>
      <c r="V85" s="440"/>
      <c r="W85" s="422"/>
      <c r="X85" s="423"/>
      <c r="Y85" s="532"/>
      <c r="Z85" s="707"/>
      <c r="AA85" s="423"/>
      <c r="AB85" s="440"/>
      <c r="AC85" s="423"/>
      <c r="AD85" s="423"/>
      <c r="AE85" s="423"/>
      <c r="AF85" s="537"/>
      <c r="AG85" s="537"/>
      <c r="AH85" s="440"/>
      <c r="AI85" s="537"/>
      <c r="AJ85" s="537"/>
      <c r="AK85" s="440"/>
    </row>
    <row r="86" spans="1:37" s="385" customFormat="1" ht="18.75" x14ac:dyDescent="0.3">
      <c r="A86" s="760" t="s">
        <v>494</v>
      </c>
      <c r="B86" s="424"/>
      <c r="C86" s="708"/>
      <c r="D86" s="533"/>
      <c r="E86" s="424"/>
      <c r="F86" s="425"/>
      <c r="G86" s="533"/>
      <c r="H86" s="424">
        <v>33.130000000000003</v>
      </c>
      <c r="I86" s="425">
        <v>48.002000000000002</v>
      </c>
      <c r="J86" s="533">
        <f>IF(H86=0, "    ---- ", IF(ABS(ROUND(100/H86*I86-100,1))&lt;999,ROUND(100/H86*I86-100,1),IF(ROUND(100/H86*I86-100,1)&gt;999,999,-999)))</f>
        <v>44.9</v>
      </c>
      <c r="K86" s="424">
        <v>41</v>
      </c>
      <c r="L86" s="425">
        <v>45</v>
      </c>
      <c r="M86" s="537">
        <f>IF(K86=0, "    ---- ", IF(ABS(ROUND(100/K86*L86-100,1))&lt;999,ROUND(100/K86*L86-100,1),IF(ROUND(100/K86*L86-100,1)&gt;999,999,-999)))</f>
        <v>9.8000000000000007</v>
      </c>
      <c r="N86" s="425"/>
      <c r="O86" s="425"/>
      <c r="P86" s="543"/>
      <c r="Q86" s="424">
        <v>4.9158422998279407</v>
      </c>
      <c r="R86" s="425">
        <v>13.214089595045261</v>
      </c>
      <c r="S86" s="533">
        <f t="shared" si="21"/>
        <v>168.8</v>
      </c>
      <c r="T86" s="425"/>
      <c r="U86" s="425"/>
      <c r="V86" s="533"/>
      <c r="W86" s="424"/>
      <c r="X86" s="425"/>
      <c r="Y86" s="533"/>
      <c r="Z86" s="706"/>
      <c r="AA86" s="425">
        <v>14.98726654</v>
      </c>
      <c r="AB86" s="439" t="str">
        <f>IF(Z86=0, "    ---- ", IF(ABS(ROUND(100/Z86*AA86-100,1))&lt;999,ROUND(100/Z86*AA86-100,1),IF(ROUND(100/Z86*AA86-100,1)&gt;999,999,-999)))</f>
        <v xml:space="preserve">    ---- </v>
      </c>
      <c r="AC86" s="537"/>
      <c r="AD86" s="425"/>
      <c r="AE86" s="537"/>
      <c r="AF86" s="537">
        <f t="shared" ref="AF86:AG96" si="40">B86+E86+H86+K86+N86+Q86+T86+W86+Z86</f>
        <v>79.045842299827939</v>
      </c>
      <c r="AG86" s="537">
        <f t="shared" si="40"/>
        <v>121.20335613504528</v>
      </c>
      <c r="AH86" s="533">
        <f t="shared" si="6"/>
        <v>53.3</v>
      </c>
      <c r="AI86" s="537">
        <f t="shared" ref="AI86:AJ86" si="41">+B86+E86+H86+K86+N86+Q86+T86+W86+Z86+AC86</f>
        <v>79.045842299827939</v>
      </c>
      <c r="AJ86" s="537">
        <f t="shared" si="41"/>
        <v>121.20335613504528</v>
      </c>
      <c r="AK86" s="533">
        <f t="shared" si="8"/>
        <v>53.3</v>
      </c>
    </row>
    <row r="87" spans="1:37" s="385" customFormat="1" ht="18.75" customHeight="1" x14ac:dyDescent="0.3">
      <c r="A87" s="411" t="s">
        <v>493</v>
      </c>
      <c r="B87" s="424"/>
      <c r="C87" s="714"/>
      <c r="D87" s="533"/>
      <c r="E87" s="424"/>
      <c r="F87" s="390"/>
      <c r="G87" s="543"/>
      <c r="H87" s="424"/>
      <c r="I87" s="390"/>
      <c r="J87" s="543"/>
      <c r="K87" s="424"/>
      <c r="L87" s="390"/>
      <c r="M87" s="534"/>
      <c r="N87" s="425"/>
      <c r="O87" s="76"/>
      <c r="P87" s="543"/>
      <c r="Q87" s="424"/>
      <c r="R87" s="390"/>
      <c r="S87" s="533"/>
      <c r="T87" s="425"/>
      <c r="U87" s="76"/>
      <c r="V87" s="543"/>
      <c r="W87" s="424"/>
      <c r="X87" s="390"/>
      <c r="Y87" s="533"/>
      <c r="Z87" s="706"/>
      <c r="AA87" s="390"/>
      <c r="AB87" s="543"/>
      <c r="AC87" s="534"/>
      <c r="AD87" s="76"/>
      <c r="AE87" s="534"/>
      <c r="AF87" s="537">
        <f t="shared" si="40"/>
        <v>0</v>
      </c>
      <c r="AG87" s="537">
        <f t="shared" si="40"/>
        <v>0</v>
      </c>
      <c r="AH87" s="543"/>
      <c r="AI87" s="537"/>
      <c r="AJ87" s="537"/>
      <c r="AK87" s="543"/>
    </row>
    <row r="88" spans="1:37" s="385" customFormat="1" ht="18.75" customHeight="1" x14ac:dyDescent="0.3">
      <c r="A88" s="411" t="s">
        <v>324</v>
      </c>
      <c r="B88" s="424"/>
      <c r="C88" s="708"/>
      <c r="D88" s="533"/>
      <c r="E88" s="424"/>
      <c r="F88" s="425"/>
      <c r="G88" s="439"/>
      <c r="H88" s="424">
        <v>-23.283999999999999</v>
      </c>
      <c r="I88" s="425">
        <v>-24.288</v>
      </c>
      <c r="J88" s="439">
        <f>IF(H88=0, "    ---- ", IF(ABS(ROUND(100/H88*I88-100,1))&lt;999,ROUND(100/H88*I88-100,1),IF(ROUND(100/H88*I88-100,1)&gt;999,999,-999)))</f>
        <v>4.3</v>
      </c>
      <c r="K88" s="424">
        <v>19</v>
      </c>
      <c r="L88" s="425">
        <v>43</v>
      </c>
      <c r="M88" s="425">
        <f>IF(K88=0, "    ---- ", IF(ABS(ROUND(100/K88*L88-100,1))&lt;999,ROUND(100/K88*L88-100,1),IF(ROUND(100/K88*L88-100,1)&gt;999,999,-999)))</f>
        <v>126.3</v>
      </c>
      <c r="N88" s="425"/>
      <c r="O88" s="425"/>
      <c r="P88" s="439"/>
      <c r="Q88" s="424">
        <v>13.291363994660289</v>
      </c>
      <c r="R88" s="425">
        <v>15.222606499398365</v>
      </c>
      <c r="S88" s="533">
        <f t="shared" si="21"/>
        <v>14.5</v>
      </c>
      <c r="T88" s="425"/>
      <c r="U88" s="425"/>
      <c r="V88" s="439"/>
      <c r="W88" s="424"/>
      <c r="X88" s="425"/>
      <c r="Y88" s="533"/>
      <c r="Z88" s="706">
        <v>3.3156348566749578</v>
      </c>
      <c r="AA88" s="425">
        <v>-15.64193691</v>
      </c>
      <c r="AB88" s="439">
        <f>IF(Z88=0, "    ---- ", IF(ABS(ROUND(100/Z88*AA88-100,1))&lt;999,ROUND(100/Z88*AA88-100,1),IF(ROUND(100/Z88*AA88-100,1)&gt;999,999,-999)))</f>
        <v>-571.79999999999995</v>
      </c>
      <c r="AC88" s="425"/>
      <c r="AD88" s="425"/>
      <c r="AE88" s="425"/>
      <c r="AF88" s="537">
        <f t="shared" si="40"/>
        <v>12.322998851335248</v>
      </c>
      <c r="AG88" s="537">
        <f t="shared" si="40"/>
        <v>18.292669589398365</v>
      </c>
      <c r="AH88" s="439">
        <f t="shared" ref="AH88:AH108" si="42">IF(AF88=0, "    ---- ", IF(ABS(ROUND(100/AF88*AG88-100,1))&lt;999,ROUND(100/AF88*AG88-100,1),IF(ROUND(100/AF88*AG88-100,1)&gt;999,999,-999)))</f>
        <v>48.4</v>
      </c>
      <c r="AI88" s="537">
        <f t="shared" ref="AI88:AJ96" si="43">+B88+E88+H88+K88+N88+Q88+T88+W88+Z88+AC88</f>
        <v>12.322998851335248</v>
      </c>
      <c r="AJ88" s="537">
        <f t="shared" si="43"/>
        <v>18.292669589398365</v>
      </c>
      <c r="AK88" s="439">
        <f t="shared" ref="AK88:AK108" si="44">IF(AI88=0, "    ---- ", IF(ABS(ROUND(100/AI88*AJ88-100,1))&lt;999,ROUND(100/AI88*AJ88-100,1),IF(ROUND(100/AI88*AJ88-100,1)&gt;999,999,-999)))</f>
        <v>48.4</v>
      </c>
    </row>
    <row r="89" spans="1:37" s="385" customFormat="1" ht="18.75" customHeight="1" x14ac:dyDescent="0.3">
      <c r="A89" s="411" t="s">
        <v>325</v>
      </c>
      <c r="B89" s="424"/>
      <c r="C89" s="708"/>
      <c r="D89" s="533"/>
      <c r="E89" s="424"/>
      <c r="F89" s="425"/>
      <c r="G89" s="439"/>
      <c r="H89" s="424"/>
      <c r="I89" s="425"/>
      <c r="J89" s="439"/>
      <c r="K89" s="424"/>
      <c r="L89" s="425"/>
      <c r="M89" s="425"/>
      <c r="N89" s="425"/>
      <c r="O89" s="425"/>
      <c r="P89" s="439"/>
      <c r="Q89" s="424"/>
      <c r="R89" s="425"/>
      <c r="S89" s="533"/>
      <c r="T89" s="425"/>
      <c r="U89" s="425"/>
      <c r="V89" s="439"/>
      <c r="W89" s="424"/>
      <c r="X89" s="425"/>
      <c r="Y89" s="533"/>
      <c r="Z89" s="706"/>
      <c r="AA89" s="425"/>
      <c r="AB89" s="439"/>
      <c r="AC89" s="425"/>
      <c r="AD89" s="425"/>
      <c r="AE89" s="425"/>
      <c r="AF89" s="537">
        <f t="shared" si="40"/>
        <v>0</v>
      </c>
      <c r="AG89" s="537">
        <f t="shared" si="40"/>
        <v>0</v>
      </c>
      <c r="AH89" s="439" t="str">
        <f t="shared" si="42"/>
        <v xml:space="preserve">    ---- </v>
      </c>
      <c r="AI89" s="537">
        <f t="shared" si="43"/>
        <v>0</v>
      </c>
      <c r="AJ89" s="537">
        <f t="shared" si="43"/>
        <v>0</v>
      </c>
      <c r="AK89" s="439" t="str">
        <f t="shared" si="44"/>
        <v xml:space="preserve">    ---- </v>
      </c>
    </row>
    <row r="90" spans="1:37" s="385" customFormat="1" ht="18.75" customHeight="1" x14ac:dyDescent="0.3">
      <c r="A90" s="411" t="s">
        <v>326</v>
      </c>
      <c r="B90" s="424"/>
      <c r="C90" s="708"/>
      <c r="D90" s="533"/>
      <c r="E90" s="424"/>
      <c r="F90" s="425"/>
      <c r="G90" s="439"/>
      <c r="H90" s="424"/>
      <c r="I90" s="425"/>
      <c r="J90" s="439"/>
      <c r="K90" s="424"/>
      <c r="L90" s="425"/>
      <c r="M90" s="425"/>
      <c r="N90" s="425"/>
      <c r="O90" s="425"/>
      <c r="P90" s="439"/>
      <c r="Q90" s="424"/>
      <c r="R90" s="425"/>
      <c r="S90" s="533"/>
      <c r="T90" s="425"/>
      <c r="U90" s="425"/>
      <c r="V90" s="439"/>
      <c r="W90" s="424"/>
      <c r="X90" s="425"/>
      <c r="Y90" s="533"/>
      <c r="Z90" s="706"/>
      <c r="AA90" s="425"/>
      <c r="AB90" s="439"/>
      <c r="AC90" s="425"/>
      <c r="AD90" s="425"/>
      <c r="AE90" s="425"/>
      <c r="AF90" s="537">
        <f t="shared" si="40"/>
        <v>0</v>
      </c>
      <c r="AG90" s="537">
        <f t="shared" si="40"/>
        <v>0</v>
      </c>
      <c r="AH90" s="439" t="str">
        <f t="shared" si="42"/>
        <v xml:space="preserve">    ---- </v>
      </c>
      <c r="AI90" s="537">
        <f t="shared" si="43"/>
        <v>0</v>
      </c>
      <c r="AJ90" s="537">
        <f t="shared" si="43"/>
        <v>0</v>
      </c>
      <c r="AK90" s="439" t="str">
        <f t="shared" si="44"/>
        <v xml:space="preserve">    ---- </v>
      </c>
    </row>
    <row r="91" spans="1:37" s="385" customFormat="1" ht="18.75" customHeight="1" x14ac:dyDescent="0.3">
      <c r="A91" s="411" t="s">
        <v>327</v>
      </c>
      <c r="B91" s="424"/>
      <c r="C91" s="708"/>
      <c r="D91" s="533"/>
      <c r="E91" s="424"/>
      <c r="F91" s="425"/>
      <c r="G91" s="439"/>
      <c r="H91" s="424">
        <v>-160.41499999999999</v>
      </c>
      <c r="I91" s="425">
        <v>-84.584999999999994</v>
      </c>
      <c r="J91" s="439">
        <f>IF(H91=0, "    ---- ", IF(ABS(ROUND(100/H91*I91-100,1))&lt;999,ROUND(100/H91*I91-100,1),IF(ROUND(100/H91*I91-100,1)&gt;999,999,-999)))</f>
        <v>-47.3</v>
      </c>
      <c r="K91" s="424">
        <v>-153</v>
      </c>
      <c r="L91" s="425">
        <v>-23</v>
      </c>
      <c r="M91" s="425">
        <f>IF(K91=0, "    ---- ", IF(ABS(ROUND(100/K91*L91-100,1))&lt;999,ROUND(100/K91*L91-100,1),IF(ROUND(100/K91*L91-100,1)&gt;999,999,-999)))</f>
        <v>-85</v>
      </c>
      <c r="N91" s="425"/>
      <c r="O91" s="425"/>
      <c r="P91" s="439"/>
      <c r="Q91" s="424">
        <v>18.110687492002612</v>
      </c>
      <c r="R91" s="425">
        <v>20.278907993024433</v>
      </c>
      <c r="S91" s="533">
        <f t="shared" si="21"/>
        <v>12</v>
      </c>
      <c r="T91" s="425"/>
      <c r="U91" s="425"/>
      <c r="V91" s="439"/>
      <c r="W91" s="424"/>
      <c r="X91" s="425"/>
      <c r="Y91" s="533"/>
      <c r="Z91" s="706">
        <v>-29.024452859999997</v>
      </c>
      <c r="AA91" s="425">
        <v>-42.420266710000099</v>
      </c>
      <c r="AB91" s="439">
        <f>IF(Z91=0, "    ---- ", IF(ABS(ROUND(100/Z91*AA91-100,1))&lt;999,ROUND(100/Z91*AA91-100,1),IF(ROUND(100/Z91*AA91-100,1)&gt;999,999,-999)))</f>
        <v>46.2</v>
      </c>
      <c r="AC91" s="425"/>
      <c r="AD91" s="425"/>
      <c r="AE91" s="425"/>
      <c r="AF91" s="537">
        <f t="shared" si="40"/>
        <v>-324.32876536799733</v>
      </c>
      <c r="AG91" s="537">
        <f t="shared" si="40"/>
        <v>-129.72635871697565</v>
      </c>
      <c r="AH91" s="439">
        <f t="shared" si="42"/>
        <v>-60</v>
      </c>
      <c r="AI91" s="537">
        <f t="shared" si="43"/>
        <v>-324.32876536799733</v>
      </c>
      <c r="AJ91" s="537">
        <f t="shared" si="43"/>
        <v>-129.72635871697565</v>
      </c>
      <c r="AK91" s="439">
        <f t="shared" si="44"/>
        <v>-60</v>
      </c>
    </row>
    <row r="92" spans="1:37" s="385" customFormat="1" ht="18.75" customHeight="1" x14ac:dyDescent="0.3">
      <c r="A92" s="411" t="s">
        <v>328</v>
      </c>
      <c r="B92" s="424"/>
      <c r="C92" s="708"/>
      <c r="D92" s="533"/>
      <c r="E92" s="424"/>
      <c r="F92" s="425"/>
      <c r="G92" s="439"/>
      <c r="H92" s="424"/>
      <c r="I92" s="425"/>
      <c r="J92" s="439"/>
      <c r="K92" s="424"/>
      <c r="L92" s="425"/>
      <c r="M92" s="425"/>
      <c r="N92" s="425"/>
      <c r="O92" s="425"/>
      <c r="P92" s="439"/>
      <c r="Q92" s="424"/>
      <c r="R92" s="425"/>
      <c r="S92" s="533"/>
      <c r="T92" s="425"/>
      <c r="U92" s="425"/>
      <c r="V92" s="439"/>
      <c r="W92" s="424"/>
      <c r="X92" s="425"/>
      <c r="Y92" s="533"/>
      <c r="Z92" s="706"/>
      <c r="AA92" s="425"/>
      <c r="AB92" s="439"/>
      <c r="AC92" s="425"/>
      <c r="AD92" s="425"/>
      <c r="AE92" s="425"/>
      <c r="AF92" s="537">
        <f t="shared" si="40"/>
        <v>0</v>
      </c>
      <c r="AG92" s="537">
        <f t="shared" si="40"/>
        <v>0</v>
      </c>
      <c r="AH92" s="439" t="str">
        <f t="shared" si="42"/>
        <v xml:space="preserve">    ---- </v>
      </c>
      <c r="AI92" s="537">
        <f t="shared" si="43"/>
        <v>0</v>
      </c>
      <c r="AJ92" s="537">
        <f t="shared" si="43"/>
        <v>0</v>
      </c>
      <c r="AK92" s="439" t="str">
        <f t="shared" si="44"/>
        <v xml:space="preserve">    ---- </v>
      </c>
    </row>
    <row r="93" spans="1:37" s="385" customFormat="1" ht="18.75" customHeight="1" x14ac:dyDescent="0.3">
      <c r="A93" s="411" t="s">
        <v>329</v>
      </c>
      <c r="B93" s="424"/>
      <c r="C93" s="708"/>
      <c r="D93" s="533"/>
      <c r="E93" s="424"/>
      <c r="F93" s="425"/>
      <c r="G93" s="439"/>
      <c r="H93" s="424">
        <v>0.184</v>
      </c>
      <c r="I93" s="425"/>
      <c r="J93" s="439">
        <f>IF(H93=0, "    ---- ", IF(ABS(ROUND(100/H93*I93-100,1))&lt;999,ROUND(100/H93*I93-100,1),IF(ROUND(100/H93*I93-100,1)&gt;999,999,-999)))</f>
        <v>-100</v>
      </c>
      <c r="K93" s="424"/>
      <c r="L93" s="425"/>
      <c r="M93" s="425"/>
      <c r="N93" s="425"/>
      <c r="O93" s="425"/>
      <c r="P93" s="439"/>
      <c r="Q93" s="424"/>
      <c r="R93" s="425"/>
      <c r="S93" s="533"/>
      <c r="T93" s="425"/>
      <c r="U93" s="425"/>
      <c r="V93" s="439"/>
      <c r="W93" s="424"/>
      <c r="X93" s="425"/>
      <c r="Y93" s="533"/>
      <c r="Z93" s="706"/>
      <c r="AA93" s="425"/>
      <c r="AB93" s="439"/>
      <c r="AC93" s="425"/>
      <c r="AD93" s="425"/>
      <c r="AE93" s="425"/>
      <c r="AF93" s="537">
        <f t="shared" si="40"/>
        <v>0.184</v>
      </c>
      <c r="AG93" s="537">
        <f t="shared" si="40"/>
        <v>0</v>
      </c>
      <c r="AH93" s="439">
        <f t="shared" si="42"/>
        <v>-100</v>
      </c>
      <c r="AI93" s="537">
        <f t="shared" si="43"/>
        <v>0.184</v>
      </c>
      <c r="AJ93" s="537">
        <f t="shared" si="43"/>
        <v>0</v>
      </c>
      <c r="AK93" s="439">
        <f t="shared" si="44"/>
        <v>-100</v>
      </c>
    </row>
    <row r="94" spans="1:37" s="521" customFormat="1" ht="18.75" customHeight="1" x14ac:dyDescent="0.3">
      <c r="A94" s="528" t="s">
        <v>330</v>
      </c>
      <c r="B94" s="422"/>
      <c r="C94" s="723"/>
      <c r="D94" s="532"/>
      <c r="E94" s="422"/>
      <c r="F94" s="423"/>
      <c r="G94" s="440"/>
      <c r="H94" s="422">
        <f>SUM(H86:H91)+H93</f>
        <v>-150.38499999999999</v>
      </c>
      <c r="I94" s="423">
        <f>SUM(I86:I91)+I93</f>
        <v>-60.870999999999995</v>
      </c>
      <c r="J94" s="440">
        <f>IF(H94=0, "    ---- ", IF(ABS(ROUND(100/H94*I94-100,1))&lt;999,ROUND(100/H94*I94-100,1),IF(ROUND(100/H94*I94-100,1)&gt;999,999,-999)))</f>
        <v>-59.5</v>
      </c>
      <c r="K94" s="422">
        <f>SUM(K86:K91)+K93</f>
        <v>-93</v>
      </c>
      <c r="L94" s="423">
        <f>SUM(L86:L91)+L93</f>
        <v>65</v>
      </c>
      <c r="M94" s="423">
        <f>IF(K94=0, "    ---- ", IF(ABS(ROUND(100/K94*L94-100,1))&lt;999,ROUND(100/K94*L94-100,1),IF(ROUND(100/K94*L94-100,1)&gt;999,999,-999)))</f>
        <v>-169.9</v>
      </c>
      <c r="N94" s="423"/>
      <c r="O94" s="423"/>
      <c r="P94" s="440"/>
      <c r="Q94" s="422">
        <f>SUM(Q86:Q91)+Q93</f>
        <v>36.317893786490842</v>
      </c>
      <c r="R94" s="423">
        <f>SUM(R86:R91)+R93</f>
        <v>48.715604087468058</v>
      </c>
      <c r="S94" s="532">
        <f t="shared" si="21"/>
        <v>34.1</v>
      </c>
      <c r="T94" s="423"/>
      <c r="U94" s="423"/>
      <c r="V94" s="440"/>
      <c r="W94" s="422"/>
      <c r="X94" s="423"/>
      <c r="Y94" s="532"/>
      <c r="Z94" s="707">
        <f>SUM(Z86:Z91)+Z93</f>
        <v>-25.708818003325039</v>
      </c>
      <c r="AA94" s="423">
        <f>SUM(AA86:AA91)+AA93</f>
        <v>-43.074937080000097</v>
      </c>
      <c r="AB94" s="439">
        <f>IF(Z94=0, "    ---- ", IF(ABS(ROUND(100/Z94*AA94-100,1))&lt;999,ROUND(100/Z94*AA94-100,1),IF(ROUND(100/Z94*AA94-100,1)&gt;999,999,-999)))</f>
        <v>67.5</v>
      </c>
      <c r="AC94" s="423"/>
      <c r="AD94" s="423"/>
      <c r="AE94" s="423"/>
      <c r="AF94" s="538">
        <f t="shared" si="40"/>
        <v>-232.77592421683417</v>
      </c>
      <c r="AG94" s="538">
        <f t="shared" si="40"/>
        <v>9.7696670074679659</v>
      </c>
      <c r="AH94" s="440">
        <f t="shared" si="42"/>
        <v>-104.2</v>
      </c>
      <c r="AI94" s="538">
        <f t="shared" si="43"/>
        <v>-232.77592421683417</v>
      </c>
      <c r="AJ94" s="538">
        <f t="shared" si="43"/>
        <v>9.7696670074679659</v>
      </c>
      <c r="AK94" s="440">
        <f t="shared" si="44"/>
        <v>-104.2</v>
      </c>
    </row>
    <row r="95" spans="1:37" s="385" customFormat="1" ht="18.75" customHeight="1" x14ac:dyDescent="0.3">
      <c r="A95" s="411" t="s">
        <v>331</v>
      </c>
      <c r="B95" s="424"/>
      <c r="C95" s="708"/>
      <c r="D95" s="533"/>
      <c r="E95" s="424"/>
      <c r="F95" s="425"/>
      <c r="G95" s="439"/>
      <c r="H95" s="424"/>
      <c r="I95" s="425"/>
      <c r="J95" s="439"/>
      <c r="K95" s="424">
        <v>12</v>
      </c>
      <c r="L95" s="425">
        <v>39</v>
      </c>
      <c r="M95" s="425">
        <f>IF(K95=0, "    ---- ", IF(ABS(ROUND(100/K95*L95-100,1))&lt;999,ROUND(100/K95*L95-100,1),IF(ROUND(100/K95*L95-100,1)&gt;999,999,-999)))</f>
        <v>225</v>
      </c>
      <c r="N95" s="425"/>
      <c r="O95" s="425"/>
      <c r="P95" s="439"/>
      <c r="Q95" s="424">
        <v>0</v>
      </c>
      <c r="R95" s="425">
        <v>-13.214089595045264</v>
      </c>
      <c r="S95" s="533" t="str">
        <f t="shared" si="21"/>
        <v xml:space="preserve">    ---- </v>
      </c>
      <c r="T95" s="425"/>
      <c r="U95" s="425"/>
      <c r="V95" s="439"/>
      <c r="W95" s="424"/>
      <c r="X95" s="425"/>
      <c r="Y95" s="533"/>
      <c r="Z95" s="706"/>
      <c r="AA95" s="425"/>
      <c r="AB95" s="439"/>
      <c r="AC95" s="425"/>
      <c r="AD95" s="425"/>
      <c r="AE95" s="425"/>
      <c r="AF95" s="537">
        <f t="shared" si="40"/>
        <v>12</v>
      </c>
      <c r="AG95" s="537">
        <f t="shared" si="40"/>
        <v>25.785910404954734</v>
      </c>
      <c r="AH95" s="439">
        <f t="shared" si="42"/>
        <v>114.9</v>
      </c>
      <c r="AI95" s="537">
        <f t="shared" si="43"/>
        <v>12</v>
      </c>
      <c r="AJ95" s="537">
        <f t="shared" si="43"/>
        <v>25.785910404954734</v>
      </c>
      <c r="AK95" s="439">
        <f t="shared" si="44"/>
        <v>114.9</v>
      </c>
    </row>
    <row r="96" spans="1:37" s="385" customFormat="1" ht="18.75" customHeight="1" x14ac:dyDescent="0.3">
      <c r="A96" s="411" t="s">
        <v>332</v>
      </c>
      <c r="B96" s="424"/>
      <c r="C96" s="708"/>
      <c r="D96" s="533"/>
      <c r="E96" s="424"/>
      <c r="F96" s="425"/>
      <c r="G96" s="439"/>
      <c r="H96" s="424">
        <v>-150.386</v>
      </c>
      <c r="I96" s="425">
        <v>-60.871000000000002</v>
      </c>
      <c r="J96" s="439">
        <f>IF(H96=0, "    ---- ", IF(ABS(ROUND(100/H96*I96-100,1))&lt;999,ROUND(100/H96*I96-100,1),IF(ROUND(100/H96*I96-100,1)&gt;999,999,-999)))</f>
        <v>-59.5</v>
      </c>
      <c r="K96" s="424">
        <v>-105</v>
      </c>
      <c r="L96" s="425">
        <v>26</v>
      </c>
      <c r="M96" s="425">
        <f>IF(K96=0, "    ---- ", IF(ABS(ROUND(100/K96*L96-100,1))&lt;999,ROUND(100/K96*L96-100,1),IF(ROUND(100/K96*L96-100,1)&gt;999,999,-999)))</f>
        <v>-124.8</v>
      </c>
      <c r="N96" s="425"/>
      <c r="O96" s="425"/>
      <c r="P96" s="439"/>
      <c r="Q96" s="424">
        <v>36.317893786490842</v>
      </c>
      <c r="R96" s="425">
        <v>61.929693682513324</v>
      </c>
      <c r="S96" s="533">
        <f t="shared" si="21"/>
        <v>70.5</v>
      </c>
      <c r="T96" s="425"/>
      <c r="U96" s="425"/>
      <c r="V96" s="439"/>
      <c r="W96" s="424"/>
      <c r="X96" s="425"/>
      <c r="Y96" s="533"/>
      <c r="Z96" s="706">
        <v>-25.708818003325</v>
      </c>
      <c r="AA96" s="425">
        <v>-43.074937080000097</v>
      </c>
      <c r="AB96" s="439">
        <f>IF(Z96=0, "    ---- ", IF(ABS(ROUND(100/Z96*AA96-100,1))&lt;999,ROUND(100/Z96*AA96-100,1),IF(ROUND(100/Z96*AA96-100,1)&gt;999,999,-999)))</f>
        <v>67.5</v>
      </c>
      <c r="AC96" s="425"/>
      <c r="AD96" s="425"/>
      <c r="AE96" s="425"/>
      <c r="AF96" s="537">
        <f t="shared" si="40"/>
        <v>-244.77692421683417</v>
      </c>
      <c r="AG96" s="537">
        <f t="shared" si="40"/>
        <v>-16.016243397486775</v>
      </c>
      <c r="AH96" s="439">
        <f t="shared" si="42"/>
        <v>-93.5</v>
      </c>
      <c r="AI96" s="537">
        <f t="shared" si="43"/>
        <v>-244.77692421683417</v>
      </c>
      <c r="AJ96" s="537">
        <f t="shared" si="43"/>
        <v>-16.016243397486775</v>
      </c>
      <c r="AK96" s="439">
        <f t="shared" si="44"/>
        <v>-93.5</v>
      </c>
    </row>
    <row r="97" spans="1:37" s="385" customFormat="1" ht="18.75" customHeight="1" x14ac:dyDescent="0.3">
      <c r="A97" s="528" t="s">
        <v>339</v>
      </c>
      <c r="B97" s="424"/>
      <c r="C97" s="708"/>
      <c r="D97" s="533"/>
      <c r="E97" s="424"/>
      <c r="F97" s="425"/>
      <c r="G97" s="439"/>
      <c r="H97" s="424"/>
      <c r="I97" s="425"/>
      <c r="J97" s="439"/>
      <c r="K97" s="424"/>
      <c r="L97" s="425"/>
      <c r="M97" s="425"/>
      <c r="N97" s="425"/>
      <c r="O97" s="425"/>
      <c r="P97" s="439"/>
      <c r="Q97" s="424"/>
      <c r="R97" s="425"/>
      <c r="S97" s="533"/>
      <c r="T97" s="425"/>
      <c r="U97" s="425"/>
      <c r="V97" s="439"/>
      <c r="W97" s="424"/>
      <c r="X97" s="425"/>
      <c r="Y97" s="533"/>
      <c r="Z97" s="706"/>
      <c r="AA97" s="425"/>
      <c r="AB97" s="439"/>
      <c r="AC97" s="425"/>
      <c r="AD97" s="425"/>
      <c r="AE97" s="425"/>
      <c r="AF97" s="537"/>
      <c r="AG97" s="537"/>
      <c r="AH97" s="439"/>
      <c r="AI97" s="537"/>
      <c r="AJ97" s="537"/>
      <c r="AK97" s="439"/>
    </row>
    <row r="98" spans="1:37" s="385" customFormat="1" ht="18.75" x14ac:dyDescent="0.3">
      <c r="A98" s="760" t="s">
        <v>494</v>
      </c>
      <c r="B98" s="424">
        <v>790</v>
      </c>
      <c r="C98" s="708">
        <v>781</v>
      </c>
      <c r="D98" s="533">
        <f>IF(B98=0, "    ---- ", IF(ABS(ROUND(100/B98*C98-100,1))&lt;999,ROUND(100/B98*C98-100,1),IF(ROUND(100/B98*C98-100,1)&gt;999,999,-999)))</f>
        <v>-1.1000000000000001</v>
      </c>
      <c r="E98" s="424"/>
      <c r="F98" s="425"/>
      <c r="G98" s="439"/>
      <c r="H98" s="424"/>
      <c r="I98" s="425"/>
      <c r="J98" s="439"/>
      <c r="K98" s="424"/>
      <c r="L98" s="425"/>
      <c r="M98" s="425"/>
      <c r="N98" s="425"/>
      <c r="O98" s="425"/>
      <c r="P98" s="439"/>
      <c r="Q98" s="424"/>
      <c r="R98" s="425"/>
      <c r="S98" s="533"/>
      <c r="T98" s="425"/>
      <c r="U98" s="425"/>
      <c r="V98" s="439"/>
      <c r="W98" s="424"/>
      <c r="X98" s="425"/>
      <c r="Y98" s="533"/>
      <c r="Z98" s="706">
        <v>-0.31482044000108544</v>
      </c>
      <c r="AA98" s="425">
        <v>-7.0421360000182204E-2</v>
      </c>
      <c r="AB98" s="439">
        <f>IF(Z98=0, "    ---- ", IF(ABS(ROUND(100/Z98*AA98-100,1))&lt;999,ROUND(100/Z98*AA98-100,1),IF(ROUND(100/Z98*AA98-100,1)&gt;999,999,-999)))</f>
        <v>-77.599999999999994</v>
      </c>
      <c r="AC98" s="425"/>
      <c r="AD98" s="425"/>
      <c r="AE98" s="425"/>
      <c r="AF98" s="537">
        <f t="shared" ref="AF98:AG99" si="45">B98+E98+H98+K98+N98+Q98+T98+W98+Z98</f>
        <v>789.68517955999891</v>
      </c>
      <c r="AG98" s="537">
        <f t="shared" si="45"/>
        <v>780.92957863999982</v>
      </c>
      <c r="AH98" s="439">
        <f t="shared" si="42"/>
        <v>-1.1000000000000001</v>
      </c>
      <c r="AI98" s="537">
        <f t="shared" ref="AI98:AJ99" si="46">+B98+E98+H98+K98+N98+Q98+T98+W98+Z98+AC98</f>
        <v>789.68517955999891</v>
      </c>
      <c r="AJ98" s="537">
        <f t="shared" si="46"/>
        <v>780.92957863999982</v>
      </c>
      <c r="AK98" s="439">
        <f t="shared" si="44"/>
        <v>-1.1000000000000001</v>
      </c>
    </row>
    <row r="99" spans="1:37" s="385" customFormat="1" ht="18.75" customHeight="1" x14ac:dyDescent="0.3">
      <c r="A99" s="411" t="s">
        <v>493</v>
      </c>
      <c r="B99" s="424"/>
      <c r="C99" s="708"/>
      <c r="D99" s="533"/>
      <c r="E99" s="424"/>
      <c r="F99" s="425"/>
      <c r="G99" s="439"/>
      <c r="H99" s="424"/>
      <c r="I99" s="425"/>
      <c r="J99" s="439"/>
      <c r="K99" s="424"/>
      <c r="L99" s="425"/>
      <c r="M99" s="425"/>
      <c r="N99" s="425"/>
      <c r="O99" s="425"/>
      <c r="P99" s="439"/>
      <c r="Q99" s="424"/>
      <c r="R99" s="425"/>
      <c r="S99" s="533"/>
      <c r="T99" s="425"/>
      <c r="U99" s="425"/>
      <c r="V99" s="439"/>
      <c r="W99" s="424"/>
      <c r="X99" s="425"/>
      <c r="Y99" s="533"/>
      <c r="Z99" s="424"/>
      <c r="AA99" s="425"/>
      <c r="AB99" s="439"/>
      <c r="AC99" s="425"/>
      <c r="AD99" s="425"/>
      <c r="AE99" s="425"/>
      <c r="AF99" s="537">
        <f t="shared" si="45"/>
        <v>0</v>
      </c>
      <c r="AG99" s="537">
        <f t="shared" si="45"/>
        <v>0</v>
      </c>
      <c r="AH99" s="439" t="str">
        <f t="shared" si="42"/>
        <v xml:space="preserve">    ---- </v>
      </c>
      <c r="AI99" s="537">
        <f t="shared" si="46"/>
        <v>0</v>
      </c>
      <c r="AJ99" s="537">
        <f t="shared" si="46"/>
        <v>0</v>
      </c>
      <c r="AK99" s="439" t="str">
        <f t="shared" si="44"/>
        <v xml:space="preserve">    ---- </v>
      </c>
    </row>
    <row r="100" spans="1:37" s="385" customFormat="1" ht="18.75" customHeight="1" x14ac:dyDescent="0.3">
      <c r="A100" s="411" t="s">
        <v>324</v>
      </c>
      <c r="B100" s="424">
        <v>-8</v>
      </c>
      <c r="C100" s="708">
        <v>-1</v>
      </c>
      <c r="D100" s="533">
        <f>IF(B100=0, "    ---- ", IF(ABS(ROUND(100/B100*C100-100,1))&lt;999,ROUND(100/B100*C100-100,1),IF(ROUND(100/B100*C100-100,1)&gt;999,999,-999)))</f>
        <v>-87.5</v>
      </c>
      <c r="E100" s="424"/>
      <c r="F100" s="425"/>
      <c r="G100" s="439"/>
      <c r="H100" s="424"/>
      <c r="I100" s="425"/>
      <c r="J100" s="439"/>
      <c r="K100" s="424">
        <v>-21</v>
      </c>
      <c r="L100" s="425">
        <v>-13</v>
      </c>
      <c r="M100" s="425">
        <f>IF(K100=0, "    ---- ", IF(ABS(ROUND(100/K100*L100-100,1))&lt;999,ROUND(100/K100*L100-100,1),IF(ROUND(100/K100*L100-100,1)&gt;999,999,-999)))</f>
        <v>-38.1</v>
      </c>
      <c r="N100" s="425"/>
      <c r="O100" s="425"/>
      <c r="P100" s="439"/>
      <c r="Q100" s="424">
        <v>38.208678100353211</v>
      </c>
      <c r="R100" s="425">
        <v>43.75720120766686</v>
      </c>
      <c r="S100" s="533">
        <f t="shared" si="21"/>
        <v>14.5</v>
      </c>
      <c r="T100" s="425"/>
      <c r="U100" s="425"/>
      <c r="V100" s="439"/>
      <c r="W100" s="424">
        <v>-5</v>
      </c>
      <c r="X100" s="425">
        <v>11</v>
      </c>
      <c r="Y100" s="533">
        <f>IF(W100=0, "    ---- ", IF(ABS(ROUND(100/W100*X100-100,1))&lt;999,ROUND(100/W100*X100-100,1),IF(ROUND(100/W100*X100-100,1)&gt;999,999,-999)))</f>
        <v>-320</v>
      </c>
      <c r="Z100" s="424">
        <v>64.958913268768612</v>
      </c>
      <c r="AA100" s="425">
        <v>71.506956619999997</v>
      </c>
      <c r="AB100" s="439">
        <f>IF(Z100=0, "    ---- ", IF(ABS(ROUND(100/Z100*AA100-100,1))&lt;999,ROUND(100/Z100*AA100-100,1),IF(ROUND(100/Z100*AA100-100,1)&gt;999,999,-999)))</f>
        <v>10.1</v>
      </c>
      <c r="AC100" s="425"/>
      <c r="AD100" s="425"/>
      <c r="AE100" s="425"/>
      <c r="AF100" s="537">
        <f t="shared" ref="AF100:AG108" si="47">B100+E100+H100+K100+N100+Q100+T100+W100+Z100</f>
        <v>69.167591369121823</v>
      </c>
      <c r="AG100" s="537">
        <f t="shared" si="47"/>
        <v>112.26415782766685</v>
      </c>
      <c r="AH100" s="439">
        <f t="shared" si="42"/>
        <v>62.3</v>
      </c>
      <c r="AI100" s="537">
        <f t="shared" ref="AI100:AJ108" si="48">+B100+E100+H100+K100+N100+Q100+T100+W100+Z100+AC100</f>
        <v>69.167591369121823</v>
      </c>
      <c r="AJ100" s="537">
        <f t="shared" si="48"/>
        <v>112.26415782766685</v>
      </c>
      <c r="AK100" s="439">
        <f t="shared" si="44"/>
        <v>62.3</v>
      </c>
    </row>
    <row r="101" spans="1:37" s="385" customFormat="1" ht="18.75" customHeight="1" x14ac:dyDescent="0.3">
      <c r="A101" s="411" t="s">
        <v>325</v>
      </c>
      <c r="B101" s="424"/>
      <c r="C101" s="708"/>
      <c r="D101" s="533"/>
      <c r="E101" s="424"/>
      <c r="F101" s="425"/>
      <c r="G101" s="439"/>
      <c r="H101" s="424"/>
      <c r="I101" s="425"/>
      <c r="J101" s="439"/>
      <c r="K101" s="424"/>
      <c r="L101" s="425"/>
      <c r="M101" s="425"/>
      <c r="N101" s="425"/>
      <c r="O101" s="425"/>
      <c r="P101" s="439"/>
      <c r="Q101" s="424"/>
      <c r="R101" s="425"/>
      <c r="S101" s="533"/>
      <c r="T101" s="425"/>
      <c r="U101" s="425"/>
      <c r="V101" s="439"/>
      <c r="W101" s="424"/>
      <c r="X101" s="425"/>
      <c r="Y101" s="533"/>
      <c r="Z101" s="424">
        <v>0</v>
      </c>
      <c r="AA101" s="425"/>
      <c r="AB101" s="439"/>
      <c r="AC101" s="425"/>
      <c r="AD101" s="425"/>
      <c r="AE101" s="425"/>
      <c r="AF101" s="537">
        <f t="shared" si="47"/>
        <v>0</v>
      </c>
      <c r="AG101" s="537">
        <f t="shared" si="47"/>
        <v>0</v>
      </c>
      <c r="AH101" s="439" t="str">
        <f t="shared" si="42"/>
        <v xml:space="preserve">    ---- </v>
      </c>
      <c r="AI101" s="537">
        <f t="shared" si="48"/>
        <v>0</v>
      </c>
      <c r="AJ101" s="537">
        <f t="shared" si="48"/>
        <v>0</v>
      </c>
      <c r="AK101" s="439" t="str">
        <f t="shared" si="44"/>
        <v xml:space="preserve">    ---- </v>
      </c>
    </row>
    <row r="102" spans="1:37" s="385" customFormat="1" ht="18.75" customHeight="1" x14ac:dyDescent="0.3">
      <c r="A102" s="411" t="s">
        <v>326</v>
      </c>
      <c r="B102" s="424"/>
      <c r="C102" s="708"/>
      <c r="D102" s="533"/>
      <c r="E102" s="424"/>
      <c r="F102" s="425"/>
      <c r="G102" s="439"/>
      <c r="H102" s="424"/>
      <c r="I102" s="425"/>
      <c r="J102" s="439"/>
      <c r="K102" s="424"/>
      <c r="L102" s="425"/>
      <c r="M102" s="425"/>
      <c r="N102" s="425"/>
      <c r="O102" s="425"/>
      <c r="P102" s="439"/>
      <c r="Q102" s="424"/>
      <c r="R102" s="425"/>
      <c r="S102" s="533"/>
      <c r="T102" s="425"/>
      <c r="U102" s="425"/>
      <c r="V102" s="439"/>
      <c r="W102" s="424"/>
      <c r="X102" s="425"/>
      <c r="Y102" s="533"/>
      <c r="Z102" s="424">
        <v>0</v>
      </c>
      <c r="AA102" s="425"/>
      <c r="AB102" s="439"/>
      <c r="AC102" s="425"/>
      <c r="AD102" s="425"/>
      <c r="AE102" s="425"/>
      <c r="AF102" s="537">
        <f t="shared" si="47"/>
        <v>0</v>
      </c>
      <c r="AG102" s="537">
        <f t="shared" si="47"/>
        <v>0</v>
      </c>
      <c r="AH102" s="439" t="str">
        <f t="shared" si="42"/>
        <v xml:space="preserve">    ---- </v>
      </c>
      <c r="AI102" s="537">
        <f t="shared" si="48"/>
        <v>0</v>
      </c>
      <c r="AJ102" s="537">
        <f t="shared" si="48"/>
        <v>0</v>
      </c>
      <c r="AK102" s="439" t="str">
        <f t="shared" si="44"/>
        <v xml:space="preserve">    ---- </v>
      </c>
    </row>
    <row r="103" spans="1:37" s="385" customFormat="1" ht="18.75" customHeight="1" x14ac:dyDescent="0.3">
      <c r="A103" s="411" t="s">
        <v>327</v>
      </c>
      <c r="B103" s="424">
        <v>-2</v>
      </c>
      <c r="C103" s="708">
        <v>-1</v>
      </c>
      <c r="D103" s="533">
        <f>IF(B103=0, "    ---- ", IF(ABS(ROUND(100/B103*C103-100,1))&lt;999,ROUND(100/B103*C103-100,1),IF(ROUND(100/B103*C103-100,1)&gt;999,999,-999)))</f>
        <v>-50</v>
      </c>
      <c r="E103" s="424"/>
      <c r="F103" s="425"/>
      <c r="G103" s="439"/>
      <c r="H103" s="424"/>
      <c r="I103" s="425"/>
      <c r="J103" s="439"/>
      <c r="K103" s="424">
        <v>2</v>
      </c>
      <c r="L103" s="425">
        <v>2</v>
      </c>
      <c r="M103" s="425">
        <f>IF(K103=0, "    ---- ", IF(ABS(ROUND(100/K103*L103-100,1))&lt;999,ROUND(100/K103*L103-100,1),IF(ROUND(100/K103*L103-100,1)&gt;999,999,-999)))</f>
        <v>0</v>
      </c>
      <c r="N103" s="425"/>
      <c r="O103" s="425"/>
      <c r="P103" s="439"/>
      <c r="Q103" s="424">
        <v>0</v>
      </c>
      <c r="R103" s="425">
        <v>0</v>
      </c>
      <c r="S103" s="533" t="str">
        <f t="shared" si="21"/>
        <v xml:space="preserve">    ---- </v>
      </c>
      <c r="T103" s="425"/>
      <c r="U103" s="425"/>
      <c r="V103" s="439"/>
      <c r="W103" s="424">
        <v>-2</v>
      </c>
      <c r="X103" s="425">
        <v>-3</v>
      </c>
      <c r="Y103" s="533">
        <f>IF(W103=0, "    ---- ", IF(ABS(ROUND(100/W103*X103-100,1))&lt;999,ROUND(100/W103*X103-100,1),IF(ROUND(100/W103*X103-100,1)&gt;999,999,-999)))</f>
        <v>50</v>
      </c>
      <c r="Z103" s="424">
        <v>-3.0170571800000041</v>
      </c>
      <c r="AA103" s="425">
        <v>0.75416928999999799</v>
      </c>
      <c r="AB103" s="439">
        <f>IF(Z103=0, "    ---- ", IF(ABS(ROUND(100/Z103*AA103-100,1))&lt;999,ROUND(100/Z103*AA103-100,1),IF(ROUND(100/Z103*AA103-100,1)&gt;999,999,-999)))</f>
        <v>-125</v>
      </c>
      <c r="AC103" s="425"/>
      <c r="AD103" s="425"/>
      <c r="AE103" s="425"/>
      <c r="AF103" s="537">
        <f t="shared" si="47"/>
        <v>-5.0170571800000037</v>
      </c>
      <c r="AG103" s="537">
        <f t="shared" si="47"/>
        <v>-1.2458307100000021</v>
      </c>
      <c r="AH103" s="439">
        <f t="shared" si="42"/>
        <v>-75.2</v>
      </c>
      <c r="AI103" s="537">
        <f t="shared" si="48"/>
        <v>-5.0170571800000037</v>
      </c>
      <c r="AJ103" s="537">
        <f t="shared" si="48"/>
        <v>-1.2458307100000021</v>
      </c>
      <c r="AK103" s="439">
        <f t="shared" si="44"/>
        <v>-75.2</v>
      </c>
    </row>
    <row r="104" spans="1:37" s="385" customFormat="1" ht="18.75" customHeight="1" x14ac:dyDescent="0.3">
      <c r="A104" s="411" t="s">
        <v>328</v>
      </c>
      <c r="B104" s="424"/>
      <c r="C104" s="708"/>
      <c r="D104" s="533"/>
      <c r="E104" s="424"/>
      <c r="F104" s="425"/>
      <c r="G104" s="439"/>
      <c r="H104" s="424"/>
      <c r="I104" s="425"/>
      <c r="J104" s="439"/>
      <c r="K104" s="424"/>
      <c r="L104" s="425"/>
      <c r="M104" s="425"/>
      <c r="N104" s="425"/>
      <c r="O104" s="425"/>
      <c r="P104" s="439"/>
      <c r="Q104" s="424"/>
      <c r="R104" s="425"/>
      <c r="S104" s="533"/>
      <c r="T104" s="425"/>
      <c r="U104" s="425"/>
      <c r="V104" s="439"/>
      <c r="W104" s="424"/>
      <c r="X104" s="425"/>
      <c r="Y104" s="533"/>
      <c r="Z104" s="424">
        <v>0</v>
      </c>
      <c r="AA104" s="425"/>
      <c r="AB104" s="439"/>
      <c r="AC104" s="425"/>
      <c r="AD104" s="425"/>
      <c r="AE104" s="425"/>
      <c r="AF104" s="537">
        <f t="shared" si="47"/>
        <v>0</v>
      </c>
      <c r="AG104" s="537">
        <f t="shared" si="47"/>
        <v>0</v>
      </c>
      <c r="AH104" s="439" t="str">
        <f t="shared" si="42"/>
        <v xml:space="preserve">    ---- </v>
      </c>
      <c r="AI104" s="537">
        <f t="shared" si="48"/>
        <v>0</v>
      </c>
      <c r="AJ104" s="537">
        <f t="shared" si="48"/>
        <v>0</v>
      </c>
      <c r="AK104" s="439" t="str">
        <f t="shared" si="44"/>
        <v xml:space="preserve">    ---- </v>
      </c>
    </row>
    <row r="105" spans="1:37" s="385" customFormat="1" ht="18.75" customHeight="1" x14ac:dyDescent="0.3">
      <c r="A105" s="411" t="s">
        <v>329</v>
      </c>
      <c r="B105" s="424"/>
      <c r="C105" s="708"/>
      <c r="D105" s="533"/>
      <c r="E105" s="424"/>
      <c r="F105" s="425"/>
      <c r="G105" s="439"/>
      <c r="H105" s="424"/>
      <c r="I105" s="425"/>
      <c r="J105" s="439"/>
      <c r="K105" s="424"/>
      <c r="L105" s="425"/>
      <c r="M105" s="425"/>
      <c r="N105" s="425"/>
      <c r="O105" s="425"/>
      <c r="P105" s="439"/>
      <c r="Q105" s="424">
        <v>-0.52896636000000008</v>
      </c>
      <c r="R105" s="425">
        <v>-0.51012836000000006</v>
      </c>
      <c r="S105" s="533">
        <f t="shared" si="21"/>
        <v>-3.6</v>
      </c>
      <c r="T105" s="425"/>
      <c r="U105" s="425"/>
      <c r="V105" s="439"/>
      <c r="W105" s="424"/>
      <c r="X105" s="425"/>
      <c r="Y105" s="533"/>
      <c r="Z105" s="424">
        <v>-2.9103830456733706E-16</v>
      </c>
      <c r="AA105" s="425"/>
      <c r="AB105" s="439"/>
      <c r="AC105" s="425"/>
      <c r="AD105" s="425"/>
      <c r="AE105" s="425"/>
      <c r="AF105" s="537">
        <f t="shared" si="47"/>
        <v>-0.52896636000000041</v>
      </c>
      <c r="AG105" s="537">
        <f t="shared" si="47"/>
        <v>-0.51012836000000006</v>
      </c>
      <c r="AH105" s="439">
        <f t="shared" si="42"/>
        <v>-3.6</v>
      </c>
      <c r="AI105" s="537">
        <f t="shared" si="48"/>
        <v>-0.52896636000000041</v>
      </c>
      <c r="AJ105" s="537">
        <f t="shared" si="48"/>
        <v>-0.51012836000000006</v>
      </c>
      <c r="AK105" s="439">
        <f t="shared" si="44"/>
        <v>-3.6</v>
      </c>
    </row>
    <row r="106" spans="1:37" s="521" customFormat="1" ht="18.75" customHeight="1" x14ac:dyDescent="0.3">
      <c r="A106" s="528" t="s">
        <v>330</v>
      </c>
      <c r="B106" s="422">
        <f>SUM(B98:B103)+B105</f>
        <v>780</v>
      </c>
      <c r="C106" s="723">
        <f>SUM(C98:C103)+C105</f>
        <v>779</v>
      </c>
      <c r="D106" s="532">
        <f>IF(B106=0, "    ---- ", IF(ABS(ROUND(100/B106*C106-100,1))&lt;999,ROUND(100/B106*C106-100,1),IF(ROUND(100/B106*C106-100,1)&gt;999,999,-999)))</f>
        <v>-0.1</v>
      </c>
      <c r="E106" s="422"/>
      <c r="F106" s="423"/>
      <c r="G106" s="440"/>
      <c r="H106" s="422"/>
      <c r="I106" s="423"/>
      <c r="J106" s="440"/>
      <c r="K106" s="422">
        <f>SUM(K98:K103)+K105</f>
        <v>-19</v>
      </c>
      <c r="L106" s="423">
        <f>SUM(L98:L103)+L105</f>
        <v>-11</v>
      </c>
      <c r="M106" s="423">
        <f>IF(K106=0, "    ---- ", IF(ABS(ROUND(100/K106*L106-100,1))&lt;999,ROUND(100/K106*L106-100,1),IF(ROUND(100/K106*L106-100,1)&gt;999,999,-999)))</f>
        <v>-42.1</v>
      </c>
      <c r="N106" s="423"/>
      <c r="O106" s="423"/>
      <c r="P106" s="440"/>
      <c r="Q106" s="422">
        <f>SUM(Q98:Q103)+Q105</f>
        <v>37.679711740353213</v>
      </c>
      <c r="R106" s="423">
        <f>SUM(R98:R103)+R105</f>
        <v>43.247072847666857</v>
      </c>
      <c r="S106" s="532">
        <f t="shared" si="21"/>
        <v>14.8</v>
      </c>
      <c r="T106" s="423"/>
      <c r="U106" s="423"/>
      <c r="V106" s="440"/>
      <c r="W106" s="422">
        <f>SUM(W98:W103)+W105</f>
        <v>-7</v>
      </c>
      <c r="X106" s="423">
        <f>SUM(X98:X103)+X105</f>
        <v>8</v>
      </c>
      <c r="Y106" s="532">
        <f>IF(W106=0, "    ---- ", IF(ABS(ROUND(100/W106*X106-100,1))&lt;999,ROUND(100/W106*X106-100,1),IF(ROUND(100/W106*X106-100,1)&gt;999,999,-999)))</f>
        <v>-214.3</v>
      </c>
      <c r="Z106" s="422">
        <f>SUM(Z98:Z103)+Z105</f>
        <v>61.627035648767524</v>
      </c>
      <c r="AA106" s="423">
        <f>SUM(AA98:AA103)+AA105</f>
        <v>72.190704549999808</v>
      </c>
      <c r="AB106" s="440">
        <f>IF(Z106=0, "    ---- ", IF(ABS(ROUND(100/Z106*AA106-100,1))&lt;999,ROUND(100/Z106*AA106-100,1),IF(ROUND(100/Z106*AA106-100,1)&gt;999,999,-999)))</f>
        <v>17.100000000000001</v>
      </c>
      <c r="AC106" s="423"/>
      <c r="AD106" s="423"/>
      <c r="AE106" s="423"/>
      <c r="AF106" s="538">
        <f t="shared" si="47"/>
        <v>853.3067473891208</v>
      </c>
      <c r="AG106" s="538">
        <f t="shared" si="47"/>
        <v>891.43777739766676</v>
      </c>
      <c r="AH106" s="440">
        <f t="shared" si="42"/>
        <v>4.5</v>
      </c>
      <c r="AI106" s="538">
        <f t="shared" si="48"/>
        <v>853.3067473891208</v>
      </c>
      <c r="AJ106" s="538">
        <f t="shared" si="48"/>
        <v>891.43777739766676</v>
      </c>
      <c r="AK106" s="440">
        <f t="shared" si="44"/>
        <v>4.5</v>
      </c>
    </row>
    <row r="107" spans="1:37" s="385" customFormat="1" ht="18.75" customHeight="1" x14ac:dyDescent="0.3">
      <c r="A107" s="411" t="s">
        <v>331</v>
      </c>
      <c r="B107" s="424">
        <v>790</v>
      </c>
      <c r="C107" s="425">
        <v>-781</v>
      </c>
      <c r="D107" s="533">
        <f>IF(B107=0, "    ---- ", IF(ABS(ROUND(100/B107*C107-100,1))&lt;999,ROUND(100/B107*C107-100,1),IF(ROUND(100/B107*C107-100,1)&gt;999,999,-999)))</f>
        <v>-198.9</v>
      </c>
      <c r="E107" s="424"/>
      <c r="F107" s="425"/>
      <c r="G107" s="439"/>
      <c r="H107" s="424"/>
      <c r="I107" s="425"/>
      <c r="J107" s="439"/>
      <c r="K107" s="424"/>
      <c r="L107" s="425"/>
      <c r="M107" s="425"/>
      <c r="N107" s="425"/>
      <c r="O107" s="425"/>
      <c r="P107" s="439"/>
      <c r="Q107" s="424">
        <v>0</v>
      </c>
      <c r="R107" s="425">
        <v>0</v>
      </c>
      <c r="S107" s="533" t="str">
        <f t="shared" si="21"/>
        <v xml:space="preserve">    ---- </v>
      </c>
      <c r="T107" s="425"/>
      <c r="U107" s="425"/>
      <c r="V107" s="439"/>
      <c r="W107" s="424"/>
      <c r="X107" s="425"/>
      <c r="Y107" s="533"/>
      <c r="Z107" s="424">
        <v>0</v>
      </c>
      <c r="AA107" s="425"/>
      <c r="AB107" s="439"/>
      <c r="AC107" s="425"/>
      <c r="AD107" s="425"/>
      <c r="AE107" s="425"/>
      <c r="AF107" s="537">
        <f t="shared" si="47"/>
        <v>790</v>
      </c>
      <c r="AG107" s="537">
        <f t="shared" si="47"/>
        <v>-781</v>
      </c>
      <c r="AH107" s="439">
        <f t="shared" si="42"/>
        <v>-198.9</v>
      </c>
      <c r="AI107" s="537">
        <f t="shared" si="48"/>
        <v>790</v>
      </c>
      <c r="AJ107" s="537">
        <f t="shared" si="48"/>
        <v>-781</v>
      </c>
      <c r="AK107" s="439">
        <f t="shared" si="44"/>
        <v>-198.9</v>
      </c>
    </row>
    <row r="108" spans="1:37" s="385" customFormat="1" ht="18.75" customHeight="1" x14ac:dyDescent="0.3">
      <c r="A108" s="413" t="s">
        <v>332</v>
      </c>
      <c r="B108" s="689">
        <v>-10</v>
      </c>
      <c r="C108" s="724">
        <v>-2</v>
      </c>
      <c r="D108" s="539">
        <f>IF(B108=0, "    ---- ", IF(ABS(ROUND(100/B108*C108-100,1))&lt;999,ROUND(100/B108*C108-100,1),IF(ROUND(100/B108*C108-100,1)&gt;999,999,-999)))</f>
        <v>-80</v>
      </c>
      <c r="E108" s="689"/>
      <c r="F108" s="426"/>
      <c r="G108" s="441"/>
      <c r="H108" s="689"/>
      <c r="I108" s="426"/>
      <c r="J108" s="441"/>
      <c r="K108" s="689">
        <v>-19</v>
      </c>
      <c r="L108" s="426">
        <v>-11</v>
      </c>
      <c r="M108" s="426">
        <f>IF(K108=0, "    ---- ", IF(ABS(ROUND(100/K108*L108-100,1))&lt;999,ROUND(100/K108*L108-100,1),IF(ROUND(100/K108*L108-100,1)&gt;999,999,-999)))</f>
        <v>-42.1</v>
      </c>
      <c r="N108" s="426"/>
      <c r="O108" s="426"/>
      <c r="P108" s="441"/>
      <c r="Q108" s="689">
        <v>37.679711740353213</v>
      </c>
      <c r="R108" s="426">
        <v>43.247072847666857</v>
      </c>
      <c r="S108" s="539">
        <f t="shared" si="21"/>
        <v>14.8</v>
      </c>
      <c r="T108" s="426"/>
      <c r="U108" s="426"/>
      <c r="V108" s="441"/>
      <c r="W108" s="689">
        <v>-7</v>
      </c>
      <c r="X108" s="426">
        <v>8</v>
      </c>
      <c r="Y108" s="539">
        <f>IF(W108=0, "    ---- ", IF(ABS(ROUND(100/W108*X108-100,1))&lt;999,ROUND(100/W108*X108-100,1),IF(ROUND(100/W108*X108-100,1)&gt;999,999,-999)))</f>
        <v>-214.3</v>
      </c>
      <c r="Z108" s="689">
        <v>61.627035648767524</v>
      </c>
      <c r="AA108" s="426">
        <v>72.190704549999793</v>
      </c>
      <c r="AB108" s="441">
        <f>IF(Z108=0, "    ---- ", IF(ABS(ROUND(100/Z108*AA108-100,1))&lt;999,ROUND(100/Z108*AA108-100,1),IF(ROUND(100/Z108*AA108-100,1)&gt;999,999,-999)))</f>
        <v>17.100000000000001</v>
      </c>
      <c r="AC108" s="426"/>
      <c r="AD108" s="426"/>
      <c r="AE108" s="426"/>
      <c r="AF108" s="643">
        <f t="shared" si="47"/>
        <v>63.306747389120737</v>
      </c>
      <c r="AG108" s="643">
        <f t="shared" si="47"/>
        <v>110.43777739766665</v>
      </c>
      <c r="AH108" s="441">
        <f t="shared" si="42"/>
        <v>74.400000000000006</v>
      </c>
      <c r="AI108" s="643">
        <f t="shared" si="48"/>
        <v>63.306747389120737</v>
      </c>
      <c r="AJ108" s="539">
        <f t="shared" si="48"/>
        <v>110.43777739766665</v>
      </c>
      <c r="AK108" s="441">
        <f t="shared" si="44"/>
        <v>74.400000000000006</v>
      </c>
    </row>
    <row r="109" spans="1:37" s="385" customFormat="1" ht="18.75" customHeight="1" x14ac:dyDescent="0.3">
      <c r="A109" s="385" t="s">
        <v>223</v>
      </c>
      <c r="B109" s="544"/>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row>
    <row r="110" spans="1:37" ht="18.75" x14ac:dyDescent="0.3">
      <c r="A110" s="385"/>
    </row>
    <row r="111" spans="1:37" ht="18.75" x14ac:dyDescent="0.3">
      <c r="A111" s="385"/>
    </row>
    <row r="112" spans="1:37" ht="18.75" x14ac:dyDescent="0.3">
      <c r="A112" s="385"/>
    </row>
    <row r="113" spans="1:1" ht="18.75" x14ac:dyDescent="0.3">
      <c r="A113" s="385"/>
    </row>
    <row r="114" spans="1:1" ht="18.75" x14ac:dyDescent="0.3">
      <c r="A114" s="385"/>
    </row>
    <row r="115" spans="1:1" ht="18.75" x14ac:dyDescent="0.3">
      <c r="A115" s="385"/>
    </row>
    <row r="116" spans="1:1" ht="18.75" x14ac:dyDescent="0.3">
      <c r="A116" s="385"/>
    </row>
    <row r="117" spans="1:1" ht="18.75" x14ac:dyDescent="0.3">
      <c r="A117" s="385"/>
    </row>
    <row r="118" spans="1:1" ht="18.75" x14ac:dyDescent="0.3">
      <c r="A118" s="385"/>
    </row>
    <row r="119" spans="1:1" ht="18.75" x14ac:dyDescent="0.3">
      <c r="A119" s="385"/>
    </row>
    <row r="120" spans="1:1" ht="18.75" x14ac:dyDescent="0.3">
      <c r="A120" s="385"/>
    </row>
    <row r="121" spans="1:1" ht="18.75" x14ac:dyDescent="0.3">
      <c r="A121" s="385"/>
    </row>
    <row r="122" spans="1:1" ht="18.75" x14ac:dyDescent="0.3">
      <c r="A122" s="385"/>
    </row>
    <row r="123" spans="1:1" ht="18.75" x14ac:dyDescent="0.3">
      <c r="A123" s="385"/>
    </row>
    <row r="124" spans="1:1" ht="18.75" x14ac:dyDescent="0.3">
      <c r="A124" s="385"/>
    </row>
    <row r="125" spans="1:1" ht="18.75" x14ac:dyDescent="0.3">
      <c r="A125" s="385"/>
    </row>
    <row r="126" spans="1:1" ht="18.75" x14ac:dyDescent="0.3">
      <c r="A126" s="385"/>
    </row>
    <row r="127" spans="1:1" ht="18.75" x14ac:dyDescent="0.3">
      <c r="A127" s="385"/>
    </row>
    <row r="128" spans="1:1" ht="18.75" x14ac:dyDescent="0.3">
      <c r="A128" s="385"/>
    </row>
    <row r="129" spans="1:1" ht="18.75" x14ac:dyDescent="0.3">
      <c r="A129" s="385"/>
    </row>
    <row r="130" spans="1:1" ht="18.75" x14ac:dyDescent="0.3">
      <c r="A130" s="385"/>
    </row>
    <row r="131" spans="1:1" ht="18.75" x14ac:dyDescent="0.3">
      <c r="A131" s="385"/>
    </row>
    <row r="132" spans="1:1" ht="18.75" x14ac:dyDescent="0.3">
      <c r="A132" s="385"/>
    </row>
    <row r="133" spans="1:1" ht="18.75" x14ac:dyDescent="0.3">
      <c r="A133" s="385"/>
    </row>
    <row r="134" spans="1:1" ht="18.75" x14ac:dyDescent="0.3">
      <c r="A134" s="385"/>
    </row>
    <row r="135" spans="1:1" ht="18.75" x14ac:dyDescent="0.3">
      <c r="A135" s="385"/>
    </row>
    <row r="136" spans="1:1" ht="18.75" x14ac:dyDescent="0.3">
      <c r="A136" s="385"/>
    </row>
    <row r="137" spans="1:1" ht="18.75" x14ac:dyDescent="0.3">
      <c r="A137" s="385"/>
    </row>
    <row r="138" spans="1:1" ht="18.75" x14ac:dyDescent="0.3">
      <c r="A138" s="385"/>
    </row>
    <row r="139" spans="1:1" ht="18.75" x14ac:dyDescent="0.3">
      <c r="A139" s="385"/>
    </row>
    <row r="140" spans="1:1" ht="18.75" x14ac:dyDescent="0.3">
      <c r="A140" s="385"/>
    </row>
    <row r="141" spans="1:1" ht="18.75" x14ac:dyDescent="0.3">
      <c r="A141" s="385"/>
    </row>
    <row r="142" spans="1:1" ht="18.75" x14ac:dyDescent="0.3">
      <c r="A142" s="385"/>
    </row>
    <row r="143" spans="1:1" ht="18.75" x14ac:dyDescent="0.3">
      <c r="A143" s="385"/>
    </row>
    <row r="144" spans="1:1" ht="18.75" x14ac:dyDescent="0.3">
      <c r="A144" s="385"/>
    </row>
    <row r="145" spans="1:1" ht="18.75" x14ac:dyDescent="0.3">
      <c r="A145" s="385"/>
    </row>
    <row r="146" spans="1:1" ht="18.75" x14ac:dyDescent="0.3">
      <c r="A146" s="385"/>
    </row>
    <row r="147" spans="1:1" ht="18.75" x14ac:dyDescent="0.3">
      <c r="A147" s="385"/>
    </row>
    <row r="148" spans="1:1" ht="18.75" x14ac:dyDescent="0.3">
      <c r="A148" s="385"/>
    </row>
    <row r="149" spans="1:1" ht="18.75" x14ac:dyDescent="0.3">
      <c r="A149" s="385"/>
    </row>
    <row r="150" spans="1:1" ht="18.75" x14ac:dyDescent="0.3">
      <c r="A150" s="385"/>
    </row>
    <row r="151" spans="1:1" ht="18.75" x14ac:dyDescent="0.3">
      <c r="A151" s="385"/>
    </row>
    <row r="152" spans="1:1" ht="18.75" x14ac:dyDescent="0.3">
      <c r="A152" s="385"/>
    </row>
    <row r="153" spans="1:1" ht="18.75" x14ac:dyDescent="0.3">
      <c r="A153" s="385"/>
    </row>
    <row r="154" spans="1:1" ht="18.75" x14ac:dyDescent="0.3">
      <c r="A154" s="385"/>
    </row>
    <row r="155" spans="1:1" ht="18.75" x14ac:dyDescent="0.3">
      <c r="A155" s="385"/>
    </row>
    <row r="156" spans="1:1" ht="18.75" x14ac:dyDescent="0.3">
      <c r="A156" s="385"/>
    </row>
    <row r="157" spans="1:1" ht="18.75" x14ac:dyDescent="0.3">
      <c r="A157" s="385"/>
    </row>
    <row r="158" spans="1:1" ht="18.75" x14ac:dyDescent="0.3">
      <c r="A158" s="385"/>
    </row>
    <row r="159" spans="1:1" ht="18.75" x14ac:dyDescent="0.3">
      <c r="A159" s="385"/>
    </row>
    <row r="160" spans="1:1" ht="18.75" x14ac:dyDescent="0.3">
      <c r="A160" s="385"/>
    </row>
    <row r="161" spans="1:1" ht="18.75" x14ac:dyDescent="0.3">
      <c r="A161" s="385"/>
    </row>
    <row r="162" spans="1:1" ht="18.75" x14ac:dyDescent="0.3">
      <c r="A162" s="385"/>
    </row>
    <row r="163" spans="1:1" ht="18.75" x14ac:dyDescent="0.3">
      <c r="A163" s="385"/>
    </row>
    <row r="164" spans="1:1" ht="18.75" x14ac:dyDescent="0.3">
      <c r="A164" s="385"/>
    </row>
    <row r="165" spans="1:1" ht="18.75" x14ac:dyDescent="0.3">
      <c r="A165" s="385"/>
    </row>
    <row r="166" spans="1:1" ht="18.75" x14ac:dyDescent="0.3">
      <c r="A166" s="385"/>
    </row>
    <row r="167" spans="1:1" ht="18.75" x14ac:dyDescent="0.3">
      <c r="A167" s="385"/>
    </row>
    <row r="168" spans="1:1" ht="18.75" x14ac:dyDescent="0.3">
      <c r="A168" s="385"/>
    </row>
    <row r="169" spans="1:1" ht="18.75" x14ac:dyDescent="0.3">
      <c r="A169" s="385"/>
    </row>
    <row r="170" spans="1:1" ht="18.75" x14ac:dyDescent="0.3">
      <c r="A170" s="385"/>
    </row>
    <row r="171" spans="1:1" ht="18.75" x14ac:dyDescent="0.3">
      <c r="A171" s="385"/>
    </row>
    <row r="172" spans="1:1" ht="18.75" x14ac:dyDescent="0.3">
      <c r="A172" s="385"/>
    </row>
    <row r="173" spans="1:1" ht="18.75" x14ac:dyDescent="0.3">
      <c r="A173" s="385"/>
    </row>
    <row r="174" spans="1:1" ht="18.75" x14ac:dyDescent="0.3">
      <c r="A174" s="385"/>
    </row>
    <row r="175" spans="1:1" ht="18.75" x14ac:dyDescent="0.3">
      <c r="A175" s="385"/>
    </row>
    <row r="176" spans="1:1" ht="18.75" x14ac:dyDescent="0.3">
      <c r="A176" s="385"/>
    </row>
    <row r="177" spans="1:1" ht="18.75" x14ac:dyDescent="0.3">
      <c r="A177" s="385"/>
    </row>
    <row r="178" spans="1:1" ht="18.75" x14ac:dyDescent="0.3">
      <c r="A178" s="385"/>
    </row>
    <row r="179" spans="1:1" ht="18.75" x14ac:dyDescent="0.3">
      <c r="A179" s="385"/>
    </row>
    <row r="180" spans="1:1" ht="18.75" x14ac:dyDescent="0.3">
      <c r="A180" s="385"/>
    </row>
    <row r="181" spans="1:1" ht="18.75" x14ac:dyDescent="0.3">
      <c r="A181" s="385"/>
    </row>
    <row r="182" spans="1:1" ht="18.75" x14ac:dyDescent="0.3">
      <c r="A182" s="385"/>
    </row>
    <row r="183" spans="1:1" ht="18.75" x14ac:dyDescent="0.3">
      <c r="A183" s="385"/>
    </row>
    <row r="184" spans="1:1" ht="18.75" x14ac:dyDescent="0.3">
      <c r="A184" s="385"/>
    </row>
    <row r="185" spans="1:1" ht="18.75" x14ac:dyDescent="0.3">
      <c r="A185" s="385"/>
    </row>
    <row r="186" spans="1:1" ht="18.75" x14ac:dyDescent="0.3">
      <c r="A186" s="385"/>
    </row>
    <row r="187" spans="1:1" ht="18.75" x14ac:dyDescent="0.3">
      <c r="A187" s="385"/>
    </row>
    <row r="188" spans="1:1" ht="18.75" x14ac:dyDescent="0.3">
      <c r="A188" s="385"/>
    </row>
    <row r="189" spans="1:1" ht="18.75" x14ac:dyDescent="0.3">
      <c r="A189" s="385"/>
    </row>
  </sheetData>
  <mergeCells count="22">
    <mergeCell ref="AI7:AK7"/>
    <mergeCell ref="Z6:AB6"/>
    <mergeCell ref="AC6:AE6"/>
    <mergeCell ref="AF6:AH6"/>
    <mergeCell ref="AI6:AK6"/>
    <mergeCell ref="Z7:AB7"/>
    <mergeCell ref="AC7:AE7"/>
    <mergeCell ref="AF7:AH7"/>
    <mergeCell ref="T6:V6"/>
    <mergeCell ref="W6:Y6"/>
    <mergeCell ref="Q7:S7"/>
    <mergeCell ref="B6:D6"/>
    <mergeCell ref="E6:G6"/>
    <mergeCell ref="H6:J6"/>
    <mergeCell ref="K6:M6"/>
    <mergeCell ref="B7:D7"/>
    <mergeCell ref="E7:G7"/>
    <mergeCell ref="H7:J7"/>
    <mergeCell ref="K7:M7"/>
    <mergeCell ref="N7:P7"/>
    <mergeCell ref="T7:V7"/>
    <mergeCell ref="W7:Y7"/>
  </mergeCells>
  <conditionalFormatting sqref="B20:C20">
    <cfRule type="expression" dxfId="622" priority="34">
      <formula>#REF!="20≠21+22"</formula>
    </cfRule>
    <cfRule type="expression" dxfId="621" priority="35">
      <formula>#REF!="20≠12+13+14+15+16+17+19"</formula>
    </cfRule>
  </conditionalFormatting>
  <conditionalFormatting sqref="B32:C32">
    <cfRule type="expression" dxfId="620" priority="43">
      <formula>#REF!="32≠24+25+26+27+28+29+31"</formula>
    </cfRule>
    <cfRule type="expression" dxfId="619" priority="36">
      <formula>#REF!="32≠33+34"</formula>
    </cfRule>
  </conditionalFormatting>
  <conditionalFormatting sqref="B44:C44">
    <cfRule type="expression" dxfId="618" priority="37">
      <formula>#REF!="44≠45+46"</formula>
    </cfRule>
    <cfRule type="expression" dxfId="617" priority="44">
      <formula>#REF!="44≠36+37+38+39+40+41+43"</formula>
    </cfRule>
  </conditionalFormatting>
  <conditionalFormatting sqref="B56:C56">
    <cfRule type="expression" dxfId="616" priority="38">
      <formula>#REF!="56≠57+58"</formula>
    </cfRule>
    <cfRule type="expression" dxfId="615" priority="45">
      <formula>#REF!="56≠48+49+50+51+52+53+55"</formula>
    </cfRule>
  </conditionalFormatting>
  <conditionalFormatting sqref="B70:C70">
    <cfRule type="expression" dxfId="614" priority="39">
      <formula>#REF!="70≠62+63+64+65+66+67+69"</formula>
    </cfRule>
    <cfRule type="expression" dxfId="613" priority="46">
      <formula>#REF!="70≠71+72"</formula>
    </cfRule>
  </conditionalFormatting>
  <conditionalFormatting sqref="B82:C82">
    <cfRule type="expression" dxfId="612" priority="40">
      <formula>#REF!="82≠83+84"</formula>
    </cfRule>
    <cfRule type="expression" dxfId="611" priority="47">
      <formula>#REF!="82≠74+75+76+77+78+79+81"</formula>
    </cfRule>
  </conditionalFormatting>
  <conditionalFormatting sqref="B94:C94">
    <cfRule type="expression" dxfId="610" priority="41">
      <formula>#REF!="94≠95+96"</formula>
    </cfRule>
    <cfRule type="expression" dxfId="609" priority="48">
      <formula>#REF!="94≠86+87+88+89+90+91+93"</formula>
    </cfRule>
  </conditionalFormatting>
  <conditionalFormatting sqref="B106:C106">
    <cfRule type="expression" dxfId="608" priority="49">
      <formula>#REF!="106≠98+99+100+101+102+103+105"</formula>
    </cfRule>
    <cfRule type="expression" dxfId="607" priority="42">
      <formula>#REF!="106≠107+108"</formula>
    </cfRule>
  </conditionalFormatting>
  <conditionalFormatting sqref="C49 C63">
    <cfRule type="expression" dxfId="606" priority="51">
      <formula>kvartal &lt; 4</formula>
    </cfRule>
  </conditionalFormatting>
  <conditionalFormatting sqref="C75 C87">
    <cfRule type="expression" dxfId="605" priority="50">
      <formula>kvartal &lt; 4</formula>
    </cfRule>
  </conditionalFormatting>
  <conditionalFormatting sqref="E20:F20">
    <cfRule type="expression" dxfId="604" priority="2">
      <formula>#REF!="20≠12+13+14+15+16+17+19"</formula>
    </cfRule>
    <cfRule type="expression" dxfId="603" priority="1">
      <formula>#REF!="20≠21+22"</formula>
    </cfRule>
  </conditionalFormatting>
  <conditionalFormatting sqref="E32:F32">
    <cfRule type="expression" dxfId="602" priority="3">
      <formula>#REF!="32≠33+34"</formula>
    </cfRule>
    <cfRule type="expression" dxfId="601" priority="10">
      <formula>#REF!="32≠24+25+26+27+28+29+31"</formula>
    </cfRule>
  </conditionalFormatting>
  <conditionalFormatting sqref="E44:F44">
    <cfRule type="expression" dxfId="600" priority="4">
      <formula>#REF!="44≠45+46"</formula>
    </cfRule>
    <cfRule type="expression" dxfId="599" priority="11">
      <formula>#REF!="44≠36+37+38+39+40+41+43"</formula>
    </cfRule>
  </conditionalFormatting>
  <conditionalFormatting sqref="E56:F56">
    <cfRule type="expression" dxfId="598" priority="5">
      <formula>#REF!="56≠57+58"</formula>
    </cfRule>
    <cfRule type="expression" dxfId="597" priority="12">
      <formula>#REF!="56≠48+49+50+51+52+53+55"</formula>
    </cfRule>
  </conditionalFormatting>
  <conditionalFormatting sqref="E70:F70">
    <cfRule type="expression" dxfId="596" priority="6">
      <formula>#REF!="70≠62+63+64+65+66+67+69"</formula>
    </cfRule>
    <cfRule type="expression" dxfId="595" priority="13">
      <formula>#REF!="70≠71+72"</formula>
    </cfRule>
  </conditionalFormatting>
  <conditionalFormatting sqref="E82:F82">
    <cfRule type="expression" dxfId="594" priority="7">
      <formula>#REF!="82≠83+84"</formula>
    </cfRule>
    <cfRule type="expression" dxfId="593" priority="14">
      <formula>#REF!="82≠74+75+76+77+78+79+81"</formula>
    </cfRule>
  </conditionalFormatting>
  <conditionalFormatting sqref="E94:F94">
    <cfRule type="expression" dxfId="592" priority="8">
      <formula>#REF!="94≠95+96"</formula>
    </cfRule>
    <cfRule type="expression" dxfId="591" priority="15">
      <formula>#REF!="94≠86+87+88+89+90+91+93"</formula>
    </cfRule>
  </conditionalFormatting>
  <conditionalFormatting sqref="E106:F106">
    <cfRule type="expression" dxfId="590" priority="16">
      <formula>#REF!="106≠98+99+100+101+102+103+105"</formula>
    </cfRule>
    <cfRule type="expression" dxfId="589" priority="9">
      <formula>#REF!="106≠107+108"</formula>
    </cfRule>
  </conditionalFormatting>
  <conditionalFormatting sqref="F13 F25 F37 F49 F63 F75 F87">
    <cfRule type="expression" dxfId="588" priority="17">
      <formula>kvartal &lt; 4</formula>
    </cfRule>
  </conditionalFormatting>
  <conditionalFormatting sqref="H20:I20">
    <cfRule type="expression" dxfId="587" priority="66">
      <formula>#REF!="20≠21+22"</formula>
    </cfRule>
    <cfRule type="expression" dxfId="586" priority="67">
      <formula>#REF!="20≠12+13+14+15+16+17+19"</formula>
    </cfRule>
  </conditionalFormatting>
  <conditionalFormatting sqref="H32:I32">
    <cfRule type="expression" dxfId="585" priority="68">
      <formula>#REF!="32≠33+34"</formula>
    </cfRule>
    <cfRule type="expression" dxfId="584" priority="75">
      <formula>#REF!="32≠24+25+26+27+28+29+31"</formula>
    </cfRule>
  </conditionalFormatting>
  <conditionalFormatting sqref="H44:I44">
    <cfRule type="expression" dxfId="583" priority="69">
      <formula>#REF!="44≠45+46"</formula>
    </cfRule>
    <cfRule type="expression" dxfId="582" priority="76">
      <formula>#REF!="44≠36+37+38+39+40+41+43"</formula>
    </cfRule>
  </conditionalFormatting>
  <conditionalFormatting sqref="H56:I56">
    <cfRule type="expression" dxfId="581" priority="70">
      <formula>#REF!="56≠57+58"</formula>
    </cfRule>
    <cfRule type="expression" dxfId="580" priority="77">
      <formula>#REF!="56≠48+49+50+51+52+53+55"</formula>
    </cfRule>
  </conditionalFormatting>
  <conditionalFormatting sqref="H70:I70">
    <cfRule type="expression" dxfId="579" priority="71">
      <formula>#REF!="70≠62+63+64+65+66+67+69"</formula>
    </cfRule>
    <cfRule type="expression" dxfId="578" priority="78">
      <formula>#REF!="70≠71+72"</formula>
    </cfRule>
  </conditionalFormatting>
  <conditionalFormatting sqref="H82:I82">
    <cfRule type="expression" dxfId="577" priority="72">
      <formula>#REF!="82≠83+84"</formula>
    </cfRule>
    <cfRule type="expression" dxfId="576" priority="79">
      <formula>#REF!="82≠74+75+76+77+78+79+81"</formula>
    </cfRule>
  </conditionalFormatting>
  <conditionalFormatting sqref="H94:I94">
    <cfRule type="expression" dxfId="575" priority="73">
      <formula>#REF!="94≠95+96"</formula>
    </cfRule>
    <cfRule type="expression" dxfId="574" priority="80">
      <formula>#REF!="94≠86+87+88+89+90+91+93"</formula>
    </cfRule>
  </conditionalFormatting>
  <conditionalFormatting sqref="H106:I106">
    <cfRule type="expression" dxfId="573" priority="74">
      <formula>#REF!="106≠107+108"</formula>
    </cfRule>
    <cfRule type="expression" dxfId="572" priority="81">
      <formula>#REF!="106≠98+99+100+101+102+103+105"</formula>
    </cfRule>
  </conditionalFormatting>
  <conditionalFormatting sqref="I13 I25 I37 I49 I63 I75 I87">
    <cfRule type="expression" dxfId="571" priority="82">
      <formula>kvartal &lt; 4</formula>
    </cfRule>
  </conditionalFormatting>
  <conditionalFormatting sqref="K20:L20">
    <cfRule type="expression" dxfId="570" priority="165">
      <formula>#REF!="20≠21+22"</formula>
    </cfRule>
    <cfRule type="expression" dxfId="569" priority="166">
      <formula>#REF!="20≠12+13+14+15+16+17+19"</formula>
    </cfRule>
  </conditionalFormatting>
  <conditionalFormatting sqref="K32:L32">
    <cfRule type="expression" dxfId="568" priority="174">
      <formula>#REF!="32≠24+25+26+27+28+29+31"</formula>
    </cfRule>
    <cfRule type="expression" dxfId="567" priority="167">
      <formula>#REF!="32≠33+34"</formula>
    </cfRule>
  </conditionalFormatting>
  <conditionalFormatting sqref="K44:L44">
    <cfRule type="expression" dxfId="566" priority="175">
      <formula>#REF!="44≠36+37+38+39+40+41+43"</formula>
    </cfRule>
    <cfRule type="expression" dxfId="565" priority="168">
      <formula>#REF!="44≠45+46"</formula>
    </cfRule>
  </conditionalFormatting>
  <conditionalFormatting sqref="K56:L56">
    <cfRule type="expression" dxfId="564" priority="176">
      <formula>#REF!="56≠48+49+50+51+52+53+55"</formula>
    </cfRule>
    <cfRule type="expression" dxfId="563" priority="169">
      <formula>#REF!="56≠57+58"</formula>
    </cfRule>
  </conditionalFormatting>
  <conditionalFormatting sqref="K70:L70">
    <cfRule type="expression" dxfId="562" priority="177">
      <formula>#REF!="70≠71+72"</formula>
    </cfRule>
    <cfRule type="expression" dxfId="561" priority="170">
      <formula>#REF!="70≠62+63+64+65+66+67+69"</formula>
    </cfRule>
  </conditionalFormatting>
  <conditionalFormatting sqref="K82:L82">
    <cfRule type="expression" dxfId="560" priority="178">
      <formula>#REF!="82≠74+75+76+77+78+79+81"</formula>
    </cfRule>
    <cfRule type="expression" dxfId="559" priority="171">
      <formula>#REF!="82≠83+84"</formula>
    </cfRule>
  </conditionalFormatting>
  <conditionalFormatting sqref="K94:L94">
    <cfRule type="expression" dxfId="558" priority="179">
      <formula>#REF!="94≠86+87+88+89+90+91+93"</formula>
    </cfRule>
    <cfRule type="expression" dxfId="557" priority="172">
      <formula>#REF!="94≠95+96"</formula>
    </cfRule>
  </conditionalFormatting>
  <conditionalFormatting sqref="K106:L106">
    <cfRule type="expression" dxfId="556" priority="180">
      <formula>#REF!="106≠98+99+100+101+102+103+105"</formula>
    </cfRule>
    <cfRule type="expression" dxfId="555" priority="173">
      <formula>#REF!="106≠107+108"</formula>
    </cfRule>
  </conditionalFormatting>
  <conditionalFormatting sqref="L13 L25 L37 L49 L63 L75 L87">
    <cfRule type="expression" dxfId="554" priority="181">
      <formula>kvartal &lt; 4</formula>
    </cfRule>
  </conditionalFormatting>
  <conditionalFormatting sqref="N20:O20">
    <cfRule type="expression" dxfId="553" priority="435">
      <formula>#REF!="20≠12+13+14+15+16+17+19"</formula>
    </cfRule>
    <cfRule type="expression" dxfId="552" priority="434">
      <formula>#REF!="20≠21+22"</formula>
    </cfRule>
  </conditionalFormatting>
  <conditionalFormatting sqref="N32:O32">
    <cfRule type="expression" dxfId="551" priority="443">
      <formula>#REF!="32≠24+25+26+27+28+29+31"</formula>
    </cfRule>
    <cfRule type="expression" dxfId="550" priority="436">
      <formula>#REF!="32≠33+34"</formula>
    </cfRule>
  </conditionalFormatting>
  <conditionalFormatting sqref="N44:O44">
    <cfRule type="expression" dxfId="549" priority="444">
      <formula>#REF!="44≠36+37+38+39+40+41+43"</formula>
    </cfRule>
    <cfRule type="expression" dxfId="548" priority="437">
      <formula>#REF!="44≠45+46"</formula>
    </cfRule>
  </conditionalFormatting>
  <conditionalFormatting sqref="N56:O56">
    <cfRule type="expression" dxfId="547" priority="445">
      <formula>#REF!="56≠48+49+50+51+52+53+55"</formula>
    </cfRule>
    <cfRule type="expression" dxfId="546" priority="438">
      <formula>#REF!="56≠57+58"</formula>
    </cfRule>
  </conditionalFormatting>
  <conditionalFormatting sqref="N70:O70">
    <cfRule type="expression" dxfId="545" priority="446">
      <formula>#REF!="70≠71+72"</formula>
    </cfRule>
    <cfRule type="expression" dxfId="544" priority="439">
      <formula>#REF!="70≠62+63+64+65+66+67+69"</formula>
    </cfRule>
  </conditionalFormatting>
  <conditionalFormatting sqref="N82:O82">
    <cfRule type="expression" dxfId="543" priority="440">
      <formula>#REF!="82≠83+84"</formula>
    </cfRule>
    <cfRule type="expression" dxfId="542" priority="447">
      <formula>#REF!="82≠74+75+76+77+78+79+81"</formula>
    </cfRule>
  </conditionalFormatting>
  <conditionalFormatting sqref="N94:O94">
    <cfRule type="expression" dxfId="541" priority="441">
      <formula>#REF!="94≠95+96"</formula>
    </cfRule>
    <cfRule type="expression" dxfId="540" priority="448">
      <formula>#REF!="94≠86+87+88+89+90+91+93"</formula>
    </cfRule>
  </conditionalFormatting>
  <conditionalFormatting sqref="N106:O106">
    <cfRule type="expression" dxfId="539" priority="442">
      <formula>#REF!="106≠107+108"</formula>
    </cfRule>
    <cfRule type="expression" dxfId="538" priority="449">
      <formula>#REF!="106≠98+99+100+101+102+103+105"</formula>
    </cfRule>
  </conditionalFormatting>
  <conditionalFormatting sqref="O13 O25 O37 O49 O63 O75 O87">
    <cfRule type="expression" dxfId="537" priority="316">
      <formula>kvartal &lt; 4</formula>
    </cfRule>
  </conditionalFormatting>
  <conditionalFormatting sqref="Q20:R20">
    <cfRule type="expression" dxfId="536" priority="199">
      <formula>#REF!="20≠12+13+14+15+16+17+19"</formula>
    </cfRule>
    <cfRule type="expression" dxfId="535" priority="198">
      <formula>#REF!="20≠21+22"</formula>
    </cfRule>
  </conditionalFormatting>
  <conditionalFormatting sqref="Q32:R32">
    <cfRule type="expression" dxfId="534" priority="207">
      <formula>#REF!="32≠24+25+26+27+28+29+31"</formula>
    </cfRule>
    <cfRule type="expression" dxfId="533" priority="200">
      <formula>#REF!="32≠33+34"</formula>
    </cfRule>
  </conditionalFormatting>
  <conditionalFormatting sqref="Q44:R44">
    <cfRule type="expression" dxfId="532" priority="208">
      <formula>#REF!="44≠36+37+38+39+40+41+43"</formula>
    </cfRule>
    <cfRule type="expression" dxfId="531" priority="201">
      <formula>#REF!="44≠45+46"</formula>
    </cfRule>
  </conditionalFormatting>
  <conditionalFormatting sqref="Q56:R56">
    <cfRule type="expression" dxfId="530" priority="202">
      <formula>#REF!="56≠57+58"</formula>
    </cfRule>
    <cfRule type="expression" dxfId="529" priority="209">
      <formula>#REF!="56≠48+49+50+51+52+53+55"</formula>
    </cfRule>
  </conditionalFormatting>
  <conditionalFormatting sqref="Q70:R70">
    <cfRule type="expression" dxfId="528" priority="210">
      <formula>#REF!="70≠71+72"</formula>
    </cfRule>
    <cfRule type="expression" dxfId="527" priority="203">
      <formula>#REF!="70≠62+63+64+65+66+67+69"</formula>
    </cfRule>
  </conditionalFormatting>
  <conditionalFormatting sqref="Q82:R82">
    <cfRule type="expression" dxfId="526" priority="211">
      <formula>#REF!="82≠74+75+76+77+78+79+81"</formula>
    </cfRule>
    <cfRule type="expression" dxfId="525" priority="204">
      <formula>#REF!="82≠83+84"</formula>
    </cfRule>
  </conditionalFormatting>
  <conditionalFormatting sqref="Q94:R94">
    <cfRule type="expression" dxfId="524" priority="205">
      <formula>#REF!="94≠95+96"</formula>
    </cfRule>
    <cfRule type="expression" dxfId="523" priority="212">
      <formula>#REF!="94≠86+87+88+89+90+91+93"</formula>
    </cfRule>
  </conditionalFormatting>
  <conditionalFormatting sqref="Q106:R106">
    <cfRule type="expression" dxfId="522" priority="206">
      <formula>#REF!="106≠107+108"</formula>
    </cfRule>
    <cfRule type="expression" dxfId="521" priority="213">
      <formula>#REF!="106≠98+99+100+101+102+103+105"</formula>
    </cfRule>
  </conditionalFormatting>
  <conditionalFormatting sqref="R13 R25 R37 R49 R63 R75 R87">
    <cfRule type="expression" dxfId="520" priority="214">
      <formula>kvartal &lt; 4</formula>
    </cfRule>
  </conditionalFormatting>
  <conditionalFormatting sqref="T20:U20">
    <cfRule type="expression" dxfId="519" priority="403">
      <formula>#REF!="20≠12+13+14+15+16+17+19"</formula>
    </cfRule>
    <cfRule type="expression" dxfId="518" priority="402">
      <formula>#REF!="20≠21+22"</formula>
    </cfRule>
  </conditionalFormatting>
  <conditionalFormatting sqref="T32:U32">
    <cfRule type="expression" dxfId="517" priority="404">
      <formula>#REF!="32≠33+34"</formula>
    </cfRule>
    <cfRule type="expression" dxfId="516" priority="411">
      <formula>#REF!="32≠24+25+26+27+28+29+31"</formula>
    </cfRule>
  </conditionalFormatting>
  <conditionalFormatting sqref="T44:U44">
    <cfRule type="expression" dxfId="515" priority="412">
      <formula>#REF!="44≠36+37+38+39+40+41+43"</formula>
    </cfRule>
    <cfRule type="expression" dxfId="514" priority="405">
      <formula>#REF!="44≠45+46"</formula>
    </cfRule>
  </conditionalFormatting>
  <conditionalFormatting sqref="T56:U56">
    <cfRule type="expression" dxfId="513" priority="413">
      <formula>#REF!="56≠48+49+50+51+52+53+55"</formula>
    </cfRule>
    <cfRule type="expression" dxfId="512" priority="406">
      <formula>#REF!="56≠57+58"</formula>
    </cfRule>
  </conditionalFormatting>
  <conditionalFormatting sqref="T70:U70">
    <cfRule type="expression" dxfId="511" priority="414">
      <formula>#REF!="70≠71+72"</formula>
    </cfRule>
    <cfRule type="expression" dxfId="510" priority="407">
      <formula>#REF!="70≠62+63+64+65+66+67+69"</formula>
    </cfRule>
  </conditionalFormatting>
  <conditionalFormatting sqref="T82:U82">
    <cfRule type="expression" dxfId="509" priority="408">
      <formula>#REF!="82≠83+84"</formula>
    </cfRule>
    <cfRule type="expression" dxfId="508" priority="415">
      <formula>#REF!="82≠74+75+76+77+78+79+81"</formula>
    </cfRule>
  </conditionalFormatting>
  <conditionalFormatting sqref="T94:U94">
    <cfRule type="expression" dxfId="507" priority="409">
      <formula>#REF!="94≠95+96"</formula>
    </cfRule>
    <cfRule type="expression" dxfId="506" priority="416">
      <formula>#REF!="94≠86+87+88+89+90+91+93"</formula>
    </cfRule>
  </conditionalFormatting>
  <conditionalFormatting sqref="T106:U106">
    <cfRule type="expression" dxfId="505" priority="410">
      <formula>#REF!="106≠107+108"</formula>
    </cfRule>
    <cfRule type="expression" dxfId="504" priority="417">
      <formula>#REF!="106≠98+99+100+101+102+103+105"</formula>
    </cfRule>
  </conditionalFormatting>
  <conditionalFormatting sqref="U13 U25 U37 U49 U63 U75 U87">
    <cfRule type="expression" dxfId="503" priority="282">
      <formula>kvartal &lt; 4</formula>
    </cfRule>
  </conditionalFormatting>
  <conditionalFormatting sqref="W20:X20">
    <cfRule type="expression" dxfId="502" priority="132">
      <formula>#REF!="20≠21+22"</formula>
    </cfRule>
    <cfRule type="expression" dxfId="501" priority="133">
      <formula>#REF!="20≠12+13+14+15+16+17+19"</formula>
    </cfRule>
  </conditionalFormatting>
  <conditionalFormatting sqref="W32:X32">
    <cfRule type="expression" dxfId="500" priority="141">
      <formula>#REF!="32≠24+25+26+27+28+29+31"</formula>
    </cfRule>
    <cfRule type="expression" dxfId="499" priority="134">
      <formula>#REF!="32≠33+34"</formula>
    </cfRule>
  </conditionalFormatting>
  <conditionalFormatting sqref="W44:X44">
    <cfRule type="expression" dxfId="498" priority="142">
      <formula>#REF!="44≠36+37+38+39+40+41+43"</formula>
    </cfRule>
    <cfRule type="expression" dxfId="497" priority="135">
      <formula>#REF!="44≠45+46"</formula>
    </cfRule>
  </conditionalFormatting>
  <conditionalFormatting sqref="W56:X56">
    <cfRule type="expression" dxfId="496" priority="136">
      <formula>#REF!="56≠57+58"</formula>
    </cfRule>
    <cfRule type="expression" dxfId="495" priority="143">
      <formula>#REF!="56≠48+49+50+51+52+53+55"</formula>
    </cfRule>
  </conditionalFormatting>
  <conditionalFormatting sqref="W70:X70">
    <cfRule type="expression" dxfId="494" priority="144">
      <formula>#REF!="70≠71+72"</formula>
    </cfRule>
    <cfRule type="expression" dxfId="493" priority="137">
      <formula>#REF!="70≠62+63+64+65+66+67+69"</formula>
    </cfRule>
  </conditionalFormatting>
  <conditionalFormatting sqref="W82:X82">
    <cfRule type="expression" dxfId="492" priority="145">
      <formula>#REF!="82≠74+75+76+77+78+79+81"</formula>
    </cfRule>
    <cfRule type="expression" dxfId="491" priority="138">
      <formula>#REF!="82≠83+84"</formula>
    </cfRule>
  </conditionalFormatting>
  <conditionalFormatting sqref="W94:X94">
    <cfRule type="expression" dxfId="490" priority="146">
      <formula>#REF!="94≠86+87+88+89+90+91+93"</formula>
    </cfRule>
    <cfRule type="expression" dxfId="489" priority="139">
      <formula>#REF!="94≠95+96"</formula>
    </cfRule>
  </conditionalFormatting>
  <conditionalFormatting sqref="W106:X106">
    <cfRule type="expression" dxfId="488" priority="147">
      <formula>#REF!="106≠98+99+100+101+102+103+105"</formula>
    </cfRule>
    <cfRule type="expression" dxfId="487" priority="140">
      <formula>#REF!="106≠107+108"</formula>
    </cfRule>
  </conditionalFormatting>
  <conditionalFormatting sqref="X13 X25 X37 X49 X63 X75 X87">
    <cfRule type="expression" dxfId="486" priority="148">
      <formula>kvartal &lt; 4</formula>
    </cfRule>
  </conditionalFormatting>
  <conditionalFormatting sqref="Z20:AA20">
    <cfRule type="expression" dxfId="485" priority="100">
      <formula>#REF!="20≠12+13+14+15+16+17+19"</formula>
    </cfRule>
    <cfRule type="expression" dxfId="484" priority="99">
      <formula>#REF!="20≠21+22"</formula>
    </cfRule>
  </conditionalFormatting>
  <conditionalFormatting sqref="Z32:AA32">
    <cfRule type="expression" dxfId="483" priority="101">
      <formula>#REF!="32≠33+34"</formula>
    </cfRule>
    <cfRule type="expression" dxfId="482" priority="108">
      <formula>#REF!="32≠24+25+26+27+28+29+31"</formula>
    </cfRule>
  </conditionalFormatting>
  <conditionalFormatting sqref="Z44:AA44">
    <cfRule type="expression" dxfId="481" priority="102">
      <formula>#REF!="44≠45+46"</formula>
    </cfRule>
    <cfRule type="expression" dxfId="480" priority="109">
      <formula>#REF!="44≠36+37+38+39+40+41+43"</formula>
    </cfRule>
  </conditionalFormatting>
  <conditionalFormatting sqref="Z56:AA56">
    <cfRule type="expression" dxfId="479" priority="103">
      <formula>#REF!="56≠57+58"</formula>
    </cfRule>
    <cfRule type="expression" dxfId="478" priority="110">
      <formula>#REF!="56≠48+49+50+51+52+53+55"</formula>
    </cfRule>
  </conditionalFormatting>
  <conditionalFormatting sqref="Z70:AA70">
    <cfRule type="expression" dxfId="477" priority="111">
      <formula>#REF!="70≠71+72"</formula>
    </cfRule>
    <cfRule type="expression" dxfId="476" priority="104">
      <formula>#REF!="70≠62+63+64+65+66+67+69"</formula>
    </cfRule>
  </conditionalFormatting>
  <conditionalFormatting sqref="Z82:AA82">
    <cfRule type="expression" dxfId="475" priority="112">
      <formula>#REF!="82≠74+75+76+77+78+79+81"</formula>
    </cfRule>
    <cfRule type="expression" dxfId="474" priority="105">
      <formula>#REF!="82≠83+84"</formula>
    </cfRule>
  </conditionalFormatting>
  <conditionalFormatting sqref="Z94:AA94">
    <cfRule type="expression" dxfId="473" priority="113">
      <formula>#REF!="94≠86+87+88+89+90+91+93"</formula>
    </cfRule>
    <cfRule type="expression" dxfId="472" priority="106">
      <formula>#REF!="94≠95+96"</formula>
    </cfRule>
  </conditionalFormatting>
  <conditionalFormatting sqref="Z106:AA106">
    <cfRule type="expression" dxfId="471" priority="114">
      <formula>#REF!="106≠98+99+100+101+102+103+105"</formula>
    </cfRule>
    <cfRule type="expression" dxfId="470" priority="107">
      <formula>#REF!="106≠107+108"</formula>
    </cfRule>
  </conditionalFormatting>
  <conditionalFormatting sqref="AA13 AA25 AA37 AA49 AA63 AA75 AA87">
    <cfRule type="expression" dxfId="469" priority="115">
      <formula>kvartal &lt; 4</formula>
    </cfRule>
  </conditionalFormatting>
  <conditionalFormatting sqref="AD13 AD25 AD37 AD49 AD63 AD75 AD87">
    <cfRule type="expression" dxfId="468" priority="231">
      <formula>kvartal &lt; 4</formula>
    </cfRule>
  </conditionalFormatting>
  <conditionalFormatting sqref="AD20">
    <cfRule type="expression" dxfId="467" priority="547">
      <formula>#REF!="20≠21+22"</formula>
    </cfRule>
    <cfRule type="expression" dxfId="466" priority="548">
      <formula>#REF!="20≠12+13+14+15+16+17+19"</formula>
    </cfRule>
  </conditionalFormatting>
  <conditionalFormatting sqref="AD32">
    <cfRule type="expression" dxfId="465" priority="549">
      <formula>#REF!="32≠33+34"</formula>
    </cfRule>
    <cfRule type="expression" dxfId="464" priority="556">
      <formula>#REF!="32≠24+25+26+27+28+29+31"</formula>
    </cfRule>
  </conditionalFormatting>
  <conditionalFormatting sqref="AD44">
    <cfRule type="expression" dxfId="463" priority="550">
      <formula>#REF!="44≠45+46"</formula>
    </cfRule>
    <cfRule type="expression" dxfId="462" priority="557">
      <formula>#REF!="44≠36+37+38+39+40+41+43"</formula>
    </cfRule>
  </conditionalFormatting>
  <conditionalFormatting sqref="AD56">
    <cfRule type="expression" dxfId="461" priority="551">
      <formula>#REF!="56≠57+58"</formula>
    </cfRule>
    <cfRule type="expression" dxfId="460" priority="558">
      <formula>#REF!="56≠48+49+50+51+52+53+55"</formula>
    </cfRule>
  </conditionalFormatting>
  <conditionalFormatting sqref="AD70">
    <cfRule type="expression" dxfId="459" priority="552">
      <formula>#REF!="70≠62+63+64+65+66+67+69"</formula>
    </cfRule>
    <cfRule type="expression" dxfId="458" priority="559">
      <formula>#REF!="70≠71+72"</formula>
    </cfRule>
  </conditionalFormatting>
  <conditionalFormatting sqref="AD82">
    <cfRule type="expression" dxfId="457" priority="553">
      <formula>#REF!="82≠83+84"</formula>
    </cfRule>
    <cfRule type="expression" dxfId="456" priority="560">
      <formula>#REF!="82≠74+75+76+77+78+79+81"</formula>
    </cfRule>
  </conditionalFormatting>
  <conditionalFormatting sqref="AD94">
    <cfRule type="expression" dxfId="455" priority="554">
      <formula>#REF!="94≠95+96"</formula>
    </cfRule>
    <cfRule type="expression" dxfId="454" priority="561">
      <formula>#REF!="94≠86+87+88+89+90+91+93"</formula>
    </cfRule>
  </conditionalFormatting>
  <conditionalFormatting sqref="AD106">
    <cfRule type="expression" dxfId="453" priority="555">
      <formula>#REF!="106≠107+108"</formula>
    </cfRule>
    <cfRule type="expression" dxfId="452" priority="562">
      <formula>#REF!="106≠98+99+100+101+102+103+105"</formula>
    </cfRule>
  </conditionalFormatting>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2" manualBreakCount="2">
    <brk id="10" min="1" max="108" man="1"/>
    <brk id="25" min="1" max="10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7CBE6-EB64-4B45-8787-855E9ACB86F9}">
  <sheetPr codeName="Ark37"/>
  <dimension ref="A1:AO219"/>
  <sheetViews>
    <sheetView showGridLines="0" zoomScale="70" zoomScaleNormal="70" workbookViewId="0">
      <pane xSplit="1" ySplit="9" topLeftCell="B10" activePane="bottomRight" state="frozen"/>
      <selection activeCell="A42" sqref="A42"/>
      <selection pane="topRight" activeCell="A42" sqref="A42"/>
      <selection pane="bottomLeft" activeCell="A42" sqref="A42"/>
      <selection pane="bottomRight" activeCell="A5" sqref="A5"/>
    </sheetView>
  </sheetViews>
  <sheetFormatPr baseColWidth="10" defaultColWidth="12.5703125" defaultRowHeight="15.75" x14ac:dyDescent="0.25"/>
  <cols>
    <col min="1" max="1" width="90.7109375" style="546" customWidth="1"/>
    <col min="2" max="37" width="11.7109375" style="546" customWidth="1"/>
    <col min="38" max="16384" width="12.5703125" style="546"/>
  </cols>
  <sheetData>
    <row r="1" spans="1:41" ht="20.25" customHeight="1" x14ac:dyDescent="0.3">
      <c r="A1" s="391" t="s">
        <v>153</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row>
    <row r="2" spans="1:41" ht="20.100000000000001" customHeight="1" x14ac:dyDescent="0.3">
      <c r="A2" s="547" t="s">
        <v>231</v>
      </c>
      <c r="B2" s="545"/>
      <c r="C2" s="545"/>
      <c r="D2" s="545"/>
      <c r="E2" s="508"/>
      <c r="F2" s="509"/>
      <c r="G2" s="509"/>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1" ht="20.100000000000001" customHeight="1" x14ac:dyDescent="0.3">
      <c r="A3" s="548" t="s">
        <v>340</v>
      </c>
      <c r="B3" s="507"/>
      <c r="C3" s="507"/>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row>
    <row r="4" spans="1:41" ht="20.100000000000001" customHeight="1" x14ac:dyDescent="0.3">
      <c r="A4" s="549" t="s">
        <v>341</v>
      </c>
      <c r="B4" s="644"/>
      <c r="C4" s="512"/>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row>
    <row r="5" spans="1:41" ht="18.75" customHeight="1" x14ac:dyDescent="0.3">
      <c r="A5" s="550" t="s">
        <v>320</v>
      </c>
      <c r="B5" s="551"/>
      <c r="C5" s="552"/>
      <c r="D5" s="553"/>
      <c r="E5" s="551"/>
      <c r="F5" s="552"/>
      <c r="G5" s="553"/>
      <c r="H5" s="551"/>
      <c r="I5" s="552"/>
      <c r="J5" s="553"/>
      <c r="K5" s="552"/>
      <c r="L5" s="552"/>
      <c r="M5" s="552"/>
      <c r="N5" s="551"/>
      <c r="O5" s="552"/>
      <c r="P5" s="553"/>
      <c r="Q5" s="551"/>
      <c r="R5" s="552"/>
      <c r="S5" s="553"/>
      <c r="T5" s="551"/>
      <c r="U5" s="552"/>
      <c r="V5" s="553"/>
      <c r="W5" s="551"/>
      <c r="X5" s="552"/>
      <c r="Y5" s="553"/>
      <c r="Z5" s="551"/>
      <c r="AA5" s="552"/>
      <c r="AB5" s="553"/>
      <c r="AC5" s="552"/>
      <c r="AD5" s="552"/>
      <c r="AE5" s="552"/>
      <c r="AF5" s="551"/>
      <c r="AG5" s="552"/>
      <c r="AH5" s="553"/>
      <c r="AI5" s="551"/>
      <c r="AJ5" s="552"/>
      <c r="AK5" s="553"/>
      <c r="AL5" s="545"/>
      <c r="AM5" s="545"/>
      <c r="AN5" s="545"/>
      <c r="AO5" s="545"/>
    </row>
    <row r="6" spans="1:41" ht="18.75" customHeight="1" x14ac:dyDescent="0.3">
      <c r="A6" s="554" t="s">
        <v>94</v>
      </c>
      <c r="B6" s="802" t="s">
        <v>156</v>
      </c>
      <c r="C6" s="803"/>
      <c r="D6" s="804"/>
      <c r="E6" s="802"/>
      <c r="F6" s="803"/>
      <c r="G6" s="804"/>
      <c r="H6" s="802" t="s">
        <v>157</v>
      </c>
      <c r="I6" s="803"/>
      <c r="J6" s="804"/>
      <c r="K6" s="802" t="s">
        <v>158</v>
      </c>
      <c r="L6" s="803"/>
      <c r="M6" s="804"/>
      <c r="N6" s="635" t="s">
        <v>159</v>
      </c>
      <c r="O6" s="636"/>
      <c r="P6" s="637"/>
      <c r="Q6" s="635"/>
      <c r="R6" s="636"/>
      <c r="S6" s="637"/>
      <c r="T6" s="802" t="s">
        <v>160</v>
      </c>
      <c r="U6" s="803"/>
      <c r="V6" s="804"/>
      <c r="W6" s="802" t="s">
        <v>65</v>
      </c>
      <c r="X6" s="803"/>
      <c r="Y6" s="804"/>
      <c r="Z6" s="802" t="s">
        <v>68</v>
      </c>
      <c r="AA6" s="803"/>
      <c r="AB6" s="804"/>
      <c r="AC6" s="802" t="s">
        <v>434</v>
      </c>
      <c r="AD6" s="803"/>
      <c r="AE6" s="804"/>
      <c r="AF6" s="802" t="s">
        <v>2</v>
      </c>
      <c r="AG6" s="803"/>
      <c r="AH6" s="804"/>
      <c r="AI6" s="802" t="s">
        <v>2</v>
      </c>
      <c r="AJ6" s="803"/>
      <c r="AK6" s="804"/>
      <c r="AL6" s="545"/>
      <c r="AM6" s="545"/>
      <c r="AN6" s="545"/>
      <c r="AO6" s="545"/>
    </row>
    <row r="7" spans="1:41" ht="18.75" customHeight="1" x14ac:dyDescent="0.3">
      <c r="A7" s="555"/>
      <c r="B7" s="805" t="s">
        <v>162</v>
      </c>
      <c r="C7" s="806"/>
      <c r="D7" s="807"/>
      <c r="E7" s="805" t="s">
        <v>421</v>
      </c>
      <c r="F7" s="806"/>
      <c r="G7" s="807"/>
      <c r="H7" s="805" t="s">
        <v>162</v>
      </c>
      <c r="I7" s="806"/>
      <c r="J7" s="807"/>
      <c r="K7" s="805" t="s">
        <v>163</v>
      </c>
      <c r="L7" s="806"/>
      <c r="M7" s="807"/>
      <c r="N7" s="805" t="s">
        <v>61</v>
      </c>
      <c r="O7" s="806"/>
      <c r="P7" s="807"/>
      <c r="Q7" s="805" t="s">
        <v>63</v>
      </c>
      <c r="R7" s="806"/>
      <c r="S7" s="807"/>
      <c r="T7" s="805" t="s">
        <v>161</v>
      </c>
      <c r="U7" s="806"/>
      <c r="V7" s="807"/>
      <c r="W7" s="805" t="s">
        <v>430</v>
      </c>
      <c r="X7" s="806"/>
      <c r="Y7" s="807"/>
      <c r="Z7" s="805" t="s">
        <v>162</v>
      </c>
      <c r="AA7" s="806"/>
      <c r="AB7" s="807"/>
      <c r="AC7" s="805" t="s">
        <v>162</v>
      </c>
      <c r="AD7" s="806"/>
      <c r="AE7" s="807"/>
      <c r="AF7" s="805" t="s">
        <v>257</v>
      </c>
      <c r="AG7" s="806"/>
      <c r="AH7" s="807"/>
      <c r="AI7" s="808" t="s">
        <v>258</v>
      </c>
      <c r="AJ7" s="809"/>
      <c r="AK7" s="810"/>
      <c r="AL7" s="545"/>
      <c r="AM7" s="545"/>
      <c r="AN7" s="545"/>
      <c r="AO7" s="545"/>
    </row>
    <row r="8" spans="1:41" ht="18.75" customHeight="1" x14ac:dyDescent="0.3">
      <c r="A8" s="555"/>
      <c r="B8" s="402"/>
      <c r="C8" s="402"/>
      <c r="D8" s="403" t="s">
        <v>76</v>
      </c>
      <c r="E8" s="402"/>
      <c r="F8" s="402"/>
      <c r="G8" s="403" t="s">
        <v>76</v>
      </c>
      <c r="H8" s="402"/>
      <c r="I8" s="402"/>
      <c r="J8" s="403" t="s">
        <v>76</v>
      </c>
      <c r="K8" s="402"/>
      <c r="L8" s="402"/>
      <c r="M8" s="403" t="s">
        <v>76</v>
      </c>
      <c r="N8" s="402"/>
      <c r="O8" s="402"/>
      <c r="P8" s="403" t="s">
        <v>76</v>
      </c>
      <c r="Q8" s="402"/>
      <c r="R8" s="402"/>
      <c r="S8" s="403" t="s">
        <v>76</v>
      </c>
      <c r="T8" s="402"/>
      <c r="U8" s="402"/>
      <c r="V8" s="403" t="s">
        <v>76</v>
      </c>
      <c r="W8" s="402"/>
      <c r="X8" s="402"/>
      <c r="Y8" s="403" t="s">
        <v>76</v>
      </c>
      <c r="Z8" s="402"/>
      <c r="AA8" s="402"/>
      <c r="AB8" s="403" t="s">
        <v>76</v>
      </c>
      <c r="AC8" s="402"/>
      <c r="AD8" s="402"/>
      <c r="AE8" s="403" t="s">
        <v>76</v>
      </c>
      <c r="AF8" s="402"/>
      <c r="AG8" s="402"/>
      <c r="AH8" s="403" t="s">
        <v>76</v>
      </c>
      <c r="AI8" s="402"/>
      <c r="AJ8" s="402"/>
      <c r="AK8" s="403" t="s">
        <v>76</v>
      </c>
      <c r="AL8" s="545"/>
      <c r="AM8" s="545"/>
      <c r="AN8" s="545"/>
      <c r="AO8" s="545"/>
    </row>
    <row r="9" spans="1:41" ht="18.75" customHeight="1" x14ac:dyDescent="0.3">
      <c r="A9" s="556" t="s">
        <v>259</v>
      </c>
      <c r="B9" s="405">
        <v>2023</v>
      </c>
      <c r="C9" s="405">
        <v>2024</v>
      </c>
      <c r="D9" s="406" t="s">
        <v>78</v>
      </c>
      <c r="E9" s="405">
        <f>$B$9</f>
        <v>2023</v>
      </c>
      <c r="F9" s="405">
        <f>$C$9</f>
        <v>2024</v>
      </c>
      <c r="G9" s="406" t="s">
        <v>78</v>
      </c>
      <c r="H9" s="405">
        <f>$B$9</f>
        <v>2023</v>
      </c>
      <c r="I9" s="405">
        <f>$C$9</f>
        <v>2024</v>
      </c>
      <c r="J9" s="406" t="s">
        <v>78</v>
      </c>
      <c r="K9" s="405">
        <f>$B$9</f>
        <v>2023</v>
      </c>
      <c r="L9" s="405">
        <f>$C$9</f>
        <v>2024</v>
      </c>
      <c r="M9" s="406" t="s">
        <v>78</v>
      </c>
      <c r="N9" s="405">
        <f>$B$9</f>
        <v>2023</v>
      </c>
      <c r="O9" s="405">
        <f>$C$9</f>
        <v>2024</v>
      </c>
      <c r="P9" s="406" t="s">
        <v>78</v>
      </c>
      <c r="Q9" s="405">
        <f>$B$9</f>
        <v>2023</v>
      </c>
      <c r="R9" s="405">
        <f>$C$9</f>
        <v>2024</v>
      </c>
      <c r="S9" s="406" t="s">
        <v>78</v>
      </c>
      <c r="T9" s="405">
        <f>$B$9</f>
        <v>2023</v>
      </c>
      <c r="U9" s="405">
        <f>$C$9</f>
        <v>2024</v>
      </c>
      <c r="V9" s="406" t="s">
        <v>78</v>
      </c>
      <c r="W9" s="405">
        <f>$B$9</f>
        <v>2023</v>
      </c>
      <c r="X9" s="405">
        <f>$C$9</f>
        <v>2024</v>
      </c>
      <c r="Y9" s="406" t="s">
        <v>78</v>
      </c>
      <c r="Z9" s="405">
        <f>$B$9</f>
        <v>2023</v>
      </c>
      <c r="AA9" s="405">
        <f>$C$9</f>
        <v>2024</v>
      </c>
      <c r="AB9" s="406" t="s">
        <v>78</v>
      </c>
      <c r="AC9" s="405">
        <f>$B$9</f>
        <v>2023</v>
      </c>
      <c r="AD9" s="405">
        <f>$C$9</f>
        <v>2024</v>
      </c>
      <c r="AE9" s="406" t="s">
        <v>78</v>
      </c>
      <c r="AF9" s="405">
        <f>$B$9</f>
        <v>2023</v>
      </c>
      <c r="AG9" s="405">
        <f>$C$9</f>
        <v>2024</v>
      </c>
      <c r="AH9" s="406" t="s">
        <v>78</v>
      </c>
      <c r="AI9" s="405">
        <f>$B$9</f>
        <v>2023</v>
      </c>
      <c r="AJ9" s="405">
        <f>$C$9</f>
        <v>2024</v>
      </c>
      <c r="AK9" s="406" t="s">
        <v>78</v>
      </c>
      <c r="AL9" s="545"/>
      <c r="AM9" s="545"/>
      <c r="AN9" s="545"/>
      <c r="AO9" s="545"/>
    </row>
    <row r="10" spans="1:41" ht="18.75" customHeight="1" x14ac:dyDescent="0.3">
      <c r="A10" s="557"/>
      <c r="B10" s="726"/>
      <c r="C10" s="727"/>
      <c r="D10" s="558"/>
      <c r="E10" s="428"/>
      <c r="F10" s="429"/>
      <c r="G10" s="559"/>
      <c r="H10" s="428"/>
      <c r="I10" s="429"/>
      <c r="J10" s="559"/>
      <c r="K10" s="428"/>
      <c r="L10" s="429"/>
      <c r="M10" s="560"/>
      <c r="N10" s="428"/>
      <c r="O10" s="429"/>
      <c r="P10" s="558"/>
      <c r="Q10" s="428"/>
      <c r="R10" s="429"/>
      <c r="S10" s="558"/>
      <c r="T10" s="428"/>
      <c r="U10" s="429"/>
      <c r="V10" s="558"/>
      <c r="W10" s="428"/>
      <c r="X10" s="429"/>
      <c r="Y10" s="558"/>
      <c r="Z10" s="428"/>
      <c r="AA10" s="429"/>
      <c r="AB10" s="558"/>
      <c r="AC10" s="560"/>
      <c r="AD10" s="560"/>
      <c r="AE10" s="560"/>
      <c r="AF10" s="560"/>
      <c r="AG10" s="560"/>
      <c r="AH10" s="558"/>
      <c r="AI10" s="429"/>
      <c r="AJ10" s="429"/>
      <c r="AK10" s="558"/>
      <c r="AL10" s="545"/>
      <c r="AM10" s="545"/>
      <c r="AN10" s="545"/>
      <c r="AO10" s="545"/>
    </row>
    <row r="11" spans="1:41" ht="18.75" customHeight="1" x14ac:dyDescent="0.3">
      <c r="A11" s="528" t="s">
        <v>342</v>
      </c>
      <c r="B11" s="707"/>
      <c r="C11" s="723"/>
      <c r="D11" s="443"/>
      <c r="E11" s="422"/>
      <c r="F11" s="423"/>
      <c r="G11" s="443"/>
      <c r="H11" s="422"/>
      <c r="I11" s="423"/>
      <c r="J11" s="443"/>
      <c r="K11" s="422"/>
      <c r="L11" s="423"/>
      <c r="M11" s="433"/>
      <c r="N11" s="422"/>
      <c r="O11" s="423"/>
      <c r="P11" s="443"/>
      <c r="Q11" s="422"/>
      <c r="R11" s="423"/>
      <c r="S11" s="443"/>
      <c r="T11" s="422"/>
      <c r="U11" s="423"/>
      <c r="V11" s="443"/>
      <c r="W11" s="422"/>
      <c r="X11" s="423"/>
      <c r="Y11" s="443"/>
      <c r="Z11" s="422"/>
      <c r="AA11" s="423"/>
      <c r="AB11" s="443"/>
      <c r="AC11" s="433"/>
      <c r="AD11" s="433"/>
      <c r="AE11" s="433"/>
      <c r="AF11" s="433"/>
      <c r="AG11" s="433"/>
      <c r="AH11" s="443"/>
      <c r="AI11" s="423"/>
      <c r="AJ11" s="423"/>
      <c r="AK11" s="443"/>
      <c r="AL11" s="545"/>
      <c r="AM11" s="545"/>
      <c r="AN11" s="545"/>
      <c r="AO11" s="545"/>
    </row>
    <row r="12" spans="1:41" ht="18.75" customHeight="1" x14ac:dyDescent="0.3">
      <c r="A12" s="760" t="s">
        <v>492</v>
      </c>
      <c r="B12" s="706">
        <v>13</v>
      </c>
      <c r="C12" s="708">
        <v>487</v>
      </c>
      <c r="D12" s="442">
        <f t="shared" ref="D12:D17" si="0">IF(B12=0, "    ---- ", IF(ABS(ROUND(100/B12*C12-100,1))&lt;999,ROUND(100/B12*C12-100,1),IF(ROUND(100/B12*C12-100,1)&gt;999,999,-999)))</f>
        <v>999</v>
      </c>
      <c r="E12" s="424"/>
      <c r="F12" s="425"/>
      <c r="G12" s="442"/>
      <c r="H12" s="424"/>
      <c r="I12" s="425"/>
      <c r="J12" s="442"/>
      <c r="K12" s="424"/>
      <c r="L12" s="425"/>
      <c r="M12" s="431"/>
      <c r="N12" s="424"/>
      <c r="O12" s="425"/>
      <c r="P12" s="442"/>
      <c r="Q12" s="424">
        <v>30.376685927770758</v>
      </c>
      <c r="R12" s="425">
        <v>188.33687775024063</v>
      </c>
      <c r="S12" s="442">
        <f t="shared" ref="S12:S22" si="1">IF(Q12=0, "    ---- ", IF(ABS(ROUND(100/Q12*R12-100,1))&lt;999,ROUND(100/Q12*R12-100,1),IF(ROUND(100/Q12*R12-100,1)&gt;999,999,-999)))</f>
        <v>520</v>
      </c>
      <c r="T12" s="424"/>
      <c r="U12" s="425"/>
      <c r="V12" s="442"/>
      <c r="W12" s="424">
        <v>-49</v>
      </c>
      <c r="X12" s="425">
        <v>79</v>
      </c>
      <c r="Y12" s="442">
        <f>IF(W12=0, "    ---- ", IF(ABS(ROUND(100/W12*X12-100,1))&lt;999,ROUND(100/W12*X12-100,1),IF(ROUND(100/W12*X12-100,1)&gt;999,999,-999)))</f>
        <v>-261.2</v>
      </c>
      <c r="Z12" s="424">
        <v>-268.5682271300002</v>
      </c>
      <c r="AA12" s="425">
        <v>502.73094960999998</v>
      </c>
      <c r="AB12" s="442">
        <f t="shared" ref="AB12:AB22" si="2">IF(Z12=0, "    ---- ", IF(ABS(ROUND(100/Z12*AA12-100,1))&lt;999,ROUND(100/Z12*AA12-100,1),IF(ROUND(100/Z12*AA12-100,1)&gt;999,999,-999)))</f>
        <v>-287.2</v>
      </c>
      <c r="AC12" s="431"/>
      <c r="AD12" s="431"/>
      <c r="AE12" s="431"/>
      <c r="AF12" s="431">
        <f>B12+E12+H12+K12+N12+Q12+T12+W12+Z12</f>
        <v>-274.19154120222942</v>
      </c>
      <c r="AG12" s="431">
        <f>C12+F12+I12+L12+O12+R12+U12+X12+AA12</f>
        <v>1257.0678273602407</v>
      </c>
      <c r="AH12" s="442">
        <f t="shared" ref="AH12:AH43" si="3">IF(AF12=0, "    ---- ", IF(ABS(ROUND(100/AF12*AG12-100,1))&lt;999,ROUND(100/AF12*AG12-100,1),IF(ROUND(100/AF12*AG12-100,1)&gt;999,999,-999)))</f>
        <v>-558.5</v>
      </c>
      <c r="AI12" s="425">
        <f>B12+E12+H12+K12+N12+Q12+T12+W12+Z12+AC12</f>
        <v>-274.19154120222942</v>
      </c>
      <c r="AJ12" s="425">
        <f>C12+F12+I12+L12+O12+R12+U12+X12+AA12+AD12</f>
        <v>1257.0678273602407</v>
      </c>
      <c r="AK12" s="442">
        <f t="shared" ref="AK12:AK43" si="4">IF(AI12=0, "    ---- ", IF(ABS(ROUND(100/AI12*AJ12-100,1))&lt;999,ROUND(100/AI12*AJ12-100,1),IF(ROUND(100/AI12*AJ12-100,1)&gt;999,999,-999)))</f>
        <v>-558.5</v>
      </c>
      <c r="AL12" s="545"/>
      <c r="AM12" s="545"/>
      <c r="AN12" s="545"/>
      <c r="AO12" s="545"/>
    </row>
    <row r="13" spans="1:41" ht="18.75" customHeight="1" x14ac:dyDescent="0.3">
      <c r="A13" s="411" t="s">
        <v>493</v>
      </c>
      <c r="B13" s="706">
        <v>10</v>
      </c>
      <c r="C13" s="714">
        <v>-142</v>
      </c>
      <c r="D13" s="442">
        <f t="shared" si="0"/>
        <v>-999</v>
      </c>
      <c r="E13" s="424"/>
      <c r="F13" s="425"/>
      <c r="G13" s="442"/>
      <c r="H13" s="424"/>
      <c r="I13" s="425"/>
      <c r="J13" s="442"/>
      <c r="K13" s="424"/>
      <c r="L13" s="425"/>
      <c r="M13" s="431"/>
      <c r="N13" s="424"/>
      <c r="O13" s="425"/>
      <c r="P13" s="442"/>
      <c r="Q13" s="424">
        <v>-7.5702600000000002</v>
      </c>
      <c r="R13" s="425">
        <v>-72.467974999999996</v>
      </c>
      <c r="S13" s="442">
        <f t="shared" si="1"/>
        <v>857.3</v>
      </c>
      <c r="T13" s="424"/>
      <c r="U13" s="425"/>
      <c r="V13" s="442"/>
      <c r="W13" s="424">
        <v>49</v>
      </c>
      <c r="X13" s="425">
        <v>-42</v>
      </c>
      <c r="Y13" s="442"/>
      <c r="Z13" s="424">
        <v>269.49972400000001</v>
      </c>
      <c r="AA13" s="425">
        <v>-427.65456399999999</v>
      </c>
      <c r="AB13" s="442">
        <f t="shared" si="2"/>
        <v>-258.7</v>
      </c>
      <c r="AC13" s="431"/>
      <c r="AD13" s="431"/>
      <c r="AE13" s="431"/>
      <c r="AF13" s="431">
        <f>B13+E13+H13+K13+N13+Q13+T13+W13+Z13</f>
        <v>320.929464</v>
      </c>
      <c r="AG13" s="431">
        <f>C13+F13+I13+L13+O13+R13+U13+X13+AA13</f>
        <v>-684.12253899999996</v>
      </c>
      <c r="AH13" s="442">
        <f t="shared" ref="AH13" si="5">IF(AF13=0, "    ---- ", IF(ABS(ROUND(100/AF13*AG13-100,1))&lt;999,ROUND(100/AF13*AG13-100,1),IF(ROUND(100/AF13*AG13-100,1)&gt;999,999,-999)))</f>
        <v>-313.2</v>
      </c>
      <c r="AI13" s="425">
        <f>B13+E13+H13+K13+N13+Q13+T13+W13+Z13+AC13</f>
        <v>320.929464</v>
      </c>
      <c r="AJ13" s="425">
        <f>C13+F13+I13+L13+O13+R13+U13+X13+AA13+AD13</f>
        <v>-684.12253899999996</v>
      </c>
      <c r="AK13" s="442">
        <f t="shared" ref="AK13" si="6">IF(AI13=0, "    ---- ", IF(ABS(ROUND(100/AI13*AJ13-100,1))&lt;999,ROUND(100/AI13*AJ13-100,1),IF(ROUND(100/AI13*AJ13-100,1)&gt;999,999,-999)))</f>
        <v>-313.2</v>
      </c>
      <c r="AL13" s="545"/>
      <c r="AM13" s="545"/>
      <c r="AN13" s="545"/>
      <c r="AO13" s="545"/>
    </row>
    <row r="14" spans="1:41" ht="18.75" customHeight="1" x14ac:dyDescent="0.3">
      <c r="A14" s="411" t="s">
        <v>324</v>
      </c>
      <c r="B14" s="706">
        <v>-9</v>
      </c>
      <c r="C14" s="708">
        <v>-6</v>
      </c>
      <c r="D14" s="442">
        <f t="shared" si="0"/>
        <v>-33.299999999999997</v>
      </c>
      <c r="E14" s="424"/>
      <c r="F14" s="425"/>
      <c r="G14" s="442"/>
      <c r="H14" s="424"/>
      <c r="I14" s="425"/>
      <c r="J14" s="442"/>
      <c r="K14" s="424"/>
      <c r="L14" s="425"/>
      <c r="M14" s="431"/>
      <c r="N14" s="424"/>
      <c r="O14" s="425"/>
      <c r="P14" s="442"/>
      <c r="Q14" s="424">
        <v>7.8758904299695569</v>
      </c>
      <c r="R14" s="425">
        <v>7.4737153700664196</v>
      </c>
      <c r="S14" s="442">
        <f t="shared" si="1"/>
        <v>-5.0999999999999996</v>
      </c>
      <c r="T14" s="424"/>
      <c r="U14" s="425"/>
      <c r="V14" s="442"/>
      <c r="W14" s="424">
        <v>-17</v>
      </c>
      <c r="X14" s="425">
        <v>-15</v>
      </c>
      <c r="Y14" s="442">
        <f>IF(W14=0, "    ---- ", IF(ABS(ROUND(100/W14*X14-100,1))&lt;999,ROUND(100/W14*X14-100,1),IF(ROUND(100/W14*X14-100,1)&gt;999,999,-999)))</f>
        <v>-11.8</v>
      </c>
      <c r="Z14" s="424">
        <v>-57.548764949999978</v>
      </c>
      <c r="AA14" s="425">
        <v>-37.734900240000002</v>
      </c>
      <c r="AB14" s="442">
        <f t="shared" si="2"/>
        <v>-34.4</v>
      </c>
      <c r="AC14" s="431"/>
      <c r="AD14" s="431"/>
      <c r="AE14" s="431"/>
      <c r="AF14" s="431">
        <f t="shared" ref="AF14:AG22" si="7">B14+E14+H14+K14+N14+Q14+T14+W14+Z14</f>
        <v>-75.672874520030419</v>
      </c>
      <c r="AG14" s="431">
        <f t="shared" si="7"/>
        <v>-51.261184869933587</v>
      </c>
      <c r="AH14" s="442">
        <f t="shared" si="3"/>
        <v>-32.299999999999997</v>
      </c>
      <c r="AI14" s="425">
        <f t="shared" ref="AI14:AJ22" si="8">B14+E14+H14+K14+N14+Q14+T14+W14+Z14+AC14</f>
        <v>-75.672874520030419</v>
      </c>
      <c r="AJ14" s="425">
        <f t="shared" si="8"/>
        <v>-51.261184869933587</v>
      </c>
      <c r="AK14" s="442">
        <f t="shared" si="4"/>
        <v>-32.299999999999997</v>
      </c>
      <c r="AL14" s="545"/>
      <c r="AM14" s="545"/>
      <c r="AN14" s="545"/>
      <c r="AO14" s="545"/>
    </row>
    <row r="15" spans="1:41" ht="18.75" customHeight="1" x14ac:dyDescent="0.3">
      <c r="A15" s="411" t="s">
        <v>325</v>
      </c>
      <c r="B15" s="706">
        <v>18</v>
      </c>
      <c r="C15" s="708">
        <v>18</v>
      </c>
      <c r="D15" s="442">
        <f t="shared" si="0"/>
        <v>0</v>
      </c>
      <c r="E15" s="424"/>
      <c r="F15" s="425"/>
      <c r="G15" s="442"/>
      <c r="H15" s="424"/>
      <c r="I15" s="425"/>
      <c r="J15" s="442"/>
      <c r="K15" s="424"/>
      <c r="L15" s="425"/>
      <c r="M15" s="431"/>
      <c r="N15" s="424"/>
      <c r="O15" s="425"/>
      <c r="P15" s="442"/>
      <c r="Q15" s="424">
        <v>0.46169620000000006</v>
      </c>
      <c r="R15" s="425">
        <v>0.37310280000000007</v>
      </c>
      <c r="S15" s="442">
        <f t="shared" si="1"/>
        <v>-19.2</v>
      </c>
      <c r="T15" s="424"/>
      <c r="U15" s="425"/>
      <c r="V15" s="442"/>
      <c r="W15" s="424"/>
      <c r="X15" s="425"/>
      <c r="Y15" s="442"/>
      <c r="Z15" s="424">
        <v>27.682478570000001</v>
      </c>
      <c r="AA15" s="425">
        <v>26.419104000000001</v>
      </c>
      <c r="AB15" s="442">
        <f t="shared" si="2"/>
        <v>-4.5999999999999996</v>
      </c>
      <c r="AC15" s="431"/>
      <c r="AD15" s="431"/>
      <c r="AE15" s="431"/>
      <c r="AF15" s="431">
        <f t="shared" si="7"/>
        <v>46.144174769999999</v>
      </c>
      <c r="AG15" s="431">
        <f t="shared" si="7"/>
        <v>44.792206800000002</v>
      </c>
      <c r="AH15" s="442">
        <f t="shared" si="3"/>
        <v>-2.9</v>
      </c>
      <c r="AI15" s="425">
        <f t="shared" si="8"/>
        <v>46.144174769999999</v>
      </c>
      <c r="AJ15" s="425">
        <f t="shared" si="8"/>
        <v>44.792206800000002</v>
      </c>
      <c r="AK15" s="442">
        <f t="shared" si="4"/>
        <v>-2.9</v>
      </c>
      <c r="AL15" s="545"/>
      <c r="AM15" s="545"/>
      <c r="AN15" s="545"/>
      <c r="AO15" s="545"/>
    </row>
    <row r="16" spans="1:41" ht="18.75" customHeight="1" x14ac:dyDescent="0.3">
      <c r="A16" s="411" t="s">
        <v>326</v>
      </c>
      <c r="B16" s="706">
        <v>99</v>
      </c>
      <c r="C16" s="708">
        <v>105</v>
      </c>
      <c r="D16" s="442">
        <f t="shared" si="0"/>
        <v>6.1</v>
      </c>
      <c r="E16" s="424"/>
      <c r="F16" s="425"/>
      <c r="G16" s="442"/>
      <c r="H16" s="424"/>
      <c r="I16" s="425"/>
      <c r="J16" s="442"/>
      <c r="K16" s="424"/>
      <c r="L16" s="425"/>
      <c r="M16" s="431"/>
      <c r="N16" s="424"/>
      <c r="O16" s="425"/>
      <c r="P16" s="442"/>
      <c r="Q16" s="424">
        <v>62.572431999999999</v>
      </c>
      <c r="R16" s="425">
        <v>53.841537000000002</v>
      </c>
      <c r="S16" s="442">
        <f t="shared" si="1"/>
        <v>-14</v>
      </c>
      <c r="T16" s="424"/>
      <c r="U16" s="425"/>
      <c r="V16" s="442"/>
      <c r="W16" s="424">
        <v>19</v>
      </c>
      <c r="X16" s="425">
        <v>21</v>
      </c>
      <c r="Y16" s="442">
        <f>IF(W16=0, "    ---- ", IF(ABS(ROUND(100/W16*X16-100,1))&lt;999,ROUND(100/W16*X16-100,1),IF(ROUND(100/W16*X16-100,1)&gt;999,999,-999)))</f>
        <v>10.5</v>
      </c>
      <c r="Z16" s="424">
        <v>222.52942210000001</v>
      </c>
      <c r="AA16" s="425">
        <v>171.20958400000001</v>
      </c>
      <c r="AB16" s="442">
        <f t="shared" si="2"/>
        <v>-23.1</v>
      </c>
      <c r="AC16" s="431"/>
      <c r="AD16" s="431"/>
      <c r="AE16" s="431"/>
      <c r="AF16" s="431">
        <f t="shared" si="7"/>
        <v>403.10185409999997</v>
      </c>
      <c r="AG16" s="431">
        <f t="shared" si="7"/>
        <v>351.05112100000002</v>
      </c>
      <c r="AH16" s="442">
        <f t="shared" si="3"/>
        <v>-12.9</v>
      </c>
      <c r="AI16" s="425">
        <f t="shared" si="8"/>
        <v>403.10185409999997</v>
      </c>
      <c r="AJ16" s="425">
        <f t="shared" si="8"/>
        <v>351.05112100000002</v>
      </c>
      <c r="AK16" s="442">
        <f t="shared" si="4"/>
        <v>-12.9</v>
      </c>
      <c r="AL16" s="545"/>
      <c r="AM16" s="545"/>
      <c r="AN16" s="545"/>
      <c r="AO16" s="545"/>
    </row>
    <row r="17" spans="1:41" ht="18.75" customHeight="1" x14ac:dyDescent="0.3">
      <c r="A17" s="411" t="s">
        <v>327</v>
      </c>
      <c r="B17" s="706">
        <v>-49</v>
      </c>
      <c r="C17" s="708">
        <v>-40</v>
      </c>
      <c r="D17" s="442">
        <f t="shared" si="0"/>
        <v>-18.399999999999999</v>
      </c>
      <c r="E17" s="424"/>
      <c r="F17" s="425"/>
      <c r="G17" s="442"/>
      <c r="H17" s="424"/>
      <c r="I17" s="425"/>
      <c r="J17" s="442"/>
      <c r="K17" s="424"/>
      <c r="L17" s="425"/>
      <c r="M17" s="431"/>
      <c r="N17" s="424"/>
      <c r="O17" s="425"/>
      <c r="P17" s="442"/>
      <c r="Q17" s="424">
        <v>7.0669677237211808</v>
      </c>
      <c r="R17" s="425">
        <v>-12.173101023872359</v>
      </c>
      <c r="S17" s="442">
        <f t="shared" si="1"/>
        <v>-272.3</v>
      </c>
      <c r="T17" s="424"/>
      <c r="U17" s="425"/>
      <c r="V17" s="442"/>
      <c r="W17" s="424">
        <v>21</v>
      </c>
      <c r="X17" s="425">
        <v>3</v>
      </c>
      <c r="Y17" s="442">
        <f>IF(W17=0, "    ---- ", IF(ABS(ROUND(100/W17*X17-100,1))&lt;999,ROUND(100/W17*X17-100,1),IF(ROUND(100/W17*X17-100,1)&gt;999,999,-999)))</f>
        <v>-85.7</v>
      </c>
      <c r="Z17" s="424">
        <v>44.400702429999981</v>
      </c>
      <c r="AA17" s="425">
        <v>71.265214839999999</v>
      </c>
      <c r="AB17" s="442">
        <f t="shared" si="2"/>
        <v>60.5</v>
      </c>
      <c r="AC17" s="431"/>
      <c r="AD17" s="431"/>
      <c r="AE17" s="431"/>
      <c r="AF17" s="431">
        <f t="shared" si="7"/>
        <v>23.467670153721158</v>
      </c>
      <c r="AG17" s="431">
        <f t="shared" si="7"/>
        <v>22.092113816127636</v>
      </c>
      <c r="AH17" s="442">
        <f t="shared" si="3"/>
        <v>-5.9</v>
      </c>
      <c r="AI17" s="425">
        <f t="shared" si="8"/>
        <v>23.467670153721158</v>
      </c>
      <c r="AJ17" s="425">
        <f t="shared" si="8"/>
        <v>22.092113816127636</v>
      </c>
      <c r="AK17" s="442">
        <f t="shared" si="4"/>
        <v>-5.9</v>
      </c>
      <c r="AL17" s="545"/>
      <c r="AM17" s="545"/>
      <c r="AN17" s="545"/>
      <c r="AO17" s="545"/>
    </row>
    <row r="18" spans="1:41" ht="18.75" customHeight="1" x14ac:dyDescent="0.3">
      <c r="A18" s="411" t="s">
        <v>328</v>
      </c>
      <c r="B18" s="706"/>
      <c r="C18" s="708"/>
      <c r="D18" s="442"/>
      <c r="E18" s="424"/>
      <c r="F18" s="425"/>
      <c r="G18" s="442"/>
      <c r="H18" s="424"/>
      <c r="I18" s="425"/>
      <c r="J18" s="442"/>
      <c r="K18" s="424"/>
      <c r="L18" s="425"/>
      <c r="M18" s="431"/>
      <c r="N18" s="424"/>
      <c r="O18" s="425"/>
      <c r="P18" s="442"/>
      <c r="Q18" s="424">
        <v>26.970805892686688</v>
      </c>
      <c r="R18" s="425">
        <v>32.971558965858193</v>
      </c>
      <c r="S18" s="442">
        <f t="shared" si="1"/>
        <v>22.2</v>
      </c>
      <c r="T18" s="424"/>
      <c r="U18" s="425"/>
      <c r="V18" s="442"/>
      <c r="W18" s="424"/>
      <c r="X18" s="425"/>
      <c r="Y18" s="442"/>
      <c r="Z18" s="424">
        <v>22.200351000000001</v>
      </c>
      <c r="AA18" s="425">
        <v>38.254316000000003</v>
      </c>
      <c r="AB18" s="442">
        <f t="shared" si="2"/>
        <v>72.3</v>
      </c>
      <c r="AC18" s="431"/>
      <c r="AD18" s="431"/>
      <c r="AE18" s="431"/>
      <c r="AF18" s="431">
        <f t="shared" si="7"/>
        <v>49.171156892686689</v>
      </c>
      <c r="AG18" s="431">
        <f t="shared" si="7"/>
        <v>71.225874965858196</v>
      </c>
      <c r="AH18" s="442">
        <f t="shared" si="3"/>
        <v>44.9</v>
      </c>
      <c r="AI18" s="425">
        <f t="shared" si="8"/>
        <v>49.171156892686689</v>
      </c>
      <c r="AJ18" s="425">
        <f t="shared" si="8"/>
        <v>71.225874965858196</v>
      </c>
      <c r="AK18" s="442">
        <f t="shared" si="4"/>
        <v>44.9</v>
      </c>
      <c r="AL18" s="545"/>
      <c r="AM18" s="545"/>
      <c r="AN18" s="545"/>
      <c r="AO18" s="545"/>
    </row>
    <row r="19" spans="1:41" ht="18.75" customHeight="1" x14ac:dyDescent="0.3">
      <c r="A19" s="411" t="s">
        <v>329</v>
      </c>
      <c r="B19" s="706"/>
      <c r="C19" s="708"/>
      <c r="D19" s="442"/>
      <c r="E19" s="424"/>
      <c r="F19" s="425"/>
      <c r="G19" s="442"/>
      <c r="H19" s="424"/>
      <c r="I19" s="425"/>
      <c r="J19" s="442"/>
      <c r="K19" s="424"/>
      <c r="L19" s="425"/>
      <c r="M19" s="431"/>
      <c r="N19" s="424"/>
      <c r="O19" s="425"/>
      <c r="P19" s="442"/>
      <c r="Q19" s="424"/>
      <c r="R19" s="425"/>
      <c r="S19" s="442"/>
      <c r="T19" s="424"/>
      <c r="U19" s="425"/>
      <c r="V19" s="442"/>
      <c r="W19" s="424"/>
      <c r="X19" s="425"/>
      <c r="Y19" s="442"/>
      <c r="Z19" s="424">
        <v>-0.37813099999999999</v>
      </c>
      <c r="AA19" s="425">
        <v>0.36526700000000001</v>
      </c>
      <c r="AB19" s="442">
        <f t="shared" si="2"/>
        <v>-196.6</v>
      </c>
      <c r="AC19" s="431"/>
      <c r="AD19" s="431"/>
      <c r="AE19" s="431"/>
      <c r="AF19" s="431">
        <f t="shared" si="7"/>
        <v>-0.37813099999999999</v>
      </c>
      <c r="AG19" s="431">
        <f t="shared" si="7"/>
        <v>0.36526700000000001</v>
      </c>
      <c r="AH19" s="442">
        <f t="shared" si="3"/>
        <v>-196.6</v>
      </c>
      <c r="AI19" s="425">
        <f t="shared" si="8"/>
        <v>-0.37813099999999999</v>
      </c>
      <c r="AJ19" s="425">
        <f t="shared" si="8"/>
        <v>0.36526700000000001</v>
      </c>
      <c r="AK19" s="442">
        <f t="shared" si="4"/>
        <v>-196.6</v>
      </c>
      <c r="AL19" s="545"/>
      <c r="AM19" s="545"/>
      <c r="AN19" s="545"/>
      <c r="AO19" s="545"/>
    </row>
    <row r="20" spans="1:41" s="561" customFormat="1" ht="18.75" customHeight="1" x14ac:dyDescent="0.3">
      <c r="A20" s="528" t="s">
        <v>330</v>
      </c>
      <c r="B20" s="707">
        <f>SUM(B12:B17)+B19</f>
        <v>82</v>
      </c>
      <c r="C20" s="723">
        <f>SUM(C12:C17)+C19</f>
        <v>422</v>
      </c>
      <c r="D20" s="443">
        <f>IF(B20=0, "    ---- ", IF(ABS(ROUND(100/B20*C20-100,1))&lt;999,ROUND(100/B20*C20-100,1),IF(ROUND(100/B20*C20-100,1)&gt;999,999,-999)))</f>
        <v>414.6</v>
      </c>
      <c r="E20" s="422"/>
      <c r="F20" s="423"/>
      <c r="G20" s="443"/>
      <c r="H20" s="422"/>
      <c r="I20" s="423"/>
      <c r="J20" s="443"/>
      <c r="K20" s="422"/>
      <c r="L20" s="423"/>
      <c r="M20" s="433"/>
      <c r="N20" s="422"/>
      <c r="O20" s="423"/>
      <c r="P20" s="443"/>
      <c r="Q20" s="422">
        <f>SUM(Q12:Q17)+Q19</f>
        <v>100.78341228146149</v>
      </c>
      <c r="R20" s="423">
        <f>SUM(R12:R17)+R19</f>
        <v>165.38415689643469</v>
      </c>
      <c r="S20" s="443">
        <f t="shared" si="1"/>
        <v>64.099999999999994</v>
      </c>
      <c r="T20" s="422"/>
      <c r="U20" s="423"/>
      <c r="V20" s="443"/>
      <c r="W20" s="422">
        <f>SUM(W12:W17)+W19</f>
        <v>23</v>
      </c>
      <c r="X20" s="423">
        <f>SUM(X12:X17)+X19</f>
        <v>46</v>
      </c>
      <c r="Y20" s="443">
        <f>IF(W20=0, "    ---- ", IF(ABS(ROUND(100/W20*X20-100,1))&lt;999,ROUND(100/W20*X20-100,1),IF(ROUND(100/W20*X20-100,1)&gt;999,999,-999)))</f>
        <v>100</v>
      </c>
      <c r="Z20" s="422">
        <f>SUM(Z12:Z17)+Z19</f>
        <v>237.6172040199998</v>
      </c>
      <c r="AA20" s="423">
        <f>SUM(AA12:AA17)+AA19</f>
        <v>306.60065521000001</v>
      </c>
      <c r="AB20" s="443">
        <f t="shared" si="2"/>
        <v>29</v>
      </c>
      <c r="AC20" s="433"/>
      <c r="AD20" s="433"/>
      <c r="AE20" s="433"/>
      <c r="AF20" s="433">
        <f t="shared" si="7"/>
        <v>443.4006163014613</v>
      </c>
      <c r="AG20" s="433">
        <f t="shared" si="7"/>
        <v>939.98481210643467</v>
      </c>
      <c r="AH20" s="443">
        <f t="shared" si="3"/>
        <v>112</v>
      </c>
      <c r="AI20" s="423">
        <f t="shared" si="8"/>
        <v>443.4006163014613</v>
      </c>
      <c r="AJ20" s="423">
        <f t="shared" si="8"/>
        <v>939.98481210643467</v>
      </c>
      <c r="AK20" s="443">
        <f t="shared" si="4"/>
        <v>112</v>
      </c>
      <c r="AL20" s="548"/>
      <c r="AM20" s="548"/>
      <c r="AN20" s="548"/>
      <c r="AO20" s="548"/>
    </row>
    <row r="21" spans="1:41" ht="18.75" customHeight="1" x14ac:dyDescent="0.3">
      <c r="A21" s="411" t="s">
        <v>331</v>
      </c>
      <c r="B21" s="706">
        <v>41</v>
      </c>
      <c r="C21" s="708">
        <v>350</v>
      </c>
      <c r="D21" s="442">
        <f>IF(B21=0, "    ---- ", IF(ABS(ROUND(100/B21*C21-100,1))&lt;999,ROUND(100/B21*C21-100,1),IF(ROUND(100/B21*C21-100,1)&gt;999,999,-999)))</f>
        <v>753.7</v>
      </c>
      <c r="E21" s="424"/>
      <c r="F21" s="425"/>
      <c r="G21" s="442"/>
      <c r="H21" s="424"/>
      <c r="I21" s="425"/>
      <c r="J21" s="442"/>
      <c r="K21" s="424"/>
      <c r="L21" s="425"/>
      <c r="M21" s="431"/>
      <c r="N21" s="424"/>
      <c r="O21" s="425"/>
      <c r="P21" s="442"/>
      <c r="Q21" s="424">
        <v>25.739248723721179</v>
      </c>
      <c r="R21" s="425">
        <v>114.60090942638661</v>
      </c>
      <c r="S21" s="442">
        <f t="shared" si="1"/>
        <v>345.2</v>
      </c>
      <c r="T21" s="424"/>
      <c r="U21" s="425"/>
      <c r="V21" s="442"/>
      <c r="W21" s="424">
        <v>5</v>
      </c>
      <c r="X21" s="425">
        <v>38</v>
      </c>
      <c r="Y21" s="442">
        <f>IF(W21=0, "    ---- ", IF(ABS(ROUND(100/W21*X21-100,1))&lt;999,ROUND(100/W21*X21-100,1),IF(ROUND(100/W21*X21-100,1)&gt;999,999,-999)))</f>
        <v>660</v>
      </c>
      <c r="Z21" s="424">
        <f>5.975649+22.200351</f>
        <v>28.176000000000002</v>
      </c>
      <c r="AA21" s="425">
        <v>111.410338</v>
      </c>
      <c r="AB21" s="442">
        <f t="shared" si="2"/>
        <v>295.39999999999998</v>
      </c>
      <c r="AC21" s="431"/>
      <c r="AD21" s="431"/>
      <c r="AE21" s="431"/>
      <c r="AF21" s="431">
        <f t="shared" si="7"/>
        <v>99.915248723721177</v>
      </c>
      <c r="AG21" s="431">
        <f t="shared" si="7"/>
        <v>614.0112474263866</v>
      </c>
      <c r="AH21" s="442">
        <f t="shared" si="3"/>
        <v>514.5</v>
      </c>
      <c r="AI21" s="425">
        <f t="shared" si="8"/>
        <v>99.915248723721177</v>
      </c>
      <c r="AJ21" s="425">
        <f t="shared" si="8"/>
        <v>614.0112474263866</v>
      </c>
      <c r="AK21" s="442">
        <f t="shared" si="4"/>
        <v>514.5</v>
      </c>
      <c r="AL21" s="545"/>
      <c r="AM21" s="545"/>
      <c r="AN21" s="545"/>
      <c r="AO21" s="545"/>
    </row>
    <row r="22" spans="1:41" ht="18.75" customHeight="1" x14ac:dyDescent="0.3">
      <c r="A22" s="411" t="s">
        <v>332</v>
      </c>
      <c r="B22" s="706">
        <v>41</v>
      </c>
      <c r="C22" s="708">
        <v>72</v>
      </c>
      <c r="D22" s="442">
        <f>IF(B22=0, "    ---- ", IF(ABS(ROUND(100/B22*C22-100,1))&lt;999,ROUND(100/B22*C22-100,1),IF(ROUND(100/B22*C22-100,1)&gt;999,999,-999)))</f>
        <v>75.599999999999994</v>
      </c>
      <c r="E22" s="424"/>
      <c r="F22" s="425"/>
      <c r="G22" s="442"/>
      <c r="H22" s="424"/>
      <c r="I22" s="425"/>
      <c r="J22" s="442"/>
      <c r="K22" s="424"/>
      <c r="L22" s="425"/>
      <c r="M22" s="431"/>
      <c r="N22" s="424"/>
      <c r="O22" s="425"/>
      <c r="P22" s="442"/>
      <c r="Q22" s="424">
        <v>75.044163557740319</v>
      </c>
      <c r="R22" s="425">
        <v>50.783247470048082</v>
      </c>
      <c r="S22" s="442">
        <f t="shared" si="1"/>
        <v>-32.299999999999997</v>
      </c>
      <c r="T22" s="424"/>
      <c r="U22" s="425"/>
      <c r="V22" s="442"/>
      <c r="W22" s="424">
        <v>18</v>
      </c>
      <c r="X22" s="425">
        <v>8</v>
      </c>
      <c r="Y22" s="442">
        <f>IF(W22=0, "    ---- ", IF(ABS(ROUND(100/W22*X22-100,1))&lt;999,ROUND(100/W22*X22-100,1),IF(ROUND(100/W22*X22-100,1)&gt;999,999,-999)))</f>
        <v>-55.6</v>
      </c>
      <c r="Z22" s="424">
        <v>209.44120401999982</v>
      </c>
      <c r="AA22" s="425">
        <v>195.19031720999999</v>
      </c>
      <c r="AB22" s="442">
        <f t="shared" si="2"/>
        <v>-6.8</v>
      </c>
      <c r="AC22" s="431"/>
      <c r="AD22" s="431"/>
      <c r="AE22" s="431"/>
      <c r="AF22" s="431">
        <f t="shared" si="7"/>
        <v>343.48536757774013</v>
      </c>
      <c r="AG22" s="431">
        <f t="shared" si="7"/>
        <v>325.97356468004807</v>
      </c>
      <c r="AH22" s="442">
        <f t="shared" si="3"/>
        <v>-5.0999999999999996</v>
      </c>
      <c r="AI22" s="425">
        <f t="shared" si="8"/>
        <v>343.48536757774013</v>
      </c>
      <c r="AJ22" s="425">
        <f t="shared" si="8"/>
        <v>325.97356468004807</v>
      </c>
      <c r="AK22" s="442">
        <f t="shared" si="4"/>
        <v>-5.0999999999999996</v>
      </c>
      <c r="AL22" s="545"/>
      <c r="AM22" s="545"/>
      <c r="AN22" s="545"/>
      <c r="AO22" s="545"/>
    </row>
    <row r="23" spans="1:41" ht="18.75" customHeight="1" x14ac:dyDescent="0.3">
      <c r="A23" s="528" t="s">
        <v>343</v>
      </c>
      <c r="B23" s="707"/>
      <c r="C23" s="723"/>
      <c r="D23" s="443"/>
      <c r="E23" s="422"/>
      <c r="F23" s="423"/>
      <c r="G23" s="443"/>
      <c r="H23" s="422"/>
      <c r="I23" s="423"/>
      <c r="J23" s="443"/>
      <c r="K23" s="422"/>
      <c r="L23" s="423"/>
      <c r="M23" s="433"/>
      <c r="N23" s="422"/>
      <c r="O23" s="423"/>
      <c r="P23" s="443"/>
      <c r="Q23" s="422"/>
      <c r="R23" s="423"/>
      <c r="S23" s="443"/>
      <c r="T23" s="422"/>
      <c r="U23" s="423"/>
      <c r="V23" s="443"/>
      <c r="W23" s="422"/>
      <c r="X23" s="423"/>
      <c r="Y23" s="443"/>
      <c r="Z23" s="422"/>
      <c r="AA23" s="423"/>
      <c r="AB23" s="443"/>
      <c r="AC23" s="433"/>
      <c r="AD23" s="433"/>
      <c r="AE23" s="433"/>
      <c r="AF23" s="431"/>
      <c r="AG23" s="431"/>
      <c r="AH23" s="443"/>
      <c r="AI23" s="425"/>
      <c r="AJ23" s="425"/>
      <c r="AK23" s="443"/>
      <c r="AL23" s="545"/>
      <c r="AM23" s="545"/>
      <c r="AN23" s="545"/>
      <c r="AO23" s="545"/>
    </row>
    <row r="24" spans="1:41" ht="18.75" customHeight="1" x14ac:dyDescent="0.3">
      <c r="A24" s="760" t="s">
        <v>492</v>
      </c>
      <c r="B24" s="706"/>
      <c r="C24" s="708"/>
      <c r="D24" s="442"/>
      <c r="E24" s="424"/>
      <c r="F24" s="425"/>
      <c r="G24" s="442"/>
      <c r="H24" s="424"/>
      <c r="I24" s="425"/>
      <c r="J24" s="442"/>
      <c r="K24" s="424"/>
      <c r="L24" s="425"/>
      <c r="M24" s="431"/>
      <c r="N24" s="424"/>
      <c r="O24" s="425"/>
      <c r="P24" s="442"/>
      <c r="Q24" s="424"/>
      <c r="R24" s="425"/>
      <c r="S24" s="442"/>
      <c r="T24" s="424"/>
      <c r="U24" s="425"/>
      <c r="V24" s="442"/>
      <c r="W24" s="424"/>
      <c r="X24" s="425"/>
      <c r="Y24" s="442"/>
      <c r="Z24" s="424"/>
      <c r="AA24" s="425"/>
      <c r="AB24" s="442"/>
      <c r="AC24" s="431"/>
      <c r="AD24" s="431"/>
      <c r="AE24" s="431"/>
      <c r="AF24" s="431"/>
      <c r="AG24" s="431"/>
      <c r="AH24" s="442"/>
      <c r="AI24" s="425"/>
      <c r="AJ24" s="425"/>
      <c r="AK24" s="442"/>
      <c r="AL24" s="545"/>
      <c r="AM24" s="545"/>
      <c r="AN24" s="545"/>
      <c r="AO24" s="545"/>
    </row>
    <row r="25" spans="1:41" ht="18.75" customHeight="1" x14ac:dyDescent="0.3">
      <c r="A25" s="411" t="s">
        <v>493</v>
      </c>
      <c r="B25" s="706"/>
      <c r="C25" s="714"/>
      <c r="D25" s="442"/>
      <c r="E25" s="424"/>
      <c r="F25" s="425"/>
      <c r="G25" s="442"/>
      <c r="H25" s="424"/>
      <c r="I25" s="425"/>
      <c r="J25" s="442"/>
      <c r="K25" s="424"/>
      <c r="L25" s="425"/>
      <c r="M25" s="431"/>
      <c r="N25" s="424"/>
      <c r="O25" s="425"/>
      <c r="P25" s="442"/>
      <c r="Q25" s="424"/>
      <c r="R25" s="425"/>
      <c r="S25" s="442"/>
      <c r="T25" s="424"/>
      <c r="U25" s="425"/>
      <c r="V25" s="442"/>
      <c r="W25" s="424"/>
      <c r="X25" s="425"/>
      <c r="Y25" s="442"/>
      <c r="Z25" s="424"/>
      <c r="AA25" s="425"/>
      <c r="AB25" s="442"/>
      <c r="AC25" s="431"/>
      <c r="AD25" s="431"/>
      <c r="AE25" s="431"/>
      <c r="AF25" s="431"/>
      <c r="AG25" s="431"/>
      <c r="AH25" s="442"/>
      <c r="AI25" s="425"/>
      <c r="AJ25" s="425"/>
      <c r="AK25" s="442"/>
      <c r="AL25" s="545"/>
      <c r="AM25" s="545"/>
      <c r="AN25" s="545"/>
      <c r="AO25" s="545"/>
    </row>
    <row r="26" spans="1:41" ht="18.75" customHeight="1" x14ac:dyDescent="0.3">
      <c r="A26" s="411" t="s">
        <v>324</v>
      </c>
      <c r="B26" s="706"/>
      <c r="C26" s="708"/>
      <c r="D26" s="442"/>
      <c r="E26" s="424"/>
      <c r="F26" s="425"/>
      <c r="G26" s="442"/>
      <c r="H26" s="424"/>
      <c r="I26" s="425"/>
      <c r="J26" s="442"/>
      <c r="K26" s="424"/>
      <c r="L26" s="425"/>
      <c r="M26" s="431"/>
      <c r="N26" s="424"/>
      <c r="O26" s="425"/>
      <c r="P26" s="442"/>
      <c r="Q26" s="424"/>
      <c r="R26" s="425"/>
      <c r="S26" s="442"/>
      <c r="T26" s="424"/>
      <c r="U26" s="425"/>
      <c r="V26" s="442"/>
      <c r="W26" s="424"/>
      <c r="X26" s="425"/>
      <c r="Y26" s="442"/>
      <c r="Z26" s="424"/>
      <c r="AA26" s="425"/>
      <c r="AB26" s="442"/>
      <c r="AC26" s="431"/>
      <c r="AD26" s="431"/>
      <c r="AE26" s="431"/>
      <c r="AF26" s="431"/>
      <c r="AG26" s="431"/>
      <c r="AH26" s="442"/>
      <c r="AI26" s="425"/>
      <c r="AJ26" s="425"/>
      <c r="AK26" s="442"/>
      <c r="AL26" s="545"/>
      <c r="AM26" s="545"/>
      <c r="AN26" s="545"/>
      <c r="AO26" s="545"/>
    </row>
    <row r="27" spans="1:41" ht="18.75" customHeight="1" x14ac:dyDescent="0.3">
      <c r="A27" s="411" t="s">
        <v>325</v>
      </c>
      <c r="B27" s="706"/>
      <c r="C27" s="708"/>
      <c r="D27" s="442"/>
      <c r="E27" s="424"/>
      <c r="F27" s="425"/>
      <c r="G27" s="442"/>
      <c r="H27" s="424"/>
      <c r="I27" s="425"/>
      <c r="J27" s="442"/>
      <c r="K27" s="424"/>
      <c r="L27" s="425"/>
      <c r="M27" s="431"/>
      <c r="N27" s="424"/>
      <c r="O27" s="425"/>
      <c r="P27" s="442"/>
      <c r="Q27" s="424"/>
      <c r="R27" s="425"/>
      <c r="S27" s="442"/>
      <c r="T27" s="424"/>
      <c r="U27" s="425"/>
      <c r="V27" s="442"/>
      <c r="W27" s="424"/>
      <c r="X27" s="425"/>
      <c r="Y27" s="442"/>
      <c r="Z27" s="424"/>
      <c r="AA27" s="425"/>
      <c r="AB27" s="442"/>
      <c r="AC27" s="431"/>
      <c r="AD27" s="431"/>
      <c r="AE27" s="431"/>
      <c r="AF27" s="431"/>
      <c r="AG27" s="431"/>
      <c r="AH27" s="442"/>
      <c r="AI27" s="425"/>
      <c r="AJ27" s="425"/>
      <c r="AK27" s="442"/>
      <c r="AL27" s="545"/>
      <c r="AM27" s="545"/>
      <c r="AN27" s="545"/>
      <c r="AO27" s="545"/>
    </row>
    <row r="28" spans="1:41" ht="18.75" customHeight="1" x14ac:dyDescent="0.3">
      <c r="A28" s="411" t="s">
        <v>326</v>
      </c>
      <c r="B28" s="706"/>
      <c r="C28" s="708"/>
      <c r="D28" s="442"/>
      <c r="E28" s="424"/>
      <c r="F28" s="425"/>
      <c r="G28" s="442"/>
      <c r="H28" s="424"/>
      <c r="I28" s="425"/>
      <c r="J28" s="442"/>
      <c r="K28" s="424"/>
      <c r="L28" s="425"/>
      <c r="M28" s="431"/>
      <c r="N28" s="424"/>
      <c r="O28" s="425"/>
      <c r="P28" s="442"/>
      <c r="Q28" s="424"/>
      <c r="R28" s="425"/>
      <c r="S28" s="442"/>
      <c r="T28" s="424"/>
      <c r="U28" s="425"/>
      <c r="V28" s="442"/>
      <c r="W28" s="424"/>
      <c r="X28" s="425"/>
      <c r="Y28" s="442"/>
      <c r="Z28" s="424"/>
      <c r="AA28" s="425"/>
      <c r="AB28" s="442"/>
      <c r="AC28" s="431"/>
      <c r="AD28" s="431"/>
      <c r="AE28" s="431"/>
      <c r="AF28" s="431"/>
      <c r="AG28" s="431"/>
      <c r="AH28" s="442"/>
      <c r="AI28" s="425"/>
      <c r="AJ28" s="425"/>
      <c r="AK28" s="442"/>
      <c r="AL28" s="545"/>
      <c r="AM28" s="545"/>
      <c r="AN28" s="545"/>
      <c r="AO28" s="545"/>
    </row>
    <row r="29" spans="1:41" ht="18.75" customHeight="1" x14ac:dyDescent="0.3">
      <c r="A29" s="411" t="s">
        <v>327</v>
      </c>
      <c r="B29" s="706"/>
      <c r="C29" s="708"/>
      <c r="D29" s="442"/>
      <c r="E29" s="424"/>
      <c r="F29" s="425"/>
      <c r="G29" s="442"/>
      <c r="H29" s="424"/>
      <c r="I29" s="425"/>
      <c r="J29" s="442"/>
      <c r="K29" s="424"/>
      <c r="L29" s="425"/>
      <c r="M29" s="431"/>
      <c r="N29" s="424"/>
      <c r="O29" s="425"/>
      <c r="P29" s="442"/>
      <c r="Q29" s="424"/>
      <c r="R29" s="425"/>
      <c r="S29" s="442"/>
      <c r="T29" s="424"/>
      <c r="U29" s="425"/>
      <c r="V29" s="442"/>
      <c r="W29" s="424"/>
      <c r="X29" s="425"/>
      <c r="Y29" s="442"/>
      <c r="Z29" s="424"/>
      <c r="AA29" s="425"/>
      <c r="AB29" s="442"/>
      <c r="AC29" s="431"/>
      <c r="AD29" s="431"/>
      <c r="AE29" s="431"/>
      <c r="AF29" s="431"/>
      <c r="AG29" s="431"/>
      <c r="AH29" s="442"/>
      <c r="AI29" s="425"/>
      <c r="AJ29" s="425"/>
      <c r="AK29" s="442"/>
      <c r="AL29" s="545"/>
      <c r="AM29" s="545"/>
      <c r="AN29" s="545"/>
      <c r="AO29" s="545"/>
    </row>
    <row r="30" spans="1:41" ht="18.75" customHeight="1" x14ac:dyDescent="0.3">
      <c r="A30" s="411" t="s">
        <v>328</v>
      </c>
      <c r="B30" s="706"/>
      <c r="C30" s="708"/>
      <c r="D30" s="442"/>
      <c r="E30" s="424"/>
      <c r="F30" s="425"/>
      <c r="G30" s="442"/>
      <c r="H30" s="424"/>
      <c r="I30" s="425"/>
      <c r="J30" s="442"/>
      <c r="K30" s="424"/>
      <c r="L30" s="425"/>
      <c r="M30" s="431"/>
      <c r="N30" s="424"/>
      <c r="O30" s="425"/>
      <c r="P30" s="442"/>
      <c r="Q30" s="424"/>
      <c r="R30" s="425"/>
      <c r="S30" s="442"/>
      <c r="T30" s="424"/>
      <c r="U30" s="425"/>
      <c r="V30" s="442"/>
      <c r="W30" s="424"/>
      <c r="X30" s="425"/>
      <c r="Y30" s="442"/>
      <c r="Z30" s="424"/>
      <c r="AA30" s="425"/>
      <c r="AB30" s="442"/>
      <c r="AC30" s="431"/>
      <c r="AD30" s="431"/>
      <c r="AE30" s="431"/>
      <c r="AF30" s="431"/>
      <c r="AG30" s="431"/>
      <c r="AH30" s="442"/>
      <c r="AI30" s="425"/>
      <c r="AJ30" s="425"/>
      <c r="AK30" s="442"/>
      <c r="AL30" s="545"/>
      <c r="AM30" s="545"/>
      <c r="AN30" s="545"/>
      <c r="AO30" s="545"/>
    </row>
    <row r="31" spans="1:41" ht="18.75" customHeight="1" x14ac:dyDescent="0.3">
      <c r="A31" s="411" t="s">
        <v>329</v>
      </c>
      <c r="B31" s="706"/>
      <c r="C31" s="708"/>
      <c r="D31" s="442"/>
      <c r="E31" s="424"/>
      <c r="F31" s="425"/>
      <c r="G31" s="442"/>
      <c r="H31" s="424"/>
      <c r="I31" s="425"/>
      <c r="J31" s="442"/>
      <c r="K31" s="424"/>
      <c r="L31" s="425"/>
      <c r="M31" s="431"/>
      <c r="N31" s="424"/>
      <c r="O31" s="425"/>
      <c r="P31" s="442"/>
      <c r="Q31" s="424"/>
      <c r="R31" s="425"/>
      <c r="S31" s="442"/>
      <c r="T31" s="424"/>
      <c r="U31" s="425"/>
      <c r="V31" s="442"/>
      <c r="W31" s="424"/>
      <c r="X31" s="425"/>
      <c r="Y31" s="442"/>
      <c r="Z31" s="424"/>
      <c r="AA31" s="425"/>
      <c r="AB31" s="442"/>
      <c r="AC31" s="431"/>
      <c r="AD31" s="431"/>
      <c r="AE31" s="431"/>
      <c r="AF31" s="431"/>
      <c r="AG31" s="431"/>
      <c r="AH31" s="442"/>
      <c r="AI31" s="425"/>
      <c r="AJ31" s="425"/>
      <c r="AK31" s="442"/>
      <c r="AL31" s="545"/>
      <c r="AM31" s="545"/>
      <c r="AN31" s="545"/>
      <c r="AO31" s="545"/>
    </row>
    <row r="32" spans="1:41" s="561" customFormat="1" ht="18.75" customHeight="1" x14ac:dyDescent="0.3">
      <c r="A32" s="528" t="s">
        <v>330</v>
      </c>
      <c r="B32" s="707"/>
      <c r="C32" s="723"/>
      <c r="D32" s="443"/>
      <c r="E32" s="422"/>
      <c r="F32" s="423"/>
      <c r="G32" s="443"/>
      <c r="H32" s="422"/>
      <c r="I32" s="423"/>
      <c r="J32" s="443"/>
      <c r="K32" s="422"/>
      <c r="L32" s="423"/>
      <c r="M32" s="433"/>
      <c r="N32" s="422"/>
      <c r="O32" s="423"/>
      <c r="P32" s="443"/>
      <c r="Q32" s="422"/>
      <c r="R32" s="423"/>
      <c r="S32" s="443"/>
      <c r="T32" s="422"/>
      <c r="U32" s="423"/>
      <c r="V32" s="443"/>
      <c r="W32" s="422"/>
      <c r="X32" s="423"/>
      <c r="Y32" s="443"/>
      <c r="Z32" s="422"/>
      <c r="AA32" s="423"/>
      <c r="AB32" s="443"/>
      <c r="AC32" s="433"/>
      <c r="AD32" s="433"/>
      <c r="AE32" s="433"/>
      <c r="AF32" s="433"/>
      <c r="AG32" s="433"/>
      <c r="AH32" s="443"/>
      <c r="AI32" s="423"/>
      <c r="AJ32" s="423"/>
      <c r="AK32" s="443"/>
      <c r="AL32" s="548"/>
      <c r="AM32" s="548"/>
      <c r="AN32" s="548"/>
      <c r="AO32" s="548"/>
    </row>
    <row r="33" spans="1:41" ht="18.75" customHeight="1" x14ac:dyDescent="0.3">
      <c r="A33" s="411" t="s">
        <v>331</v>
      </c>
      <c r="B33" s="706"/>
      <c r="C33" s="708"/>
      <c r="D33" s="442"/>
      <c r="E33" s="424"/>
      <c r="F33" s="425"/>
      <c r="G33" s="442"/>
      <c r="H33" s="424"/>
      <c r="I33" s="425"/>
      <c r="J33" s="442"/>
      <c r="K33" s="424"/>
      <c r="L33" s="425"/>
      <c r="M33" s="431"/>
      <c r="N33" s="424"/>
      <c r="O33" s="425"/>
      <c r="P33" s="442"/>
      <c r="Q33" s="424"/>
      <c r="R33" s="425"/>
      <c r="S33" s="442"/>
      <c r="T33" s="424"/>
      <c r="U33" s="425"/>
      <c r="V33" s="442"/>
      <c r="W33" s="424"/>
      <c r="X33" s="425"/>
      <c r="Y33" s="442"/>
      <c r="Z33" s="424"/>
      <c r="AA33" s="425"/>
      <c r="AB33" s="442"/>
      <c r="AC33" s="431"/>
      <c r="AD33" s="431"/>
      <c r="AE33" s="431"/>
      <c r="AF33" s="431"/>
      <c r="AG33" s="431"/>
      <c r="AH33" s="442"/>
      <c r="AI33" s="425"/>
      <c r="AJ33" s="425"/>
      <c r="AK33" s="442"/>
      <c r="AL33" s="545"/>
      <c r="AM33" s="545"/>
      <c r="AN33" s="545"/>
      <c r="AO33" s="545"/>
    </row>
    <row r="34" spans="1:41" ht="18.75" customHeight="1" x14ac:dyDescent="0.3">
      <c r="A34" s="411" t="s">
        <v>332</v>
      </c>
      <c r="B34" s="706"/>
      <c r="C34" s="708"/>
      <c r="D34" s="442"/>
      <c r="E34" s="424"/>
      <c r="F34" s="425"/>
      <c r="G34" s="442"/>
      <c r="H34" s="424"/>
      <c r="I34" s="425"/>
      <c r="J34" s="442"/>
      <c r="K34" s="424"/>
      <c r="L34" s="425"/>
      <c r="M34" s="431"/>
      <c r="N34" s="424"/>
      <c r="O34" s="425"/>
      <c r="P34" s="442"/>
      <c r="Q34" s="424"/>
      <c r="R34" s="425"/>
      <c r="S34" s="442"/>
      <c r="T34" s="424"/>
      <c r="U34" s="425"/>
      <c r="V34" s="442"/>
      <c r="W34" s="424"/>
      <c r="X34" s="425"/>
      <c r="Y34" s="442"/>
      <c r="Z34" s="424"/>
      <c r="AA34" s="425"/>
      <c r="AB34" s="442"/>
      <c r="AC34" s="431"/>
      <c r="AD34" s="431"/>
      <c r="AE34" s="431"/>
      <c r="AF34" s="431"/>
      <c r="AG34" s="431"/>
      <c r="AH34" s="442"/>
      <c r="AI34" s="425"/>
      <c r="AJ34" s="425"/>
      <c r="AK34" s="442"/>
      <c r="AL34" s="545"/>
      <c r="AM34" s="545"/>
      <c r="AN34" s="545"/>
      <c r="AO34" s="545"/>
    </row>
    <row r="35" spans="1:41" ht="18.75" customHeight="1" x14ac:dyDescent="0.3">
      <c r="A35" s="528" t="s">
        <v>344</v>
      </c>
      <c r="B35" s="707"/>
      <c r="C35" s="723"/>
      <c r="D35" s="443"/>
      <c r="E35" s="422"/>
      <c r="F35" s="423"/>
      <c r="G35" s="443"/>
      <c r="H35" s="422"/>
      <c r="I35" s="423"/>
      <c r="J35" s="443"/>
      <c r="K35" s="422"/>
      <c r="L35" s="423"/>
      <c r="M35" s="433"/>
      <c r="N35" s="422"/>
      <c r="O35" s="423"/>
      <c r="P35" s="443"/>
      <c r="Q35" s="422"/>
      <c r="R35" s="423"/>
      <c r="S35" s="443"/>
      <c r="T35" s="422"/>
      <c r="U35" s="423"/>
      <c r="V35" s="443"/>
      <c r="W35" s="422"/>
      <c r="X35" s="423"/>
      <c r="Y35" s="443"/>
      <c r="Z35" s="422"/>
      <c r="AA35" s="423"/>
      <c r="AB35" s="443"/>
      <c r="AC35" s="433"/>
      <c r="AD35" s="433"/>
      <c r="AE35" s="433"/>
      <c r="AF35" s="433"/>
      <c r="AG35" s="433"/>
      <c r="AH35" s="443"/>
      <c r="AI35" s="425"/>
      <c r="AJ35" s="425"/>
      <c r="AK35" s="443"/>
      <c r="AL35" s="545"/>
      <c r="AM35" s="545"/>
      <c r="AN35" s="545"/>
      <c r="AO35" s="545"/>
    </row>
    <row r="36" spans="1:41" ht="18.75" customHeight="1" x14ac:dyDescent="0.3">
      <c r="A36" s="760" t="s">
        <v>492</v>
      </c>
      <c r="B36" s="706"/>
      <c r="C36" s="708"/>
      <c r="D36" s="442"/>
      <c r="E36" s="424"/>
      <c r="F36" s="425"/>
      <c r="G36" s="442"/>
      <c r="H36" s="424"/>
      <c r="I36" s="425"/>
      <c r="J36" s="442"/>
      <c r="K36" s="424"/>
      <c r="L36" s="425"/>
      <c r="M36" s="431"/>
      <c r="N36" s="424"/>
      <c r="O36" s="425"/>
      <c r="P36" s="442"/>
      <c r="Q36" s="424"/>
      <c r="R36" s="425"/>
      <c r="S36" s="442"/>
      <c r="T36" s="424"/>
      <c r="U36" s="425"/>
      <c r="V36" s="442"/>
      <c r="W36" s="424">
        <v>-1</v>
      </c>
      <c r="X36" s="425">
        <v>35</v>
      </c>
      <c r="Y36" s="442">
        <f>IF(W36=0, "    ---- ", IF(ABS(ROUND(100/W36*X36-100,1))&lt;999,ROUND(100/W36*X36-100,1),IF(ROUND(100/W36*X36-100,1)&gt;999,999,-999)))</f>
        <v>-999</v>
      </c>
      <c r="Z36" s="424">
        <v>4.0089675200000094</v>
      </c>
      <c r="AA36" s="425">
        <v>20.86785789</v>
      </c>
      <c r="AB36" s="442">
        <f t="shared" ref="AB36:AB38" si="9">IF(Z36=0, "    ---- ", IF(ABS(ROUND(100/Z36*AA36-100,1))&lt;999,ROUND(100/Z36*AA36-100,1),IF(ROUND(100/Z36*AA36-100,1)&gt;999,999,-999)))</f>
        <v>420.5</v>
      </c>
      <c r="AC36" s="431"/>
      <c r="AD36" s="431"/>
      <c r="AE36" s="431"/>
      <c r="AF36" s="431">
        <f t="shared" ref="AF36:AG36" si="10">B36+E36+H36+K36+N36+Q36+T36+W36+Z36</f>
        <v>3.0089675200000094</v>
      </c>
      <c r="AG36" s="431">
        <f t="shared" si="10"/>
        <v>55.867857889999996</v>
      </c>
      <c r="AH36" s="442">
        <f t="shared" si="3"/>
        <v>999</v>
      </c>
      <c r="AI36" s="425">
        <f t="shared" ref="AI36:AJ36" si="11">B36+E36+H36+K36+N36+Q36+T36+W36+Z36+AC36</f>
        <v>3.0089675200000094</v>
      </c>
      <c r="AJ36" s="425">
        <f t="shared" si="11"/>
        <v>55.867857889999996</v>
      </c>
      <c r="AK36" s="442">
        <f t="shared" si="4"/>
        <v>999</v>
      </c>
      <c r="AL36" s="545"/>
      <c r="AM36" s="545"/>
      <c r="AN36" s="545"/>
      <c r="AO36" s="545"/>
    </row>
    <row r="37" spans="1:41" ht="18.75" customHeight="1" x14ac:dyDescent="0.3">
      <c r="A37" s="411" t="s">
        <v>493</v>
      </c>
      <c r="B37" s="706"/>
      <c r="C37" s="714"/>
      <c r="D37" s="442"/>
      <c r="E37" s="424"/>
      <c r="F37" s="425"/>
      <c r="G37" s="442"/>
      <c r="H37" s="424"/>
      <c r="I37" s="425"/>
      <c r="J37" s="442"/>
      <c r="K37" s="424"/>
      <c r="L37" s="425"/>
      <c r="M37" s="431"/>
      <c r="N37" s="424"/>
      <c r="O37" s="425"/>
      <c r="P37" s="442"/>
      <c r="Q37" s="424"/>
      <c r="R37" s="425"/>
      <c r="S37" s="442"/>
      <c r="T37" s="424"/>
      <c r="U37" s="425"/>
      <c r="V37" s="442"/>
      <c r="W37" s="424"/>
      <c r="X37" s="425">
        <v>-21</v>
      </c>
      <c r="Y37" s="442"/>
      <c r="Z37" s="424">
        <v>-1.3144880000000001</v>
      </c>
      <c r="AA37" s="425">
        <v>-15.696113</v>
      </c>
      <c r="AB37" s="442">
        <f t="shared" si="9"/>
        <v>999</v>
      </c>
      <c r="AC37" s="431"/>
      <c r="AD37" s="431"/>
      <c r="AE37" s="431"/>
      <c r="AF37" s="431">
        <f t="shared" ref="AF37" si="12">B37+E37+H37+K37+N37+Q37+T37+W37+Z37</f>
        <v>-1.3144880000000001</v>
      </c>
      <c r="AG37" s="431">
        <f t="shared" ref="AG37" si="13">C37+F37+I37+L37+O37+R37+U37+X37+AA37</f>
        <v>-36.696112999999997</v>
      </c>
      <c r="AH37" s="442">
        <f t="shared" ref="AH37" si="14">IF(AF37=0, "    ---- ", IF(ABS(ROUND(100/AF37*AG37-100,1))&lt;999,ROUND(100/AF37*AG37-100,1),IF(ROUND(100/AF37*AG37-100,1)&gt;999,999,-999)))</f>
        <v>999</v>
      </c>
      <c r="AI37" s="425">
        <f t="shared" ref="AI37" si="15">B37+E37+H37+K37+N37+Q37+T37+W37+Z37+AC37</f>
        <v>-1.3144880000000001</v>
      </c>
      <c r="AJ37" s="425">
        <f t="shared" ref="AJ37" si="16">C37+F37+I37+L37+O37+R37+U37+X37+AA37+AD37</f>
        <v>-36.696112999999997</v>
      </c>
      <c r="AK37" s="442">
        <f t="shared" ref="AK37" si="17">IF(AI37=0, "    ---- ", IF(ABS(ROUND(100/AI37*AJ37-100,1))&lt;999,ROUND(100/AI37*AJ37-100,1),IF(ROUND(100/AI37*AJ37-100,1)&gt;999,999,-999)))</f>
        <v>999</v>
      </c>
      <c r="AL37" s="545"/>
      <c r="AM37" s="545"/>
      <c r="AN37" s="545"/>
      <c r="AO37" s="545"/>
    </row>
    <row r="38" spans="1:41" ht="18.75" customHeight="1" x14ac:dyDescent="0.3">
      <c r="A38" s="411" t="s">
        <v>324</v>
      </c>
      <c r="B38" s="706"/>
      <c r="C38" s="708"/>
      <c r="D38" s="442"/>
      <c r="E38" s="424"/>
      <c r="F38" s="425"/>
      <c r="G38" s="442"/>
      <c r="H38" s="424"/>
      <c r="I38" s="425"/>
      <c r="J38" s="442"/>
      <c r="K38" s="424"/>
      <c r="L38" s="425"/>
      <c r="M38" s="431"/>
      <c r="N38" s="424"/>
      <c r="O38" s="425"/>
      <c r="P38" s="442"/>
      <c r="Q38" s="424"/>
      <c r="R38" s="425"/>
      <c r="S38" s="442"/>
      <c r="T38" s="424"/>
      <c r="U38" s="425"/>
      <c r="V38" s="442"/>
      <c r="W38" s="424">
        <v>-11</v>
      </c>
      <c r="X38" s="425">
        <v>-2</v>
      </c>
      <c r="Y38" s="442">
        <f>IF(W38=0, "    ---- ", IF(ABS(ROUND(100/W38*X38-100,1))&lt;999,ROUND(100/W38*X38-100,1),IF(ROUND(100/W38*X38-100,1)&gt;999,999,-999)))</f>
        <v>-81.8</v>
      </c>
      <c r="Z38" s="424">
        <v>2.8434286499999999</v>
      </c>
      <c r="AA38" s="425">
        <v>3.2039273599999998</v>
      </c>
      <c r="AB38" s="442">
        <f t="shared" si="9"/>
        <v>12.7</v>
      </c>
      <c r="AC38" s="431"/>
      <c r="AD38" s="431"/>
      <c r="AE38" s="431"/>
      <c r="AF38" s="431">
        <f t="shared" ref="AF38:AG46" si="18">B38+E38+H38+K38+N38+Q38+T38+W38+Z38</f>
        <v>-8.1565713500000001</v>
      </c>
      <c r="AG38" s="431">
        <f t="shared" si="18"/>
        <v>1.2039273599999998</v>
      </c>
      <c r="AH38" s="442">
        <f t="shared" si="3"/>
        <v>-114.8</v>
      </c>
      <c r="AI38" s="425">
        <f t="shared" ref="AI38:AJ46" si="19">B38+E38+H38+K38+N38+Q38+T38+W38+Z38+AC38</f>
        <v>-8.1565713500000001</v>
      </c>
      <c r="AJ38" s="425">
        <f t="shared" si="19"/>
        <v>1.2039273599999998</v>
      </c>
      <c r="AK38" s="442">
        <f t="shared" si="4"/>
        <v>-114.8</v>
      </c>
      <c r="AL38" s="545"/>
      <c r="AM38" s="545"/>
      <c r="AN38" s="545"/>
      <c r="AO38" s="545"/>
    </row>
    <row r="39" spans="1:41" ht="18.75" customHeight="1" x14ac:dyDescent="0.3">
      <c r="A39" s="411" t="s">
        <v>325</v>
      </c>
      <c r="B39" s="706"/>
      <c r="C39" s="708"/>
      <c r="D39" s="442"/>
      <c r="E39" s="424"/>
      <c r="F39" s="425"/>
      <c r="G39" s="442"/>
      <c r="H39" s="424"/>
      <c r="I39" s="425"/>
      <c r="J39" s="442"/>
      <c r="K39" s="424"/>
      <c r="L39" s="425"/>
      <c r="M39" s="431"/>
      <c r="N39" s="424"/>
      <c r="O39" s="425"/>
      <c r="P39" s="442"/>
      <c r="Q39" s="424"/>
      <c r="R39" s="425"/>
      <c r="S39" s="442"/>
      <c r="T39" s="424"/>
      <c r="U39" s="425"/>
      <c r="V39" s="442"/>
      <c r="W39" s="424"/>
      <c r="X39" s="425"/>
      <c r="Y39" s="442"/>
      <c r="Z39" s="424"/>
      <c r="AA39" s="425"/>
      <c r="AB39" s="442"/>
      <c r="AC39" s="431"/>
      <c r="AD39" s="431"/>
      <c r="AE39" s="431"/>
      <c r="AF39" s="431">
        <f t="shared" si="18"/>
        <v>0</v>
      </c>
      <c r="AG39" s="431">
        <f t="shared" si="18"/>
        <v>0</v>
      </c>
      <c r="AH39" s="442" t="str">
        <f t="shared" si="3"/>
        <v xml:space="preserve">    ---- </v>
      </c>
      <c r="AI39" s="425">
        <f t="shared" si="19"/>
        <v>0</v>
      </c>
      <c r="AJ39" s="425">
        <f t="shared" si="19"/>
        <v>0</v>
      </c>
      <c r="AK39" s="442" t="str">
        <f t="shared" si="4"/>
        <v xml:space="preserve">    ---- </v>
      </c>
      <c r="AL39" s="545"/>
      <c r="AM39" s="545"/>
      <c r="AN39" s="545"/>
      <c r="AO39" s="545"/>
    </row>
    <row r="40" spans="1:41" ht="18.75" customHeight="1" x14ac:dyDescent="0.3">
      <c r="A40" s="411" t="s">
        <v>326</v>
      </c>
      <c r="B40" s="706"/>
      <c r="C40" s="708"/>
      <c r="D40" s="442"/>
      <c r="E40" s="424"/>
      <c r="F40" s="425"/>
      <c r="G40" s="442"/>
      <c r="H40" s="424"/>
      <c r="I40" s="425"/>
      <c r="J40" s="442"/>
      <c r="K40" s="424"/>
      <c r="L40" s="425"/>
      <c r="M40" s="431"/>
      <c r="N40" s="424"/>
      <c r="O40" s="425"/>
      <c r="P40" s="442"/>
      <c r="Q40" s="424"/>
      <c r="R40" s="425"/>
      <c r="S40" s="442"/>
      <c r="T40" s="424"/>
      <c r="U40" s="425"/>
      <c r="V40" s="442"/>
      <c r="W40" s="424"/>
      <c r="X40" s="425">
        <v>3</v>
      </c>
      <c r="Y40" s="442" t="str">
        <f>IF(W40=0, "    ---- ", IF(ABS(ROUND(100/W40*X40-100,1))&lt;999,ROUND(100/W40*X40-100,1),IF(ROUND(100/W40*X40-100,1)&gt;999,999,-999)))</f>
        <v xml:space="preserve">    ---- </v>
      </c>
      <c r="Z40" s="424"/>
      <c r="AA40" s="425"/>
      <c r="AB40" s="442"/>
      <c r="AC40" s="431"/>
      <c r="AD40" s="431"/>
      <c r="AE40" s="431"/>
      <c r="AF40" s="431">
        <f t="shared" si="18"/>
        <v>0</v>
      </c>
      <c r="AG40" s="431">
        <f t="shared" si="18"/>
        <v>3</v>
      </c>
      <c r="AH40" s="442" t="str">
        <f t="shared" si="3"/>
        <v xml:space="preserve">    ---- </v>
      </c>
      <c r="AI40" s="425">
        <f t="shared" si="19"/>
        <v>0</v>
      </c>
      <c r="AJ40" s="425">
        <f t="shared" si="19"/>
        <v>3</v>
      </c>
      <c r="AK40" s="442" t="str">
        <f t="shared" si="4"/>
        <v xml:space="preserve">    ---- </v>
      </c>
      <c r="AL40" s="545"/>
      <c r="AM40" s="545"/>
      <c r="AN40" s="545"/>
      <c r="AO40" s="545"/>
    </row>
    <row r="41" spans="1:41" ht="18.75" customHeight="1" x14ac:dyDescent="0.3">
      <c r="A41" s="411" t="s">
        <v>327</v>
      </c>
      <c r="B41" s="706"/>
      <c r="C41" s="708"/>
      <c r="D41" s="442"/>
      <c r="E41" s="424"/>
      <c r="F41" s="425"/>
      <c r="G41" s="442"/>
      <c r="H41" s="424"/>
      <c r="I41" s="425"/>
      <c r="J41" s="442"/>
      <c r="K41" s="424"/>
      <c r="L41" s="425"/>
      <c r="M41" s="431"/>
      <c r="N41" s="424"/>
      <c r="O41" s="425"/>
      <c r="P41" s="442"/>
      <c r="Q41" s="424"/>
      <c r="R41" s="425"/>
      <c r="S41" s="442"/>
      <c r="T41" s="424"/>
      <c r="U41" s="425"/>
      <c r="V41" s="442"/>
      <c r="W41" s="424">
        <v>3</v>
      </c>
      <c r="X41" s="425"/>
      <c r="Y41" s="442">
        <f>IF(W41=0, "    ---- ", IF(ABS(ROUND(100/W41*X41-100,1))&lt;999,ROUND(100/W41*X41-100,1),IF(ROUND(100/W41*X41-100,1)&gt;999,999,-999)))</f>
        <v>-100</v>
      </c>
      <c r="Z41" s="424"/>
      <c r="AA41" s="425">
        <v>-5.1469999999999997E-3</v>
      </c>
      <c r="AB41" s="442" t="str">
        <f t="shared" ref="AB41" si="20">IF(Z41=0, "    ---- ", IF(ABS(ROUND(100/Z41*AA41-100,1))&lt;999,ROUND(100/Z41*AA41-100,1),IF(ROUND(100/Z41*AA41-100,1)&gt;999,999,-999)))</f>
        <v xml:space="preserve">    ---- </v>
      </c>
      <c r="AC41" s="431"/>
      <c r="AD41" s="431"/>
      <c r="AE41" s="431"/>
      <c r="AF41" s="431">
        <f t="shared" si="18"/>
        <v>3</v>
      </c>
      <c r="AG41" s="431">
        <f t="shared" si="18"/>
        <v>-5.1469999999999997E-3</v>
      </c>
      <c r="AH41" s="442">
        <f t="shared" si="3"/>
        <v>-100.2</v>
      </c>
      <c r="AI41" s="425">
        <f t="shared" si="19"/>
        <v>3</v>
      </c>
      <c r="AJ41" s="425">
        <f t="shared" si="19"/>
        <v>-5.1469999999999997E-3</v>
      </c>
      <c r="AK41" s="442">
        <f t="shared" si="4"/>
        <v>-100.2</v>
      </c>
      <c r="AL41" s="545"/>
      <c r="AM41" s="545"/>
      <c r="AN41" s="545"/>
      <c r="AO41" s="545"/>
    </row>
    <row r="42" spans="1:41" ht="18.75" customHeight="1" x14ac:dyDescent="0.3">
      <c r="A42" s="411" t="s">
        <v>328</v>
      </c>
      <c r="B42" s="706"/>
      <c r="C42" s="708"/>
      <c r="D42" s="442"/>
      <c r="E42" s="424"/>
      <c r="F42" s="425"/>
      <c r="G42" s="442"/>
      <c r="H42" s="424"/>
      <c r="I42" s="425"/>
      <c r="J42" s="442"/>
      <c r="K42" s="424"/>
      <c r="L42" s="425"/>
      <c r="M42" s="431"/>
      <c r="N42" s="424"/>
      <c r="O42" s="425"/>
      <c r="P42" s="442"/>
      <c r="Q42" s="424"/>
      <c r="R42" s="425"/>
      <c r="S42" s="442"/>
      <c r="T42" s="424"/>
      <c r="U42" s="425"/>
      <c r="V42" s="442"/>
      <c r="W42" s="424"/>
      <c r="X42" s="425"/>
      <c r="Y42" s="442"/>
      <c r="Z42" s="424"/>
      <c r="AA42" s="425"/>
      <c r="AB42" s="442"/>
      <c r="AC42" s="431"/>
      <c r="AD42" s="431"/>
      <c r="AE42" s="431"/>
      <c r="AF42" s="431">
        <f t="shared" si="18"/>
        <v>0</v>
      </c>
      <c r="AG42" s="431">
        <f t="shared" si="18"/>
        <v>0</v>
      </c>
      <c r="AH42" s="442" t="str">
        <f t="shared" si="3"/>
        <v xml:space="preserve">    ---- </v>
      </c>
      <c r="AI42" s="425">
        <f t="shared" si="19"/>
        <v>0</v>
      </c>
      <c r="AJ42" s="425">
        <f t="shared" si="19"/>
        <v>0</v>
      </c>
      <c r="AK42" s="442" t="str">
        <f t="shared" si="4"/>
        <v xml:space="preserve">    ---- </v>
      </c>
      <c r="AL42" s="545"/>
      <c r="AM42" s="545"/>
      <c r="AN42" s="545"/>
      <c r="AO42" s="545"/>
    </row>
    <row r="43" spans="1:41" ht="18.75" customHeight="1" x14ac:dyDescent="0.3">
      <c r="A43" s="411" t="s">
        <v>329</v>
      </c>
      <c r="B43" s="709"/>
      <c r="C43" s="728"/>
      <c r="D43" s="442"/>
      <c r="E43" s="430"/>
      <c r="F43" s="431"/>
      <c r="G43" s="442"/>
      <c r="H43" s="430"/>
      <c r="I43" s="431"/>
      <c r="J43" s="442"/>
      <c r="K43" s="430"/>
      <c r="L43" s="431"/>
      <c r="M43" s="431"/>
      <c r="N43" s="430"/>
      <c r="O43" s="431"/>
      <c r="P43" s="442"/>
      <c r="Q43" s="430"/>
      <c r="R43" s="431"/>
      <c r="S43" s="442"/>
      <c r="T43" s="430"/>
      <c r="U43" s="431"/>
      <c r="V43" s="442"/>
      <c r="W43" s="430"/>
      <c r="X43" s="431"/>
      <c r="Y43" s="442"/>
      <c r="Z43" s="430"/>
      <c r="AA43" s="431"/>
      <c r="AB43" s="442"/>
      <c r="AC43" s="431"/>
      <c r="AD43" s="431"/>
      <c r="AE43" s="431"/>
      <c r="AF43" s="431">
        <f t="shared" si="18"/>
        <v>0</v>
      </c>
      <c r="AG43" s="431">
        <f t="shared" si="18"/>
        <v>0</v>
      </c>
      <c r="AH43" s="442" t="str">
        <f t="shared" si="3"/>
        <v xml:space="preserve">    ---- </v>
      </c>
      <c r="AI43" s="425">
        <f t="shared" si="19"/>
        <v>0</v>
      </c>
      <c r="AJ43" s="425">
        <f t="shared" si="19"/>
        <v>0</v>
      </c>
      <c r="AK43" s="442" t="str">
        <f t="shared" si="4"/>
        <v xml:space="preserve">    ---- </v>
      </c>
      <c r="AL43" s="545"/>
      <c r="AM43" s="545"/>
      <c r="AN43" s="545"/>
      <c r="AO43" s="545"/>
    </row>
    <row r="44" spans="1:41" s="561" customFormat="1" ht="18.75" customHeight="1" x14ac:dyDescent="0.3">
      <c r="A44" s="528" t="s">
        <v>330</v>
      </c>
      <c r="B44" s="710"/>
      <c r="C44" s="729"/>
      <c r="D44" s="443"/>
      <c r="E44" s="432"/>
      <c r="F44" s="433"/>
      <c r="G44" s="443"/>
      <c r="H44" s="432"/>
      <c r="I44" s="433"/>
      <c r="J44" s="443"/>
      <c r="K44" s="432"/>
      <c r="L44" s="433"/>
      <c r="M44" s="433"/>
      <c r="N44" s="432"/>
      <c r="O44" s="433"/>
      <c r="P44" s="443"/>
      <c r="Q44" s="432"/>
      <c r="R44" s="433"/>
      <c r="S44" s="442"/>
      <c r="T44" s="432"/>
      <c r="U44" s="433"/>
      <c r="V44" s="443"/>
      <c r="W44" s="432">
        <f>SUM(W36:W41)+W43</f>
        <v>-9</v>
      </c>
      <c r="X44" s="433">
        <f>SUM(X36:X41)+X43</f>
        <v>15</v>
      </c>
      <c r="Y44" s="443">
        <f>IF(W44=0, "    ---- ", IF(ABS(ROUND(100/W44*X44-100,1))&lt;999,ROUND(100/W44*X44-100,1),IF(ROUND(100/W44*X44-100,1)&gt;999,999,-999)))</f>
        <v>-266.7</v>
      </c>
      <c r="Z44" s="432">
        <f>SUM(Z36:Z41)+Z43</f>
        <v>5.5379081700000095</v>
      </c>
      <c r="AA44" s="433">
        <f>SUM(AA36:AA41)+AA43</f>
        <v>8.37052525</v>
      </c>
      <c r="AB44" s="443">
        <f t="shared" ref="AB44:AB46" si="21">IF(Z44=0, "    ---- ", IF(ABS(ROUND(100/Z44*AA44-100,1))&lt;999,ROUND(100/Z44*AA44-100,1),IF(ROUND(100/Z44*AA44-100,1)&gt;999,999,-999)))</f>
        <v>51.1</v>
      </c>
      <c r="AC44" s="433"/>
      <c r="AD44" s="433"/>
      <c r="AE44" s="433"/>
      <c r="AF44" s="433">
        <f t="shared" si="18"/>
        <v>-3.4620918299999905</v>
      </c>
      <c r="AG44" s="433">
        <f t="shared" si="18"/>
        <v>23.37052525</v>
      </c>
      <c r="AH44" s="443">
        <f>IF(AF44=0, "    ---- ", IF(ABS(ROUND(100/AF44*AG44-100,1))&lt;999,ROUND(100/AF44*AG44-100,1),IF(ROUND(100/AF44*AG44-100,1)&gt;999,999,-999)))</f>
        <v>-775</v>
      </c>
      <c r="AI44" s="423">
        <f t="shared" si="19"/>
        <v>-3.4620918299999905</v>
      </c>
      <c r="AJ44" s="423">
        <f t="shared" si="19"/>
        <v>23.37052525</v>
      </c>
      <c r="AK44" s="443">
        <f>IF(AI44=0, "    ---- ", IF(ABS(ROUND(100/AI44*AJ44-100,1))&lt;999,ROUND(100/AI44*AJ44-100,1),IF(ROUND(100/AI44*AJ44-100,1)&gt;999,999,-999)))</f>
        <v>-775</v>
      </c>
      <c r="AL44" s="548"/>
      <c r="AM44" s="548"/>
      <c r="AN44" s="548"/>
      <c r="AO44" s="548"/>
    </row>
    <row r="45" spans="1:41" ht="18.75" customHeight="1" x14ac:dyDescent="0.3">
      <c r="A45" s="411" t="s">
        <v>331</v>
      </c>
      <c r="B45" s="709"/>
      <c r="C45" s="728"/>
      <c r="D45" s="442"/>
      <c r="E45" s="430"/>
      <c r="F45" s="431"/>
      <c r="G45" s="442"/>
      <c r="H45" s="430"/>
      <c r="I45" s="431"/>
      <c r="J45" s="442"/>
      <c r="K45" s="430"/>
      <c r="L45" s="431"/>
      <c r="M45" s="431"/>
      <c r="N45" s="430"/>
      <c r="O45" s="431"/>
      <c r="P45" s="442"/>
      <c r="Q45" s="430"/>
      <c r="R45" s="431"/>
      <c r="S45" s="442"/>
      <c r="T45" s="430"/>
      <c r="U45" s="431"/>
      <c r="V45" s="442"/>
      <c r="W45" s="430"/>
      <c r="X45" s="431">
        <v>14</v>
      </c>
      <c r="Y45" s="442" t="str">
        <f>IF(W45=0, "    ---- ", IF(ABS(ROUND(100/W45*X45-100,1))&lt;999,ROUND(100/W45*X45-100,1),IF(ROUND(100/W45*X45-100,1)&gt;999,999,-999)))</f>
        <v xml:space="preserve">    ---- </v>
      </c>
      <c r="Z45" s="430">
        <v>2.8942839999999999</v>
      </c>
      <c r="AA45" s="431">
        <v>4.3358829999999999</v>
      </c>
      <c r="AB45" s="442">
        <f t="shared" si="21"/>
        <v>49.8</v>
      </c>
      <c r="AC45" s="431"/>
      <c r="AD45" s="431"/>
      <c r="AE45" s="431"/>
      <c r="AF45" s="431">
        <f t="shared" si="18"/>
        <v>2.8942839999999999</v>
      </c>
      <c r="AG45" s="431">
        <f t="shared" si="18"/>
        <v>18.335882999999999</v>
      </c>
      <c r="AH45" s="442">
        <f t="shared" ref="AH45:AH144" si="22">IF(AF45=0, "    ---- ", IF(ABS(ROUND(100/AF45*AG45-100,1))&lt;999,ROUND(100/AF45*AG45-100,1),IF(ROUND(100/AF45*AG45-100,1)&gt;999,999,-999)))</f>
        <v>533.5</v>
      </c>
      <c r="AI45" s="425">
        <f t="shared" si="19"/>
        <v>2.8942839999999999</v>
      </c>
      <c r="AJ45" s="425">
        <f t="shared" si="19"/>
        <v>18.335882999999999</v>
      </c>
      <c r="AK45" s="442">
        <f t="shared" ref="AK45:AK144" si="23">IF(AI45=0, "    ---- ", IF(ABS(ROUND(100/AI45*AJ45-100,1))&lt;999,ROUND(100/AI45*AJ45-100,1),IF(ROUND(100/AI45*AJ45-100,1)&gt;999,999,-999)))</f>
        <v>533.5</v>
      </c>
      <c r="AL45" s="545"/>
      <c r="AM45" s="545"/>
      <c r="AN45" s="545"/>
      <c r="AO45" s="545"/>
    </row>
    <row r="46" spans="1:41" ht="18.75" customHeight="1" x14ac:dyDescent="0.3">
      <c r="A46" s="411" t="s">
        <v>332</v>
      </c>
      <c r="B46" s="709"/>
      <c r="C46" s="728"/>
      <c r="D46" s="442"/>
      <c r="E46" s="430"/>
      <c r="F46" s="431"/>
      <c r="G46" s="442"/>
      <c r="H46" s="430"/>
      <c r="I46" s="431"/>
      <c r="J46" s="442"/>
      <c r="K46" s="430"/>
      <c r="L46" s="431"/>
      <c r="M46" s="431"/>
      <c r="N46" s="430"/>
      <c r="O46" s="431"/>
      <c r="P46" s="442"/>
      <c r="Q46" s="430"/>
      <c r="R46" s="431"/>
      <c r="S46" s="442"/>
      <c r="T46" s="430"/>
      <c r="U46" s="431"/>
      <c r="V46" s="442"/>
      <c r="W46" s="430">
        <v>-9</v>
      </c>
      <c r="X46" s="431">
        <v>1</v>
      </c>
      <c r="Y46" s="442">
        <f>IF(W46=0, "    ---- ", IF(ABS(ROUND(100/W46*X46-100,1))&lt;999,ROUND(100/W46*X46-100,1),IF(ROUND(100/W46*X46-100,1)&gt;999,999,-999)))</f>
        <v>-111.1</v>
      </c>
      <c r="Z46" s="430">
        <v>2.6436241700000096</v>
      </c>
      <c r="AA46" s="431">
        <v>4.0346422500000001</v>
      </c>
      <c r="AB46" s="442">
        <f t="shared" si="21"/>
        <v>52.6</v>
      </c>
      <c r="AC46" s="431"/>
      <c r="AD46" s="431"/>
      <c r="AE46" s="431"/>
      <c r="AF46" s="431">
        <f t="shared" si="18"/>
        <v>-6.3563758299999904</v>
      </c>
      <c r="AG46" s="431">
        <f t="shared" si="18"/>
        <v>5.0346422500000001</v>
      </c>
      <c r="AH46" s="442">
        <f t="shared" si="22"/>
        <v>-179.2</v>
      </c>
      <c r="AI46" s="425">
        <f t="shared" si="19"/>
        <v>-6.3563758299999904</v>
      </c>
      <c r="AJ46" s="425">
        <f t="shared" si="19"/>
        <v>5.0346422500000001</v>
      </c>
      <c r="AK46" s="442">
        <f t="shared" si="23"/>
        <v>-179.2</v>
      </c>
      <c r="AL46" s="545"/>
      <c r="AM46" s="545"/>
      <c r="AN46" s="545"/>
      <c r="AO46" s="545"/>
    </row>
    <row r="47" spans="1:41" ht="18.75" customHeight="1" x14ac:dyDescent="0.3">
      <c r="A47" s="528" t="s">
        <v>345</v>
      </c>
      <c r="B47" s="709"/>
      <c r="C47" s="728"/>
      <c r="D47" s="442"/>
      <c r="E47" s="430"/>
      <c r="F47" s="431"/>
      <c r="G47" s="442"/>
      <c r="H47" s="430"/>
      <c r="I47" s="431"/>
      <c r="J47" s="442"/>
      <c r="K47" s="430"/>
      <c r="L47" s="431"/>
      <c r="M47" s="431"/>
      <c r="N47" s="430"/>
      <c r="O47" s="431"/>
      <c r="P47" s="442"/>
      <c r="Q47" s="430"/>
      <c r="R47" s="431"/>
      <c r="S47" s="442"/>
      <c r="T47" s="430"/>
      <c r="U47" s="431"/>
      <c r="V47" s="442"/>
      <c r="W47" s="430"/>
      <c r="X47" s="431"/>
      <c r="Y47" s="442"/>
      <c r="Z47" s="430"/>
      <c r="AA47" s="431"/>
      <c r="AB47" s="442"/>
      <c r="AC47" s="431"/>
      <c r="AD47" s="431"/>
      <c r="AE47" s="431"/>
      <c r="AF47" s="431"/>
      <c r="AG47" s="431"/>
      <c r="AH47" s="442"/>
      <c r="AI47" s="425"/>
      <c r="AJ47" s="425"/>
      <c r="AK47" s="442"/>
      <c r="AL47" s="545"/>
      <c r="AM47" s="545"/>
      <c r="AN47" s="545"/>
      <c r="AO47" s="545"/>
    </row>
    <row r="48" spans="1:41" ht="18.75" customHeight="1" x14ac:dyDescent="0.3">
      <c r="A48" s="760" t="s">
        <v>492</v>
      </c>
      <c r="B48" s="709">
        <v>16317</v>
      </c>
      <c r="C48" s="728">
        <v>22040.36867</v>
      </c>
      <c r="D48" s="442">
        <f>IF(B48=0, "    ---- ", IF(ABS(ROUND(100/B48*C48-100,1))&lt;999,ROUND(100/B48*C48-100,1),IF(ROUND(100/B48*C48-100,1)&gt;999,999,-999)))</f>
        <v>35.1</v>
      </c>
      <c r="E48" s="430"/>
      <c r="F48" s="431"/>
      <c r="G48" s="442"/>
      <c r="H48" s="430"/>
      <c r="I48" s="431"/>
      <c r="J48" s="442"/>
      <c r="K48" s="430">
        <v>19</v>
      </c>
      <c r="L48" s="431">
        <v>38</v>
      </c>
      <c r="M48" s="431">
        <f>IF(K48=0, "    ---- ", IF(ABS(ROUND(100/K48*L48-100,1))&lt;999,ROUND(100/K48*L48-100,1),IF(ROUND(100/K48*L48-100,1)&gt;999,999,-999)))</f>
        <v>100</v>
      </c>
      <c r="N48" s="430"/>
      <c r="O48" s="431"/>
      <c r="P48" s="442"/>
      <c r="Q48" s="430"/>
      <c r="R48" s="431"/>
      <c r="S48" s="442"/>
      <c r="T48" s="430"/>
      <c r="U48" s="431"/>
      <c r="V48" s="442"/>
      <c r="W48" s="430"/>
      <c r="X48" s="431"/>
      <c r="Y48" s="442"/>
      <c r="Z48" s="430">
        <v>-2.8393754600151624</v>
      </c>
      <c r="AA48" s="431">
        <v>-0.92198522998751298</v>
      </c>
      <c r="AB48" s="442">
        <f>IF(Z48=0, "    ---- ", IF(ABS(ROUND(100/Z48*AA48-100,1))&lt;999,ROUND(100/Z48*AA48-100,1),IF(ROUND(100/Z48*AA48-100,1)&gt;999,999,-999)))</f>
        <v>-67.5</v>
      </c>
      <c r="AC48" s="431"/>
      <c r="AD48" s="431"/>
      <c r="AE48" s="431"/>
      <c r="AF48" s="431">
        <f t="shared" ref="AF48:AG48" si="24">B48+E48+H48+K48+N48+Q48+T48+W48+Z48</f>
        <v>16333.160624539985</v>
      </c>
      <c r="AG48" s="431">
        <f t="shared" si="24"/>
        <v>22077.446684770013</v>
      </c>
      <c r="AH48" s="442">
        <f t="shared" si="22"/>
        <v>35.200000000000003</v>
      </c>
      <c r="AI48" s="425">
        <f t="shared" ref="AI48:AJ48" si="25">B48+E48+H48+K48+N48+Q48+T48+W48+Z48+AC48</f>
        <v>16333.160624539985</v>
      </c>
      <c r="AJ48" s="425">
        <f t="shared" si="25"/>
        <v>22077.446684770013</v>
      </c>
      <c r="AK48" s="442">
        <f t="shared" si="23"/>
        <v>35.200000000000003</v>
      </c>
      <c r="AL48" s="545"/>
      <c r="AM48" s="545"/>
      <c r="AN48" s="545"/>
      <c r="AO48" s="545"/>
    </row>
    <row r="49" spans="1:41" ht="18.75" customHeight="1" x14ac:dyDescent="0.3">
      <c r="A49" s="411" t="s">
        <v>493</v>
      </c>
      <c r="B49" s="709"/>
      <c r="C49" s="714"/>
      <c r="D49" s="442"/>
      <c r="E49" s="430"/>
      <c r="F49" s="431"/>
      <c r="G49" s="442"/>
      <c r="H49" s="430"/>
      <c r="I49" s="431"/>
      <c r="J49" s="442"/>
      <c r="K49" s="430"/>
      <c r="L49" s="431"/>
      <c r="M49" s="431"/>
      <c r="N49" s="430"/>
      <c r="O49" s="431"/>
      <c r="P49" s="442"/>
      <c r="Q49" s="430"/>
      <c r="R49" s="431"/>
      <c r="S49" s="442"/>
      <c r="T49" s="430"/>
      <c r="U49" s="431"/>
      <c r="V49" s="442"/>
      <c r="W49" s="430"/>
      <c r="X49" s="431"/>
      <c r="Y49" s="442"/>
      <c r="Z49" s="430"/>
      <c r="AA49" s="431"/>
      <c r="AB49" s="442"/>
      <c r="AC49" s="431"/>
      <c r="AD49" s="431"/>
      <c r="AE49" s="431"/>
      <c r="AF49" s="431">
        <f t="shared" ref="AF49" si="26">B49+E49+H49+K49+N49+Q49+T49+W49+Z49</f>
        <v>0</v>
      </c>
      <c r="AG49" s="431">
        <f t="shared" ref="AG49" si="27">C49+F49+I49+L49+O49+R49+U49+X49+AA49</f>
        <v>0</v>
      </c>
      <c r="AH49" s="442" t="str">
        <f t="shared" ref="AH49" si="28">IF(AF49=0, "    ---- ", IF(ABS(ROUND(100/AF49*AG49-100,1))&lt;999,ROUND(100/AF49*AG49-100,1),IF(ROUND(100/AF49*AG49-100,1)&gt;999,999,-999)))</f>
        <v xml:space="preserve">    ---- </v>
      </c>
      <c r="AI49" s="425">
        <f t="shared" ref="AI49" si="29">B49+E49+H49+K49+N49+Q49+T49+W49+Z49+AC49</f>
        <v>0</v>
      </c>
      <c r="AJ49" s="425">
        <f t="shared" ref="AJ49" si="30">C49+F49+I49+L49+O49+R49+U49+X49+AA49+AD49</f>
        <v>0</v>
      </c>
      <c r="AK49" s="442" t="str">
        <f t="shared" ref="AK49" si="31">IF(AI49=0, "    ---- ", IF(ABS(ROUND(100/AI49*AJ49-100,1))&lt;999,ROUND(100/AI49*AJ49-100,1),IF(ROUND(100/AI49*AJ49-100,1)&gt;999,999,-999)))</f>
        <v xml:space="preserve">    ---- </v>
      </c>
      <c r="AL49" s="545"/>
      <c r="AM49" s="545"/>
      <c r="AN49" s="545"/>
      <c r="AO49" s="545"/>
    </row>
    <row r="50" spans="1:41" ht="18.75" customHeight="1" x14ac:dyDescent="0.3">
      <c r="A50" s="411" t="s">
        <v>324</v>
      </c>
      <c r="B50" s="709">
        <v>275</v>
      </c>
      <c r="C50" s="728">
        <v>336.48462000000001</v>
      </c>
      <c r="D50" s="442">
        <f>IF(B50=0, "    ---- ", IF(ABS(ROUND(100/B50*C50-100,1))&lt;999,ROUND(100/B50*C50-100,1),IF(ROUND(100/B50*C50-100,1)&gt;999,999,-999)))</f>
        <v>22.4</v>
      </c>
      <c r="E50" s="430"/>
      <c r="F50" s="431"/>
      <c r="G50" s="442"/>
      <c r="H50" s="430"/>
      <c r="I50" s="431"/>
      <c r="J50" s="442"/>
      <c r="K50" s="430">
        <v>95</v>
      </c>
      <c r="L50" s="431">
        <v>170</v>
      </c>
      <c r="M50" s="431">
        <f>IF(K50=0, "    ---- ", IF(ABS(ROUND(100/K50*L50-100,1))&lt;999,ROUND(100/K50*L50-100,1),IF(ROUND(100/K50*L50-100,1)&gt;999,999,-999)))</f>
        <v>78.900000000000006</v>
      </c>
      <c r="N50" s="430"/>
      <c r="O50" s="431"/>
      <c r="P50" s="442"/>
      <c r="Q50" s="430">
        <v>145.43643145574254</v>
      </c>
      <c r="R50" s="431">
        <v>263.37127135662109</v>
      </c>
      <c r="S50" s="442">
        <f>IF(Q50=0, "    ---- ", IF(ABS(ROUND(100/Q50*R50-100,1))&lt;999,ROUND(100/Q50*R50-100,1),IF(ROUND(100/Q50*R50-100,1)&gt;999,999,-999)))</f>
        <v>81.099999999999994</v>
      </c>
      <c r="T50" s="430"/>
      <c r="U50" s="431"/>
      <c r="V50" s="442"/>
      <c r="W50" s="430">
        <v>-23</v>
      </c>
      <c r="X50" s="431">
        <v>-35</v>
      </c>
      <c r="Y50" s="442">
        <f>IF(W50=0, "    ---- ", IF(ABS(ROUND(100/W50*X50-100,1))&lt;999,ROUND(100/W50*X50-100,1),IF(ROUND(100/W50*X50-100,1)&gt;999,999,-999)))</f>
        <v>52.2</v>
      </c>
      <c r="Z50" s="430">
        <v>253.40194546493868</v>
      </c>
      <c r="AA50" s="431">
        <v>370.64835472999999</v>
      </c>
      <c r="AB50" s="442">
        <f>IF(Z50=0, "    ---- ", IF(ABS(ROUND(100/Z50*AA50-100,1))&lt;999,ROUND(100/Z50*AA50-100,1),IF(ROUND(100/Z50*AA50-100,1)&gt;999,999,-999)))</f>
        <v>46.3</v>
      </c>
      <c r="AC50" s="431"/>
      <c r="AD50" s="431"/>
      <c r="AE50" s="431"/>
      <c r="AF50" s="431">
        <f t="shared" ref="AF50:AG58" si="32">B50+E50+H50+K50+N50+Q50+T50+W50+Z50</f>
        <v>745.83837692068118</v>
      </c>
      <c r="AG50" s="431">
        <f t="shared" si="32"/>
        <v>1105.5042460866212</v>
      </c>
      <c r="AH50" s="442">
        <f t="shared" si="22"/>
        <v>48.2</v>
      </c>
      <c r="AI50" s="425">
        <f t="shared" ref="AI50:AJ60" si="33">B50+E50+H50+K50+N50+Q50+T50+W50+Z50+AC50</f>
        <v>745.83837692068118</v>
      </c>
      <c r="AJ50" s="425">
        <f t="shared" si="33"/>
        <v>1105.5042460866212</v>
      </c>
      <c r="AK50" s="442">
        <f t="shared" si="23"/>
        <v>48.2</v>
      </c>
      <c r="AL50" s="545"/>
      <c r="AM50" s="545"/>
      <c r="AN50" s="545"/>
      <c r="AO50" s="545"/>
    </row>
    <row r="51" spans="1:41" ht="18.75" customHeight="1" x14ac:dyDescent="0.3">
      <c r="A51" s="411" t="s">
        <v>325</v>
      </c>
      <c r="B51" s="709"/>
      <c r="C51" s="728"/>
      <c r="D51" s="442"/>
      <c r="E51" s="430"/>
      <c r="F51" s="431"/>
      <c r="G51" s="442"/>
      <c r="H51" s="430"/>
      <c r="I51" s="431"/>
      <c r="J51" s="442"/>
      <c r="K51" s="430">
        <v>4</v>
      </c>
      <c r="L51" s="431">
        <v>4</v>
      </c>
      <c r="M51" s="431"/>
      <c r="N51" s="430"/>
      <c r="O51" s="431"/>
      <c r="P51" s="442"/>
      <c r="Q51" s="430"/>
      <c r="R51" s="431"/>
      <c r="S51" s="442"/>
      <c r="T51" s="430"/>
      <c r="U51" s="431"/>
      <c r="V51" s="442"/>
      <c r="W51" s="430"/>
      <c r="X51" s="431"/>
      <c r="Y51" s="442"/>
      <c r="Z51" s="430"/>
      <c r="AA51" s="431"/>
      <c r="AB51" s="442"/>
      <c r="AC51" s="431"/>
      <c r="AD51" s="431"/>
      <c r="AE51" s="431"/>
      <c r="AF51" s="431">
        <f t="shared" si="32"/>
        <v>4</v>
      </c>
      <c r="AG51" s="431">
        <f t="shared" si="32"/>
        <v>4</v>
      </c>
      <c r="AH51" s="442">
        <f t="shared" si="22"/>
        <v>0</v>
      </c>
      <c r="AI51" s="425">
        <f t="shared" si="33"/>
        <v>4</v>
      </c>
      <c r="AJ51" s="425">
        <f t="shared" si="33"/>
        <v>4</v>
      </c>
      <c r="AK51" s="442">
        <f t="shared" si="23"/>
        <v>0</v>
      </c>
      <c r="AL51" s="545"/>
      <c r="AM51" s="545"/>
      <c r="AN51" s="545"/>
      <c r="AO51" s="545"/>
    </row>
    <row r="52" spans="1:41" ht="18.75" customHeight="1" x14ac:dyDescent="0.3">
      <c r="A52" s="411" t="s">
        <v>326</v>
      </c>
      <c r="B52" s="709"/>
      <c r="C52" s="728"/>
      <c r="D52" s="442"/>
      <c r="E52" s="430"/>
      <c r="F52" s="431"/>
      <c r="G52" s="442"/>
      <c r="H52" s="430"/>
      <c r="I52" s="431"/>
      <c r="J52" s="442"/>
      <c r="K52" s="430">
        <v>11</v>
      </c>
      <c r="L52" s="431">
        <v>14</v>
      </c>
      <c r="M52" s="431"/>
      <c r="N52" s="430"/>
      <c r="O52" s="431"/>
      <c r="P52" s="442"/>
      <c r="Q52" s="430"/>
      <c r="R52" s="431"/>
      <c r="S52" s="442"/>
      <c r="T52" s="430"/>
      <c r="U52" s="431"/>
      <c r="V52" s="442"/>
      <c r="W52" s="430"/>
      <c r="X52" s="431"/>
      <c r="Y52" s="442"/>
      <c r="Z52" s="430"/>
      <c r="AA52" s="431"/>
      <c r="AB52" s="442"/>
      <c r="AC52" s="431"/>
      <c r="AD52" s="431"/>
      <c r="AE52" s="431"/>
      <c r="AF52" s="431">
        <f t="shared" si="32"/>
        <v>11</v>
      </c>
      <c r="AG52" s="431">
        <f t="shared" si="32"/>
        <v>14</v>
      </c>
      <c r="AH52" s="442">
        <f t="shared" si="22"/>
        <v>27.3</v>
      </c>
      <c r="AI52" s="425">
        <f t="shared" si="33"/>
        <v>11</v>
      </c>
      <c r="AJ52" s="425">
        <f t="shared" si="33"/>
        <v>14</v>
      </c>
      <c r="AK52" s="442">
        <f t="shared" si="23"/>
        <v>27.3</v>
      </c>
      <c r="AL52" s="545"/>
      <c r="AM52" s="545"/>
      <c r="AN52" s="545"/>
      <c r="AO52" s="545"/>
    </row>
    <row r="53" spans="1:41" ht="18.75" customHeight="1" x14ac:dyDescent="0.3">
      <c r="A53" s="411" t="s">
        <v>327</v>
      </c>
      <c r="B53" s="709">
        <v>3</v>
      </c>
      <c r="C53" s="728">
        <v>-4.8722200000000004</v>
      </c>
      <c r="D53" s="442">
        <f>IF(B53=0, "    ---- ", IF(ABS(ROUND(100/B53*C53-100,1))&lt;999,ROUND(100/B53*C53-100,1),IF(ROUND(100/B53*C53-100,1)&gt;999,999,-999)))</f>
        <v>-262.39999999999998</v>
      </c>
      <c r="E53" s="430"/>
      <c r="F53" s="431"/>
      <c r="G53" s="442"/>
      <c r="H53" s="430"/>
      <c r="I53" s="431"/>
      <c r="J53" s="442"/>
      <c r="K53" s="430">
        <v>12</v>
      </c>
      <c r="L53" s="431">
        <v>22</v>
      </c>
      <c r="M53" s="431">
        <f>IF(K53=0, "    ---- ", IF(ABS(ROUND(100/K53*L53-100,1))&lt;999,ROUND(100/K53*L53-100,1),IF(ROUND(100/K53*L53-100,1)&gt;999,999,-999)))</f>
        <v>83.3</v>
      </c>
      <c r="N53" s="430"/>
      <c r="O53" s="431"/>
      <c r="P53" s="442"/>
      <c r="Q53" s="430">
        <v>-2.8770433999999998</v>
      </c>
      <c r="R53" s="431">
        <v>-3.2793862699999998</v>
      </c>
      <c r="S53" s="442">
        <f>IF(Q53=0, "    ---- ", IF(ABS(ROUND(100/Q53*R53-100,1))&lt;999,ROUND(100/Q53*R53-100,1),IF(ROUND(100/Q53*R53-100,1)&gt;999,999,-999)))</f>
        <v>14</v>
      </c>
      <c r="T53" s="430"/>
      <c r="U53" s="431"/>
      <c r="V53" s="442"/>
      <c r="W53" s="430">
        <v>-1</v>
      </c>
      <c r="X53" s="431"/>
      <c r="Y53" s="442">
        <f>IF(W53=0, "    ---- ", IF(ABS(ROUND(100/W53*X53-100,1))&lt;999,ROUND(100/W53*X53-100,1),IF(ROUND(100/W53*X53-100,1)&gt;999,999,-999)))</f>
        <v>-100</v>
      </c>
      <c r="Z53" s="430">
        <v>-0.3821572399999999</v>
      </c>
      <c r="AA53" s="431">
        <v>0.15715577999999999</v>
      </c>
      <c r="AB53" s="442">
        <f>IF(Z53=0, "    ---- ", IF(ABS(ROUND(100/Z53*AA53-100,1))&lt;999,ROUND(100/Z53*AA53-100,1),IF(ROUND(100/Z53*AA53-100,1)&gt;999,999,-999)))</f>
        <v>-141.1</v>
      </c>
      <c r="AC53" s="431"/>
      <c r="AD53" s="431"/>
      <c r="AE53" s="431"/>
      <c r="AF53" s="431">
        <f t="shared" si="32"/>
        <v>10.74079936</v>
      </c>
      <c r="AG53" s="431">
        <f t="shared" si="32"/>
        <v>14.005549510000002</v>
      </c>
      <c r="AH53" s="442">
        <f t="shared" si="22"/>
        <v>30.4</v>
      </c>
      <c r="AI53" s="425">
        <f t="shared" si="33"/>
        <v>10.74079936</v>
      </c>
      <c r="AJ53" s="425">
        <f t="shared" si="33"/>
        <v>14.005549510000002</v>
      </c>
      <c r="AK53" s="442">
        <f t="shared" si="23"/>
        <v>30.4</v>
      </c>
      <c r="AL53" s="545"/>
      <c r="AM53" s="545"/>
      <c r="AN53" s="545"/>
      <c r="AO53" s="545"/>
    </row>
    <row r="54" spans="1:41" ht="18.75" customHeight="1" x14ac:dyDescent="0.3">
      <c r="A54" s="411" t="s">
        <v>328</v>
      </c>
      <c r="B54" s="709"/>
      <c r="C54" s="728"/>
      <c r="D54" s="442"/>
      <c r="E54" s="430"/>
      <c r="F54" s="431"/>
      <c r="G54" s="442"/>
      <c r="H54" s="430"/>
      <c r="I54" s="431"/>
      <c r="J54" s="442"/>
      <c r="K54" s="430"/>
      <c r="L54" s="431"/>
      <c r="M54" s="431"/>
      <c r="N54" s="430"/>
      <c r="O54" s="431"/>
      <c r="P54" s="442"/>
      <c r="Q54" s="430"/>
      <c r="R54" s="431"/>
      <c r="S54" s="442"/>
      <c r="T54" s="430"/>
      <c r="U54" s="431"/>
      <c r="V54" s="442"/>
      <c r="W54" s="430"/>
      <c r="X54" s="431"/>
      <c r="Y54" s="442"/>
      <c r="Z54" s="430"/>
      <c r="AA54" s="431"/>
      <c r="AB54" s="442"/>
      <c r="AC54" s="431"/>
      <c r="AD54" s="431"/>
      <c r="AE54" s="431"/>
      <c r="AF54" s="431">
        <f t="shared" si="32"/>
        <v>0</v>
      </c>
      <c r="AG54" s="431">
        <f t="shared" si="32"/>
        <v>0</v>
      </c>
      <c r="AH54" s="442" t="str">
        <f t="shared" si="22"/>
        <v xml:space="preserve">    ---- </v>
      </c>
      <c r="AI54" s="425">
        <f t="shared" si="33"/>
        <v>0</v>
      </c>
      <c r="AJ54" s="425">
        <f t="shared" si="33"/>
        <v>0</v>
      </c>
      <c r="AK54" s="442" t="str">
        <f t="shared" si="23"/>
        <v xml:space="preserve">    ---- </v>
      </c>
      <c r="AL54" s="545"/>
      <c r="AM54" s="545"/>
      <c r="AN54" s="545"/>
      <c r="AO54" s="545"/>
    </row>
    <row r="55" spans="1:41" ht="18.75" customHeight="1" x14ac:dyDescent="0.3">
      <c r="A55" s="411" t="s">
        <v>329</v>
      </c>
      <c r="B55" s="709"/>
      <c r="C55" s="728"/>
      <c r="D55" s="442"/>
      <c r="E55" s="430"/>
      <c r="F55" s="431"/>
      <c r="G55" s="442"/>
      <c r="H55" s="430"/>
      <c r="I55" s="431"/>
      <c r="J55" s="442"/>
      <c r="K55" s="430"/>
      <c r="L55" s="431"/>
      <c r="M55" s="431"/>
      <c r="N55" s="430"/>
      <c r="O55" s="431"/>
      <c r="P55" s="442"/>
      <c r="Q55" s="430">
        <v>-13.510841640000001</v>
      </c>
      <c r="R55" s="431">
        <v>-13.029679640000001</v>
      </c>
      <c r="S55" s="442">
        <f>IF(Q55=0, "    ---- ", IF(ABS(ROUND(100/Q55*R55-100,1))&lt;999,ROUND(100/Q55*R55-100,1),IF(ROUND(100/Q55*R55-100,1)&gt;999,999,-999)))</f>
        <v>-3.6</v>
      </c>
      <c r="T55" s="430"/>
      <c r="U55" s="431"/>
      <c r="V55" s="442"/>
      <c r="W55" s="430"/>
      <c r="X55" s="431"/>
      <c r="Y55" s="442"/>
      <c r="Z55" s="430"/>
      <c r="AA55" s="431"/>
      <c r="AB55" s="442"/>
      <c r="AC55" s="431"/>
      <c r="AD55" s="431"/>
      <c r="AE55" s="431"/>
      <c r="AF55" s="431">
        <f t="shared" si="32"/>
        <v>-13.510841640000001</v>
      </c>
      <c r="AG55" s="431">
        <f t="shared" si="32"/>
        <v>-13.029679640000001</v>
      </c>
      <c r="AH55" s="442">
        <f t="shared" si="22"/>
        <v>-3.6</v>
      </c>
      <c r="AI55" s="425">
        <f t="shared" si="33"/>
        <v>-13.510841640000001</v>
      </c>
      <c r="AJ55" s="425">
        <f t="shared" si="33"/>
        <v>-13.029679640000001</v>
      </c>
      <c r="AK55" s="442">
        <f t="shared" si="23"/>
        <v>-3.6</v>
      </c>
      <c r="AL55" s="545"/>
      <c r="AM55" s="545"/>
      <c r="AN55" s="545"/>
      <c r="AO55" s="545"/>
    </row>
    <row r="56" spans="1:41" s="561" customFormat="1" ht="18.75" customHeight="1" x14ac:dyDescent="0.3">
      <c r="A56" s="528" t="s">
        <v>330</v>
      </c>
      <c r="B56" s="710">
        <f>SUM(B48:B53)+B55</f>
        <v>16595</v>
      </c>
      <c r="C56" s="729">
        <f>SUM(C48:C53)+C55</f>
        <v>22371.981069999998</v>
      </c>
      <c r="D56" s="443">
        <f>IF(B56=0, "    ---- ", IF(ABS(ROUND(100/B56*C56-100,1))&lt;999,ROUND(100/B56*C56-100,1),IF(ROUND(100/B56*C56-100,1)&gt;999,999,-999)))</f>
        <v>34.799999999999997</v>
      </c>
      <c r="E56" s="432"/>
      <c r="F56" s="433"/>
      <c r="G56" s="443"/>
      <c r="H56" s="432"/>
      <c r="I56" s="433"/>
      <c r="J56" s="443"/>
      <c r="K56" s="432">
        <f>SUM(K48:K53)+K55</f>
        <v>141</v>
      </c>
      <c r="L56" s="433">
        <f>SUM(L48:L53)+L55</f>
        <v>248</v>
      </c>
      <c r="M56" s="433">
        <f>IF(K56=0, "    ---- ", IF(ABS(ROUND(100/K56*L56-100,1))&lt;999,ROUND(100/K56*L56-100,1),IF(ROUND(100/K56*L56-100,1)&gt;999,999,-999)))</f>
        <v>75.900000000000006</v>
      </c>
      <c r="N56" s="432"/>
      <c r="O56" s="433"/>
      <c r="P56" s="443"/>
      <c r="Q56" s="432">
        <f>SUM(Q48:Q53)+Q55</f>
        <v>129.04854641574255</v>
      </c>
      <c r="R56" s="433">
        <f>SUM(R48:R53)+R55</f>
        <v>247.06220544662111</v>
      </c>
      <c r="S56" s="443">
        <f>IF(Q56=0, "    ---- ", IF(ABS(ROUND(100/Q56*R56-100,1))&lt;999,ROUND(100/Q56*R56-100,1),IF(ROUND(100/Q56*R56-100,1)&gt;999,999,-999)))</f>
        <v>91.4</v>
      </c>
      <c r="T56" s="432"/>
      <c r="U56" s="433"/>
      <c r="V56" s="443"/>
      <c r="W56" s="432">
        <f>SUM(W48:W53)+W55</f>
        <v>-24</v>
      </c>
      <c r="X56" s="433">
        <f>SUM(X48:X53)+X55</f>
        <v>-35</v>
      </c>
      <c r="Y56" s="443">
        <f>IF(W56=0, "    ---- ", IF(ABS(ROUND(100/W56*X56-100,1))&lt;999,ROUND(100/W56*X56-100,1),IF(ROUND(100/W56*X56-100,1)&gt;999,999,-999)))</f>
        <v>45.8</v>
      </c>
      <c r="Z56" s="432">
        <f>SUM(Z48:Z53)+Z55</f>
        <v>250.18041276492352</v>
      </c>
      <c r="AA56" s="433">
        <f>SUM(AA48:AA53)+AA55</f>
        <v>369.88352528001246</v>
      </c>
      <c r="AB56" s="443">
        <f>IF(Z56=0, "    ---- ", IF(ABS(ROUND(100/Z56*AA56-100,1))&lt;999,ROUND(100/Z56*AA56-100,1),IF(ROUND(100/Z56*AA56-100,1)&gt;999,999,-999)))</f>
        <v>47.8</v>
      </c>
      <c r="AC56" s="433"/>
      <c r="AD56" s="433"/>
      <c r="AE56" s="433"/>
      <c r="AF56" s="433">
        <f t="shared" si="32"/>
        <v>17091.228959180666</v>
      </c>
      <c r="AG56" s="433">
        <f t="shared" si="32"/>
        <v>23201.926800726633</v>
      </c>
      <c r="AH56" s="443">
        <f t="shared" si="22"/>
        <v>35.799999999999997</v>
      </c>
      <c r="AI56" s="423">
        <f t="shared" si="33"/>
        <v>17091.228959180666</v>
      </c>
      <c r="AJ56" s="423">
        <f t="shared" si="33"/>
        <v>23201.926800726633</v>
      </c>
      <c r="AK56" s="443">
        <f t="shared" si="23"/>
        <v>35.799999999999997</v>
      </c>
      <c r="AL56" s="548"/>
      <c r="AM56" s="548"/>
      <c r="AN56" s="548"/>
      <c r="AO56" s="548"/>
    </row>
    <row r="57" spans="1:41" ht="18.75" customHeight="1" x14ac:dyDescent="0.3">
      <c r="A57" s="411" t="s">
        <v>331</v>
      </c>
      <c r="B57" s="709">
        <v>16317</v>
      </c>
      <c r="C57" s="728">
        <v>22040</v>
      </c>
      <c r="D57" s="431">
        <f>IF(B57=0, "    ---- ", IF(ABS(ROUND(100/B57*C57-100,1))&lt;999,ROUND(100/B57*C57-100,1),IF(ROUND(100/B57*C57-100,1)&gt;999,999,-999)))</f>
        <v>35.1</v>
      </c>
      <c r="E57" s="430"/>
      <c r="F57" s="431"/>
      <c r="G57" s="442"/>
      <c r="H57" s="430"/>
      <c r="I57" s="431"/>
      <c r="J57" s="442"/>
      <c r="K57" s="430">
        <v>26</v>
      </c>
      <c r="L57" s="431">
        <v>40</v>
      </c>
      <c r="M57" s="431">
        <f>IF(K57=0, "    ---- ", IF(ABS(ROUND(100/K57*L57-100,1))&lt;999,ROUND(100/K57*L57-100,1),IF(ROUND(100/K57*L57-100,1)&gt;999,999,-999)))</f>
        <v>53.8</v>
      </c>
      <c r="N57" s="430"/>
      <c r="O57" s="431"/>
      <c r="P57" s="442"/>
      <c r="Q57" s="430">
        <v>0</v>
      </c>
      <c r="R57" s="431">
        <v>0</v>
      </c>
      <c r="S57" s="442" t="str">
        <f>IF(Q57=0, "    ---- ", IF(ABS(ROUND(100/Q57*R57-100,1))&lt;999,ROUND(100/Q57*R57-100,1),IF(ROUND(100/Q57*R57-100,1)&gt;999,999,-999)))</f>
        <v xml:space="preserve">    ---- </v>
      </c>
      <c r="T57" s="430"/>
      <c r="U57" s="431"/>
      <c r="V57" s="442"/>
      <c r="W57" s="430"/>
      <c r="X57" s="431"/>
      <c r="Y57" s="442"/>
      <c r="Z57" s="430"/>
      <c r="AA57" s="431"/>
      <c r="AB57" s="442"/>
      <c r="AC57" s="431"/>
      <c r="AD57" s="431"/>
      <c r="AE57" s="431"/>
      <c r="AF57" s="431">
        <f t="shared" si="32"/>
        <v>16343</v>
      </c>
      <c r="AG57" s="431">
        <f t="shared" si="32"/>
        <v>22080</v>
      </c>
      <c r="AH57" s="442">
        <f t="shared" si="22"/>
        <v>35.1</v>
      </c>
      <c r="AI57" s="425">
        <f t="shared" si="33"/>
        <v>16343</v>
      </c>
      <c r="AJ57" s="425">
        <f t="shared" si="33"/>
        <v>22080</v>
      </c>
      <c r="AK57" s="442">
        <f t="shared" si="23"/>
        <v>35.1</v>
      </c>
      <c r="AL57" s="545"/>
      <c r="AM57" s="545"/>
      <c r="AN57" s="545"/>
      <c r="AO57" s="545"/>
    </row>
    <row r="58" spans="1:41" ht="18.75" customHeight="1" x14ac:dyDescent="0.3">
      <c r="A58" s="411" t="s">
        <v>332</v>
      </c>
      <c r="B58" s="709">
        <v>278</v>
      </c>
      <c r="C58" s="728">
        <v>332</v>
      </c>
      <c r="D58" s="442">
        <f>IF(B58=0, "    ---- ", IF(ABS(ROUND(100/B58*C58-100,1))&lt;999,ROUND(100/B58*C58-100,1),IF(ROUND(100/B58*C58-100,1)&gt;999,999,-999)))</f>
        <v>19.399999999999999</v>
      </c>
      <c r="E58" s="430"/>
      <c r="F58" s="431"/>
      <c r="G58" s="442"/>
      <c r="H58" s="430"/>
      <c r="I58" s="431"/>
      <c r="J58" s="442"/>
      <c r="K58" s="430">
        <v>115</v>
      </c>
      <c r="L58" s="431">
        <v>208</v>
      </c>
      <c r="M58" s="431">
        <f>IF(K58=0, "    ---- ", IF(ABS(ROUND(100/K58*L58-100,1))&lt;999,ROUND(100/K58*L58-100,1),IF(ROUND(100/K58*L58-100,1)&gt;999,999,-999)))</f>
        <v>80.900000000000006</v>
      </c>
      <c r="N58" s="430"/>
      <c r="O58" s="431"/>
      <c r="P58" s="442"/>
      <c r="Q58" s="430">
        <v>129.04854641574255</v>
      </c>
      <c r="R58" s="431">
        <v>247.06220544662111</v>
      </c>
      <c r="S58" s="442">
        <f>IF(Q58=0, "    ---- ", IF(ABS(ROUND(100/Q58*R58-100,1))&lt;999,ROUND(100/Q58*R58-100,1),IF(ROUND(100/Q58*R58-100,1)&gt;999,999,-999)))</f>
        <v>91.4</v>
      </c>
      <c r="T58" s="430"/>
      <c r="U58" s="431"/>
      <c r="V58" s="442"/>
      <c r="W58" s="430">
        <v>-24</v>
      </c>
      <c r="X58" s="431">
        <v>-35</v>
      </c>
      <c r="Y58" s="442">
        <f>IF(W58=0, "    ---- ", IF(ABS(ROUND(100/W58*X58-100,1))&lt;999,ROUND(100/W58*X58-100,1),IF(ROUND(100/W58*X58-100,1)&gt;999,999,-999)))</f>
        <v>45.8</v>
      </c>
      <c r="Z58" s="430">
        <v>250.18041276492352</v>
      </c>
      <c r="AA58" s="431">
        <v>369.88352528001201</v>
      </c>
      <c r="AB58" s="442">
        <f>IF(Z58=0, "    ---- ", IF(ABS(ROUND(100/Z58*AA58-100,1))&lt;999,ROUND(100/Z58*AA58-100,1),IF(ROUND(100/Z58*AA58-100,1)&gt;999,999,-999)))</f>
        <v>47.8</v>
      </c>
      <c r="AC58" s="431"/>
      <c r="AD58" s="431"/>
      <c r="AE58" s="431"/>
      <c r="AF58" s="431">
        <f t="shared" si="32"/>
        <v>748.22895918066604</v>
      </c>
      <c r="AG58" s="431">
        <f t="shared" si="32"/>
        <v>1121.945730726633</v>
      </c>
      <c r="AH58" s="442">
        <f t="shared" si="22"/>
        <v>49.9</v>
      </c>
      <c r="AI58" s="425">
        <f t="shared" si="33"/>
        <v>748.22895918066604</v>
      </c>
      <c r="AJ58" s="425">
        <f t="shared" si="33"/>
        <v>1121.945730726633</v>
      </c>
      <c r="AK58" s="442">
        <f t="shared" si="23"/>
        <v>49.9</v>
      </c>
      <c r="AL58" s="545"/>
      <c r="AM58" s="545"/>
      <c r="AN58" s="545"/>
      <c r="AO58" s="545"/>
    </row>
    <row r="59" spans="1:41" ht="18.75" customHeight="1" x14ac:dyDescent="0.3">
      <c r="A59" s="562" t="s">
        <v>346</v>
      </c>
      <c r="B59" s="709"/>
      <c r="C59" s="728"/>
      <c r="D59" s="442"/>
      <c r="E59" s="430"/>
      <c r="F59" s="431"/>
      <c r="G59" s="442"/>
      <c r="H59" s="430"/>
      <c r="I59" s="431"/>
      <c r="J59" s="442"/>
      <c r="K59" s="430"/>
      <c r="L59" s="431"/>
      <c r="M59" s="431"/>
      <c r="N59" s="430"/>
      <c r="O59" s="431"/>
      <c r="P59" s="442"/>
      <c r="Q59" s="430"/>
      <c r="R59" s="431"/>
      <c r="S59" s="442"/>
      <c r="T59" s="430"/>
      <c r="U59" s="431"/>
      <c r="V59" s="442"/>
      <c r="W59" s="430"/>
      <c r="X59" s="431"/>
      <c r="Y59" s="442"/>
      <c r="Z59" s="430"/>
      <c r="AA59" s="431"/>
      <c r="AB59" s="442"/>
      <c r="AC59" s="431"/>
      <c r="AD59" s="431"/>
      <c r="AE59" s="431"/>
      <c r="AF59" s="431">
        <f t="shared" ref="AF59" si="34">B59+E59+H59+K59+N59+Q59+T59+W59+Z59</f>
        <v>0</v>
      </c>
      <c r="AG59" s="431">
        <f t="shared" ref="AG59" si="35">C59+F59+I59+L59+O59+R59+U59+X59+AA59</f>
        <v>0</v>
      </c>
      <c r="AH59" s="442" t="str">
        <f t="shared" ref="AH59" si="36">IF(AF59=0, "    ---- ", IF(ABS(ROUND(100/AF59*AG59-100,1))&lt;999,ROUND(100/AF59*AG59-100,1),IF(ROUND(100/AF59*AG59-100,1)&gt;999,999,-999)))</f>
        <v xml:space="preserve">    ---- </v>
      </c>
      <c r="AI59" s="425">
        <f t="shared" ref="AI59" si="37">B59+E59+H59+K59+N59+Q59+T59+W59+Z59+AC59</f>
        <v>0</v>
      </c>
      <c r="AJ59" s="425">
        <f t="shared" ref="AJ59" si="38">C59+F59+I59+L59+O59+R59+U59+X59+AA59+AD59</f>
        <v>0</v>
      </c>
      <c r="AK59" s="442" t="str">
        <f t="shared" ref="AK59" si="39">IF(AI59=0, "    ---- ", IF(ABS(ROUND(100/AI59*AJ59-100,1))&lt;999,ROUND(100/AI59*AJ59-100,1),IF(ROUND(100/AI59*AJ59-100,1)&gt;999,999,-999)))</f>
        <v xml:space="preserve">    ---- </v>
      </c>
      <c r="AL59" s="545"/>
      <c r="AM59" s="545"/>
      <c r="AN59" s="545"/>
      <c r="AO59" s="545"/>
    </row>
    <row r="60" spans="1:41" ht="18.75" customHeight="1" x14ac:dyDescent="0.3">
      <c r="A60" s="760" t="s">
        <v>492</v>
      </c>
      <c r="B60" s="709"/>
      <c r="C60" s="728"/>
      <c r="D60" s="442"/>
      <c r="E60" s="430"/>
      <c r="F60" s="431"/>
      <c r="G60" s="442"/>
      <c r="H60" s="430"/>
      <c r="I60" s="431"/>
      <c r="J60" s="442"/>
      <c r="K60" s="430"/>
      <c r="L60" s="431"/>
      <c r="M60" s="431"/>
      <c r="N60" s="430"/>
      <c r="O60" s="431"/>
      <c r="P60" s="442"/>
      <c r="Q60" s="430"/>
      <c r="R60" s="431"/>
      <c r="S60" s="442"/>
      <c r="T60" s="430"/>
      <c r="U60" s="431"/>
      <c r="V60" s="442"/>
      <c r="W60" s="430">
        <v>-40</v>
      </c>
      <c r="X60" s="431">
        <v>242</v>
      </c>
      <c r="Y60" s="442">
        <f t="shared" ref="Y60:Y70" si="40">IF(W60=0, "    ---- ", IF(ABS(ROUND(100/W60*X60-100,1))&lt;999,ROUND(100/W60*X60-100,1),IF(ROUND(100/W60*X60-100,1)&gt;999,999,-999)))</f>
        <v>-705</v>
      </c>
      <c r="Z60" s="430">
        <v>-14.046798295140007</v>
      </c>
      <c r="AA60" s="431">
        <v>235.65435496000001</v>
      </c>
      <c r="AB60" s="442">
        <f t="shared" ref="AB60:AB62" si="41">IF(Z60=0, "    ---- ", IF(ABS(ROUND(100/Z60*AA60-100,1))&lt;999,ROUND(100/Z60*AA60-100,1),IF(ROUND(100/Z60*AA60-100,1)&gt;999,999,-999)))</f>
        <v>-999</v>
      </c>
      <c r="AC60" s="431"/>
      <c r="AD60" s="431"/>
      <c r="AE60" s="431"/>
      <c r="AF60" s="431">
        <f t="shared" ref="AF60:AG61" si="42">B60+E60+H60+K60+N60+Q60+T60+W60+Z60</f>
        <v>-54.046798295140007</v>
      </c>
      <c r="AG60" s="431">
        <f t="shared" si="42"/>
        <v>477.65435495999998</v>
      </c>
      <c r="AH60" s="442"/>
      <c r="AI60" s="425">
        <f t="shared" si="33"/>
        <v>-54.046798295140007</v>
      </c>
      <c r="AJ60" s="425">
        <f t="shared" si="33"/>
        <v>477.65435495999998</v>
      </c>
      <c r="AK60" s="442">
        <f t="shared" si="23"/>
        <v>-983.8</v>
      </c>
      <c r="AL60" s="545"/>
      <c r="AM60" s="545"/>
      <c r="AN60" s="545"/>
      <c r="AO60" s="545"/>
    </row>
    <row r="61" spans="1:41" ht="18.75" customHeight="1" x14ac:dyDescent="0.3">
      <c r="A61" s="411" t="s">
        <v>493</v>
      </c>
      <c r="B61" s="709"/>
      <c r="C61" s="714"/>
      <c r="D61" s="442"/>
      <c r="E61" s="430"/>
      <c r="F61" s="431"/>
      <c r="G61" s="442"/>
      <c r="H61" s="430"/>
      <c r="I61" s="431"/>
      <c r="J61" s="442"/>
      <c r="K61" s="430"/>
      <c r="L61" s="431"/>
      <c r="M61" s="431"/>
      <c r="N61" s="430"/>
      <c r="O61" s="431"/>
      <c r="P61" s="442"/>
      <c r="Q61" s="430"/>
      <c r="R61" s="431"/>
      <c r="S61" s="442"/>
      <c r="T61" s="430"/>
      <c r="U61" s="431"/>
      <c r="V61" s="442"/>
      <c r="W61" s="430">
        <v>30</v>
      </c>
      <c r="X61" s="431">
        <v>-210</v>
      </c>
      <c r="Y61" s="442"/>
      <c r="Z61" s="430">
        <v>46.309216999999997</v>
      </c>
      <c r="AA61" s="431">
        <v>-115.747466</v>
      </c>
      <c r="AB61" s="442">
        <f t="shared" si="41"/>
        <v>-349.9</v>
      </c>
      <c r="AC61" s="431"/>
      <c r="AD61" s="431"/>
      <c r="AE61" s="431"/>
      <c r="AF61" s="431">
        <f t="shared" si="42"/>
        <v>76.30921699999999</v>
      </c>
      <c r="AG61" s="431">
        <f t="shared" si="42"/>
        <v>-325.74746600000003</v>
      </c>
      <c r="AH61" s="442">
        <f t="shared" ref="AH61" si="43">IF(AF61=0, "    ---- ", IF(ABS(ROUND(100/AF61*AG61-100,1))&lt;999,ROUND(100/AF61*AG61-100,1),IF(ROUND(100/AF61*AG61-100,1)&gt;999,999,-999)))</f>
        <v>-526.9</v>
      </c>
      <c r="AI61" s="425">
        <f t="shared" ref="AI61" si="44">B61+E61+H61+K61+N61+Q61+T61+W61+Z61+AC61</f>
        <v>76.30921699999999</v>
      </c>
      <c r="AJ61" s="425">
        <f t="shared" ref="AJ61" si="45">C61+F61+I61+L61+O61+R61+U61+X61+AA61+AD61</f>
        <v>-325.74746600000003</v>
      </c>
      <c r="AK61" s="442">
        <f t="shared" ref="AK61" si="46">IF(AI61=0, "    ---- ", IF(ABS(ROUND(100/AI61*AJ61-100,1))&lt;999,ROUND(100/AI61*AJ61-100,1),IF(ROUND(100/AI61*AJ61-100,1)&gt;999,999,-999)))</f>
        <v>-526.9</v>
      </c>
      <c r="AL61" s="545"/>
      <c r="AM61" s="545"/>
      <c r="AN61" s="545"/>
      <c r="AO61" s="545"/>
    </row>
    <row r="62" spans="1:41" ht="18.75" customHeight="1" x14ac:dyDescent="0.3">
      <c r="A62" s="563" t="s">
        <v>324</v>
      </c>
      <c r="B62" s="709"/>
      <c r="C62" s="728"/>
      <c r="D62" s="442"/>
      <c r="E62" s="430"/>
      <c r="F62" s="431"/>
      <c r="G62" s="442"/>
      <c r="H62" s="430"/>
      <c r="I62" s="431"/>
      <c r="J62" s="442"/>
      <c r="K62" s="430"/>
      <c r="L62" s="431"/>
      <c r="M62" s="431"/>
      <c r="N62" s="430"/>
      <c r="O62" s="431"/>
      <c r="P62" s="442"/>
      <c r="Q62" s="430"/>
      <c r="R62" s="431"/>
      <c r="S62" s="442"/>
      <c r="T62" s="430"/>
      <c r="U62" s="431"/>
      <c r="V62" s="442"/>
      <c r="W62" s="430">
        <v>-46</v>
      </c>
      <c r="X62" s="431">
        <v>-48</v>
      </c>
      <c r="Y62" s="442">
        <f t="shared" si="40"/>
        <v>4.3</v>
      </c>
      <c r="Z62" s="430">
        <v>14.774320745999994</v>
      </c>
      <c r="AA62" s="431">
        <v>2.9665435800000099</v>
      </c>
      <c r="AB62" s="442">
        <f t="shared" si="41"/>
        <v>-79.900000000000006</v>
      </c>
      <c r="AC62" s="431"/>
      <c r="AD62" s="431"/>
      <c r="AE62" s="431"/>
      <c r="AF62" s="431">
        <f t="shared" ref="AF62:AG70" si="47">B62+E62+H62+K62+N62+Q62+T62+W62+Z62</f>
        <v>-31.225679254000006</v>
      </c>
      <c r="AG62" s="431">
        <f t="shared" si="47"/>
        <v>-45.033456419999993</v>
      </c>
      <c r="AH62" s="442"/>
      <c r="AI62" s="425">
        <f t="shared" ref="AI62:AJ70" si="48">B62+E62+H62+K62+N62+Q62+T62+W62+Z62+AC62</f>
        <v>-31.225679254000006</v>
      </c>
      <c r="AJ62" s="425">
        <f t="shared" si="48"/>
        <v>-45.033456419999993</v>
      </c>
      <c r="AK62" s="442">
        <f t="shared" si="23"/>
        <v>44.2</v>
      </c>
      <c r="AL62" s="545"/>
      <c r="AM62" s="545"/>
      <c r="AN62" s="545"/>
      <c r="AO62" s="545"/>
    </row>
    <row r="63" spans="1:41" ht="18.75" customHeight="1" x14ac:dyDescent="0.3">
      <c r="A63" s="563" t="s">
        <v>325</v>
      </c>
      <c r="B63" s="709"/>
      <c r="C63" s="728"/>
      <c r="D63" s="442"/>
      <c r="E63" s="430"/>
      <c r="F63" s="431"/>
      <c r="G63" s="442"/>
      <c r="H63" s="430"/>
      <c r="I63" s="431"/>
      <c r="J63" s="442"/>
      <c r="K63" s="430"/>
      <c r="L63" s="431"/>
      <c r="M63" s="431"/>
      <c r="N63" s="430"/>
      <c r="O63" s="431"/>
      <c r="P63" s="442"/>
      <c r="Q63" s="430"/>
      <c r="R63" s="431"/>
      <c r="S63" s="442"/>
      <c r="T63" s="430"/>
      <c r="U63" s="431"/>
      <c r="V63" s="442"/>
      <c r="W63" s="430"/>
      <c r="X63" s="431"/>
      <c r="Y63" s="442"/>
      <c r="Z63" s="430">
        <v>1.4030000000000001E-2</v>
      </c>
      <c r="AA63" s="431">
        <v>1.6004000000000001E-2</v>
      </c>
      <c r="AB63" s="442">
        <f>IF(Z63=0, "    ---- ", IF(ABS(ROUND(100/Z63*AA63-100,1))&lt;999,ROUND(100/Z63*AA63-100,1),IF(ROUND(100/Z63*AA63-100,1)&gt;999,999,-999)))</f>
        <v>14.1</v>
      </c>
      <c r="AC63" s="431"/>
      <c r="AD63" s="431"/>
      <c r="AE63" s="431"/>
      <c r="AF63" s="431">
        <f t="shared" si="47"/>
        <v>1.4030000000000001E-2</v>
      </c>
      <c r="AG63" s="431">
        <f t="shared" si="47"/>
        <v>1.6004000000000001E-2</v>
      </c>
      <c r="AH63" s="442"/>
      <c r="AI63" s="425">
        <f t="shared" si="48"/>
        <v>1.4030000000000001E-2</v>
      </c>
      <c r="AJ63" s="425">
        <f t="shared" si="48"/>
        <v>1.6004000000000001E-2</v>
      </c>
      <c r="AK63" s="442">
        <f t="shared" si="23"/>
        <v>14.1</v>
      </c>
      <c r="AL63" s="545"/>
      <c r="AM63" s="545"/>
      <c r="AN63" s="545"/>
      <c r="AO63" s="545"/>
    </row>
    <row r="64" spans="1:41" ht="18.75" customHeight="1" x14ac:dyDescent="0.3">
      <c r="A64" s="563" t="s">
        <v>326</v>
      </c>
      <c r="B64" s="709"/>
      <c r="C64" s="728"/>
      <c r="D64" s="442"/>
      <c r="E64" s="430"/>
      <c r="F64" s="431"/>
      <c r="G64" s="442"/>
      <c r="H64" s="430"/>
      <c r="I64" s="431"/>
      <c r="J64" s="442"/>
      <c r="K64" s="430"/>
      <c r="L64" s="431"/>
      <c r="M64" s="431"/>
      <c r="N64" s="430"/>
      <c r="O64" s="431"/>
      <c r="P64" s="442"/>
      <c r="Q64" s="430"/>
      <c r="R64" s="431"/>
      <c r="S64" s="442"/>
      <c r="T64" s="430"/>
      <c r="U64" s="431"/>
      <c r="V64" s="442"/>
      <c r="W64" s="430">
        <v>30</v>
      </c>
      <c r="X64" s="431">
        <v>29</v>
      </c>
      <c r="Y64" s="442">
        <f t="shared" si="40"/>
        <v>-3.3</v>
      </c>
      <c r="Z64" s="430">
        <v>37.379664999999996</v>
      </c>
      <c r="AA64" s="431">
        <v>32.885567999999999</v>
      </c>
      <c r="AB64" s="442">
        <f t="shared" ref="AB64:AB82" si="49">IF(Z64=0, "    ---- ", IF(ABS(ROUND(100/Z64*AA64-100,1))&lt;999,ROUND(100/Z64*AA64-100,1),IF(ROUND(100/Z64*AA64-100,1)&gt;999,999,-999)))</f>
        <v>-12</v>
      </c>
      <c r="AC64" s="431"/>
      <c r="AD64" s="431"/>
      <c r="AE64" s="431"/>
      <c r="AF64" s="431">
        <f t="shared" si="47"/>
        <v>67.379664999999989</v>
      </c>
      <c r="AG64" s="431">
        <f t="shared" si="47"/>
        <v>61.885567999999999</v>
      </c>
      <c r="AH64" s="442"/>
      <c r="AI64" s="425">
        <f t="shared" si="48"/>
        <v>67.379664999999989</v>
      </c>
      <c r="AJ64" s="425">
        <f t="shared" si="48"/>
        <v>61.885567999999999</v>
      </c>
      <c r="AK64" s="442">
        <f t="shared" si="23"/>
        <v>-8.1999999999999993</v>
      </c>
      <c r="AL64" s="545"/>
      <c r="AM64" s="545"/>
      <c r="AN64" s="545"/>
      <c r="AO64" s="545"/>
    </row>
    <row r="65" spans="1:41" ht="18.75" customHeight="1" x14ac:dyDescent="0.3">
      <c r="A65" s="563" t="s">
        <v>327</v>
      </c>
      <c r="B65" s="709"/>
      <c r="C65" s="728"/>
      <c r="D65" s="442"/>
      <c r="E65" s="430"/>
      <c r="F65" s="431"/>
      <c r="G65" s="442"/>
      <c r="H65" s="430"/>
      <c r="I65" s="431"/>
      <c r="J65" s="442"/>
      <c r="K65" s="430"/>
      <c r="L65" s="431"/>
      <c r="M65" s="431"/>
      <c r="N65" s="430"/>
      <c r="O65" s="431"/>
      <c r="P65" s="442"/>
      <c r="Q65" s="430"/>
      <c r="R65" s="431"/>
      <c r="S65" s="442"/>
      <c r="T65" s="430"/>
      <c r="U65" s="431"/>
      <c r="V65" s="442"/>
      <c r="W65" s="430">
        <v>33</v>
      </c>
      <c r="X65" s="431">
        <v>31</v>
      </c>
      <c r="Y65" s="442">
        <f t="shared" si="40"/>
        <v>-6.1</v>
      </c>
      <c r="Z65" s="430">
        <v>60.140200254541469</v>
      </c>
      <c r="AA65" s="431">
        <v>52.648822460000098</v>
      </c>
      <c r="AB65" s="442">
        <f t="shared" si="49"/>
        <v>-12.5</v>
      </c>
      <c r="AC65" s="431"/>
      <c r="AD65" s="431"/>
      <c r="AE65" s="431"/>
      <c r="AF65" s="431">
        <f t="shared" si="47"/>
        <v>93.140200254541469</v>
      </c>
      <c r="AG65" s="431">
        <f t="shared" si="47"/>
        <v>83.648822460000105</v>
      </c>
      <c r="AH65" s="442"/>
      <c r="AI65" s="425">
        <f t="shared" si="48"/>
        <v>93.140200254541469</v>
      </c>
      <c r="AJ65" s="425">
        <f t="shared" si="48"/>
        <v>83.648822460000105</v>
      </c>
      <c r="AK65" s="442">
        <f t="shared" si="23"/>
        <v>-10.199999999999999</v>
      </c>
      <c r="AL65" s="545"/>
      <c r="AM65" s="545"/>
      <c r="AN65" s="545"/>
      <c r="AO65" s="545"/>
    </row>
    <row r="66" spans="1:41" ht="18.75" customHeight="1" x14ac:dyDescent="0.3">
      <c r="A66" s="563" t="s">
        <v>328</v>
      </c>
      <c r="B66" s="709"/>
      <c r="C66" s="728"/>
      <c r="D66" s="442"/>
      <c r="E66" s="430"/>
      <c r="F66" s="431"/>
      <c r="G66" s="442"/>
      <c r="H66" s="430"/>
      <c r="I66" s="431"/>
      <c r="J66" s="442"/>
      <c r="K66" s="430"/>
      <c r="L66" s="431"/>
      <c r="M66" s="431"/>
      <c r="N66" s="430"/>
      <c r="O66" s="431"/>
      <c r="P66" s="442"/>
      <c r="Q66" s="430"/>
      <c r="R66" s="431"/>
      <c r="S66" s="442"/>
      <c r="T66" s="430"/>
      <c r="U66" s="431"/>
      <c r="V66" s="442"/>
      <c r="W66" s="430"/>
      <c r="X66" s="431"/>
      <c r="Y66" s="442"/>
      <c r="Z66" s="430">
        <v>34.49612816265028</v>
      </c>
      <c r="AA66" s="431">
        <v>29.307898999999999</v>
      </c>
      <c r="AB66" s="442">
        <f t="shared" si="49"/>
        <v>-15</v>
      </c>
      <c r="AC66" s="431"/>
      <c r="AD66" s="431"/>
      <c r="AE66" s="431"/>
      <c r="AF66" s="431">
        <f t="shared" si="47"/>
        <v>34.49612816265028</v>
      </c>
      <c r="AG66" s="431">
        <f t="shared" si="47"/>
        <v>29.307898999999999</v>
      </c>
      <c r="AH66" s="442"/>
      <c r="AI66" s="425">
        <f t="shared" si="48"/>
        <v>34.49612816265028</v>
      </c>
      <c r="AJ66" s="425">
        <f t="shared" si="48"/>
        <v>29.307898999999999</v>
      </c>
      <c r="AK66" s="442">
        <f t="shared" si="23"/>
        <v>-15</v>
      </c>
      <c r="AL66" s="545"/>
      <c r="AM66" s="545"/>
      <c r="AN66" s="545"/>
      <c r="AO66" s="545"/>
    </row>
    <row r="67" spans="1:41" ht="18.75" customHeight="1" x14ac:dyDescent="0.3">
      <c r="A67" s="563" t="s">
        <v>329</v>
      </c>
      <c r="B67" s="709"/>
      <c r="C67" s="728"/>
      <c r="D67" s="442"/>
      <c r="E67" s="430"/>
      <c r="F67" s="431"/>
      <c r="G67" s="442"/>
      <c r="H67" s="430"/>
      <c r="I67" s="431"/>
      <c r="J67" s="442"/>
      <c r="K67" s="430"/>
      <c r="L67" s="431"/>
      <c r="M67" s="431"/>
      <c r="N67" s="430"/>
      <c r="O67" s="431"/>
      <c r="P67" s="442"/>
      <c r="Q67" s="430"/>
      <c r="R67" s="431"/>
      <c r="S67" s="442"/>
      <c r="T67" s="430"/>
      <c r="U67" s="431"/>
      <c r="V67" s="442"/>
      <c r="W67" s="430"/>
      <c r="X67" s="431"/>
      <c r="Y67" s="442"/>
      <c r="Z67" s="430">
        <v>-5.5329999999999997E-3</v>
      </c>
      <c r="AA67" s="431">
        <v>1.6004000000000001E-2</v>
      </c>
      <c r="AB67" s="442">
        <f t="shared" si="49"/>
        <v>-389.2</v>
      </c>
      <c r="AC67" s="431"/>
      <c r="AD67" s="431"/>
      <c r="AE67" s="431"/>
      <c r="AF67" s="431">
        <f t="shared" si="47"/>
        <v>-5.5329999999999997E-3</v>
      </c>
      <c r="AG67" s="431">
        <f t="shared" si="47"/>
        <v>1.6004000000000001E-2</v>
      </c>
      <c r="AH67" s="442"/>
      <c r="AI67" s="425">
        <f t="shared" si="48"/>
        <v>-5.5329999999999997E-3</v>
      </c>
      <c r="AJ67" s="425">
        <f t="shared" si="48"/>
        <v>1.6004000000000001E-2</v>
      </c>
      <c r="AK67" s="442">
        <f t="shared" si="23"/>
        <v>-389.2</v>
      </c>
      <c r="AL67" s="545"/>
      <c r="AM67" s="545"/>
      <c r="AN67" s="545"/>
      <c r="AO67" s="545"/>
    </row>
    <row r="68" spans="1:41" s="561" customFormat="1" ht="18.75" customHeight="1" x14ac:dyDescent="0.3">
      <c r="A68" s="562" t="s">
        <v>330</v>
      </c>
      <c r="B68" s="710"/>
      <c r="C68" s="729"/>
      <c r="D68" s="443"/>
      <c r="E68" s="432"/>
      <c r="F68" s="433"/>
      <c r="G68" s="443"/>
      <c r="H68" s="432"/>
      <c r="I68" s="433"/>
      <c r="J68" s="443"/>
      <c r="K68" s="432"/>
      <c r="L68" s="433"/>
      <c r="M68" s="433"/>
      <c r="N68" s="432"/>
      <c r="O68" s="433"/>
      <c r="P68" s="443"/>
      <c r="Q68" s="432"/>
      <c r="R68" s="433"/>
      <c r="S68" s="443"/>
      <c r="T68" s="432"/>
      <c r="U68" s="433"/>
      <c r="V68" s="443"/>
      <c r="W68" s="432">
        <f>SUM(W60:W65)+W67</f>
        <v>7</v>
      </c>
      <c r="X68" s="433">
        <f>SUM(X60:X65)+X67</f>
        <v>44</v>
      </c>
      <c r="Y68" s="443">
        <f t="shared" si="40"/>
        <v>528.6</v>
      </c>
      <c r="Z68" s="432">
        <f>SUM(Z60:Z65)+Z67</f>
        <v>144.56510170540145</v>
      </c>
      <c r="AA68" s="433">
        <f>SUM(AA60:AA65)+AA67</f>
        <v>208.43983100000011</v>
      </c>
      <c r="AB68" s="443">
        <f t="shared" si="49"/>
        <v>44.2</v>
      </c>
      <c r="AC68" s="433"/>
      <c r="AD68" s="433"/>
      <c r="AE68" s="433"/>
      <c r="AF68" s="433">
        <f t="shared" si="47"/>
        <v>151.56510170540145</v>
      </c>
      <c r="AG68" s="433">
        <f t="shared" si="47"/>
        <v>252.43983100000011</v>
      </c>
      <c r="AH68" s="443">
        <f>IF(AF68=0, "    ---- ", IF(ABS(ROUND(100/AF68*AG68-100,1))&lt;999,ROUND(100/AF68*AG68-100,1),IF(ROUND(100/AF68*AG68-100,1)&gt;999,999,-999)))</f>
        <v>66.599999999999994</v>
      </c>
      <c r="AI68" s="423">
        <f t="shared" si="48"/>
        <v>151.56510170540145</v>
      </c>
      <c r="AJ68" s="423">
        <f t="shared" si="48"/>
        <v>252.43983100000011</v>
      </c>
      <c r="AK68" s="443">
        <f t="shared" si="23"/>
        <v>66.599999999999994</v>
      </c>
      <c r="AL68" s="548"/>
      <c r="AM68" s="548"/>
      <c r="AN68" s="548"/>
      <c r="AO68" s="548"/>
    </row>
    <row r="69" spans="1:41" ht="18.75" customHeight="1" x14ac:dyDescent="0.3">
      <c r="A69" s="563" t="s">
        <v>331</v>
      </c>
      <c r="B69" s="709"/>
      <c r="C69" s="728"/>
      <c r="D69" s="442"/>
      <c r="E69" s="430"/>
      <c r="F69" s="431"/>
      <c r="G69" s="442"/>
      <c r="H69" s="430"/>
      <c r="I69" s="431"/>
      <c r="J69" s="442"/>
      <c r="K69" s="430"/>
      <c r="L69" s="431"/>
      <c r="M69" s="431"/>
      <c r="N69" s="430"/>
      <c r="O69" s="431"/>
      <c r="P69" s="442"/>
      <c r="Q69" s="430"/>
      <c r="R69" s="431"/>
      <c r="S69" s="442"/>
      <c r="T69" s="430"/>
      <c r="U69" s="431"/>
      <c r="V69" s="442"/>
      <c r="W69" s="430">
        <v>1</v>
      </c>
      <c r="X69" s="431">
        <v>41</v>
      </c>
      <c r="Y69" s="442">
        <f t="shared" si="40"/>
        <v>999</v>
      </c>
      <c r="Z69" s="430">
        <v>64.697920856751196</v>
      </c>
      <c r="AA69" s="431">
        <v>143.24781100000001</v>
      </c>
      <c r="AB69" s="442">
        <f t="shared" si="49"/>
        <v>121.4</v>
      </c>
      <c r="AC69" s="431"/>
      <c r="AD69" s="431"/>
      <c r="AE69" s="431"/>
      <c r="AF69" s="431">
        <f t="shared" si="47"/>
        <v>65.697920856751196</v>
      </c>
      <c r="AG69" s="431">
        <f t="shared" si="47"/>
        <v>184.24781100000001</v>
      </c>
      <c r="AH69" s="442"/>
      <c r="AI69" s="425">
        <f t="shared" si="48"/>
        <v>65.697920856751196</v>
      </c>
      <c r="AJ69" s="425">
        <f t="shared" si="48"/>
        <v>184.24781100000001</v>
      </c>
      <c r="AK69" s="442">
        <f t="shared" si="23"/>
        <v>180.4</v>
      </c>
      <c r="AL69" s="545"/>
      <c r="AM69" s="545"/>
      <c r="AN69" s="545"/>
      <c r="AO69" s="545"/>
    </row>
    <row r="70" spans="1:41" ht="18.75" customHeight="1" x14ac:dyDescent="0.3">
      <c r="A70" s="563" t="s">
        <v>332</v>
      </c>
      <c r="B70" s="709"/>
      <c r="C70" s="728"/>
      <c r="D70" s="442"/>
      <c r="E70" s="430"/>
      <c r="F70" s="431"/>
      <c r="G70" s="442"/>
      <c r="H70" s="430"/>
      <c r="I70" s="431"/>
      <c r="J70" s="442"/>
      <c r="K70" s="430"/>
      <c r="L70" s="431"/>
      <c r="M70" s="431"/>
      <c r="N70" s="430"/>
      <c r="O70" s="431"/>
      <c r="P70" s="442"/>
      <c r="Q70" s="430"/>
      <c r="R70" s="431"/>
      <c r="S70" s="442"/>
      <c r="T70" s="430"/>
      <c r="U70" s="431"/>
      <c r="V70" s="442"/>
      <c r="W70" s="430">
        <v>6</v>
      </c>
      <c r="X70" s="431">
        <v>3</v>
      </c>
      <c r="Y70" s="442">
        <f t="shared" si="40"/>
        <v>-50</v>
      </c>
      <c r="Z70" s="430">
        <v>79.867180848650307</v>
      </c>
      <c r="AA70" s="431">
        <v>65.176016000000203</v>
      </c>
      <c r="AB70" s="442">
        <f t="shared" si="49"/>
        <v>-18.399999999999999</v>
      </c>
      <c r="AC70" s="431"/>
      <c r="AD70" s="431"/>
      <c r="AE70" s="431"/>
      <c r="AF70" s="431">
        <f t="shared" si="47"/>
        <v>85.867180848650307</v>
      </c>
      <c r="AG70" s="431">
        <f t="shared" si="47"/>
        <v>68.176016000000203</v>
      </c>
      <c r="AH70" s="442"/>
      <c r="AI70" s="425">
        <f t="shared" si="48"/>
        <v>85.867180848650307</v>
      </c>
      <c r="AJ70" s="425">
        <f t="shared" si="48"/>
        <v>68.176016000000203</v>
      </c>
      <c r="AK70" s="442">
        <f t="shared" si="23"/>
        <v>-20.6</v>
      </c>
      <c r="AL70" s="545"/>
      <c r="AM70" s="545"/>
      <c r="AN70" s="545"/>
      <c r="AO70" s="545"/>
    </row>
    <row r="71" spans="1:41" ht="18.75" customHeight="1" x14ac:dyDescent="0.3">
      <c r="A71" s="562" t="s">
        <v>347</v>
      </c>
      <c r="B71" s="709"/>
      <c r="C71" s="728"/>
      <c r="D71" s="442"/>
      <c r="E71" s="430"/>
      <c r="F71" s="431"/>
      <c r="G71" s="442"/>
      <c r="H71" s="430"/>
      <c r="I71" s="431"/>
      <c r="J71" s="442"/>
      <c r="K71" s="430"/>
      <c r="L71" s="431"/>
      <c r="M71" s="431"/>
      <c r="N71" s="430"/>
      <c r="O71" s="431"/>
      <c r="P71" s="442"/>
      <c r="Q71" s="430"/>
      <c r="R71" s="431"/>
      <c r="S71" s="442"/>
      <c r="T71" s="430"/>
      <c r="U71" s="431"/>
      <c r="V71" s="442"/>
      <c r="W71" s="430"/>
      <c r="X71" s="431"/>
      <c r="Y71" s="442"/>
      <c r="Z71" s="430"/>
      <c r="AA71" s="431"/>
      <c r="AB71" s="442"/>
      <c r="AC71" s="431"/>
      <c r="AD71" s="431"/>
      <c r="AE71" s="431"/>
      <c r="AF71" s="431"/>
      <c r="AG71" s="431"/>
      <c r="AH71" s="442"/>
      <c r="AI71" s="425"/>
      <c r="AJ71" s="425"/>
      <c r="AK71" s="442"/>
      <c r="AL71" s="545"/>
      <c r="AM71" s="545"/>
      <c r="AN71" s="545"/>
      <c r="AO71" s="545"/>
    </row>
    <row r="72" spans="1:41" ht="18.75" customHeight="1" x14ac:dyDescent="0.3">
      <c r="A72" s="760" t="s">
        <v>492</v>
      </c>
      <c r="B72" s="709"/>
      <c r="C72" s="728"/>
      <c r="D72" s="442"/>
      <c r="E72" s="430"/>
      <c r="F72" s="431"/>
      <c r="G72" s="442"/>
      <c r="H72" s="430"/>
      <c r="I72" s="431"/>
      <c r="J72" s="442"/>
      <c r="K72" s="430"/>
      <c r="L72" s="431"/>
      <c r="M72" s="431"/>
      <c r="N72" s="430"/>
      <c r="O72" s="431"/>
      <c r="P72" s="442"/>
      <c r="Q72" s="430"/>
      <c r="R72" s="431"/>
      <c r="S72" s="442"/>
      <c r="T72" s="430"/>
      <c r="U72" s="431"/>
      <c r="V72" s="442"/>
      <c r="W72" s="430"/>
      <c r="X72" s="431"/>
      <c r="Y72" s="442"/>
      <c r="Z72" s="430">
        <v>-1.2250000168023689E-5</v>
      </c>
      <c r="AA72" s="431">
        <v>-9.7259299998313491E-3</v>
      </c>
      <c r="AB72" s="442">
        <f t="shared" si="49"/>
        <v>999</v>
      </c>
      <c r="AC72" s="431"/>
      <c r="AD72" s="431"/>
      <c r="AE72" s="431"/>
      <c r="AF72" s="431">
        <f t="shared" ref="AF72:AG82" si="50">B72+E72+H72+K72+N72+Q72+T72+W72+Z72</f>
        <v>-1.2250000168023689E-5</v>
      </c>
      <c r="AG72" s="431">
        <f t="shared" si="50"/>
        <v>-9.7259299998313491E-3</v>
      </c>
      <c r="AH72" s="442"/>
      <c r="AI72" s="425">
        <f t="shared" ref="AI72:AJ82" si="51">B72+E72+H72+K72+N72+Q72+T72+W72+Z72+AC72</f>
        <v>-1.2250000168023689E-5</v>
      </c>
      <c r="AJ72" s="425">
        <f t="shared" si="51"/>
        <v>-9.7259299998313491E-3</v>
      </c>
      <c r="AK72" s="442">
        <f t="shared" si="23"/>
        <v>999</v>
      </c>
      <c r="AL72" s="545"/>
      <c r="AM72" s="545"/>
      <c r="AN72" s="545"/>
      <c r="AO72" s="545"/>
    </row>
    <row r="73" spans="1:41" ht="18.75" customHeight="1" x14ac:dyDescent="0.3">
      <c r="A73" s="411" t="s">
        <v>493</v>
      </c>
      <c r="B73" s="709"/>
      <c r="C73" s="714"/>
      <c r="D73" s="442"/>
      <c r="E73" s="430"/>
      <c r="F73" s="431"/>
      <c r="G73" s="442"/>
      <c r="H73" s="430"/>
      <c r="I73" s="431"/>
      <c r="J73" s="442"/>
      <c r="K73" s="430"/>
      <c r="L73" s="431"/>
      <c r="M73" s="431"/>
      <c r="N73" s="430"/>
      <c r="O73" s="431"/>
      <c r="P73" s="442"/>
      <c r="Q73" s="430"/>
      <c r="R73" s="431"/>
      <c r="S73" s="442"/>
      <c r="T73" s="430"/>
      <c r="U73" s="431"/>
      <c r="V73" s="442"/>
      <c r="W73" s="430"/>
      <c r="X73" s="431"/>
      <c r="Y73" s="442"/>
      <c r="Z73" s="430"/>
      <c r="AA73" s="431"/>
      <c r="AB73" s="442"/>
      <c r="AC73" s="431"/>
      <c r="AD73" s="431"/>
      <c r="AE73" s="431"/>
      <c r="AF73" s="431">
        <f t="shared" si="50"/>
        <v>0</v>
      </c>
      <c r="AG73" s="431">
        <f t="shared" si="50"/>
        <v>0</v>
      </c>
      <c r="AH73" s="442"/>
      <c r="AI73" s="425">
        <f t="shared" si="51"/>
        <v>0</v>
      </c>
      <c r="AJ73" s="425">
        <f t="shared" si="51"/>
        <v>0</v>
      </c>
      <c r="AK73" s="442" t="str">
        <f t="shared" si="23"/>
        <v xml:space="preserve">    ---- </v>
      </c>
      <c r="AL73" s="545"/>
      <c r="AM73" s="545"/>
      <c r="AN73" s="545"/>
      <c r="AO73" s="545"/>
    </row>
    <row r="74" spans="1:41" ht="18.75" customHeight="1" x14ac:dyDescent="0.3">
      <c r="A74" s="563" t="s">
        <v>324</v>
      </c>
      <c r="B74" s="709"/>
      <c r="C74" s="728"/>
      <c r="D74" s="442"/>
      <c r="E74" s="430"/>
      <c r="F74" s="431"/>
      <c r="G74" s="442"/>
      <c r="H74" s="430"/>
      <c r="I74" s="431"/>
      <c r="J74" s="442"/>
      <c r="K74" s="430"/>
      <c r="L74" s="431"/>
      <c r="M74" s="431"/>
      <c r="N74" s="430"/>
      <c r="O74" s="431"/>
      <c r="P74" s="442"/>
      <c r="Q74" s="430"/>
      <c r="R74" s="431"/>
      <c r="S74" s="442"/>
      <c r="T74" s="430"/>
      <c r="U74" s="431"/>
      <c r="V74" s="442"/>
      <c r="W74" s="430">
        <v>-12</v>
      </c>
      <c r="X74" s="431">
        <v>-14</v>
      </c>
      <c r="Y74" s="442">
        <f t="shared" ref="Y74:Y82" si="52">IF(W74=0, "    ---- ", IF(ABS(ROUND(100/W74*X74-100,1))&lt;999,ROUND(100/W74*X74-100,1),IF(ROUND(100/W74*X74-100,1)&gt;999,999,-999)))</f>
        <v>16.7</v>
      </c>
      <c r="Z74" s="430">
        <v>20.942856129999999</v>
      </c>
      <c r="AA74" s="431">
        <v>21.571197170000001</v>
      </c>
      <c r="AB74" s="442">
        <f t="shared" si="49"/>
        <v>3</v>
      </c>
      <c r="AC74" s="431"/>
      <c r="AD74" s="431"/>
      <c r="AE74" s="431"/>
      <c r="AF74" s="431">
        <f t="shared" si="50"/>
        <v>8.9428561299999991</v>
      </c>
      <c r="AG74" s="431">
        <f t="shared" si="50"/>
        <v>7.5711971700000014</v>
      </c>
      <c r="AH74" s="442"/>
      <c r="AI74" s="425">
        <f t="shared" si="51"/>
        <v>8.9428561299999991</v>
      </c>
      <c r="AJ74" s="425">
        <f t="shared" si="51"/>
        <v>7.5711971700000014</v>
      </c>
      <c r="AK74" s="442">
        <f t="shared" si="23"/>
        <v>-15.3</v>
      </c>
      <c r="AL74" s="545"/>
      <c r="AM74" s="545"/>
      <c r="AN74" s="545"/>
      <c r="AO74" s="545"/>
    </row>
    <row r="75" spans="1:41" ht="18.75" customHeight="1" x14ac:dyDescent="0.3">
      <c r="A75" s="563" t="s">
        <v>325</v>
      </c>
      <c r="B75" s="709"/>
      <c r="C75" s="728"/>
      <c r="D75" s="442"/>
      <c r="E75" s="430"/>
      <c r="F75" s="431"/>
      <c r="G75" s="442"/>
      <c r="H75" s="430"/>
      <c r="I75" s="431"/>
      <c r="J75" s="442"/>
      <c r="K75" s="430"/>
      <c r="L75" s="431"/>
      <c r="M75" s="431"/>
      <c r="N75" s="430"/>
      <c r="O75" s="431"/>
      <c r="P75" s="442"/>
      <c r="Q75" s="430"/>
      <c r="R75" s="431"/>
      <c r="S75" s="442"/>
      <c r="T75" s="430"/>
      <c r="U75" s="431"/>
      <c r="V75" s="442"/>
      <c r="W75" s="430"/>
      <c r="X75" s="431"/>
      <c r="Y75" s="442"/>
      <c r="Z75" s="430"/>
      <c r="AA75" s="431"/>
      <c r="AB75" s="442"/>
      <c r="AC75" s="431"/>
      <c r="AD75" s="431"/>
      <c r="AE75" s="431"/>
      <c r="AF75" s="431">
        <f t="shared" si="50"/>
        <v>0</v>
      </c>
      <c r="AG75" s="431">
        <f t="shared" si="50"/>
        <v>0</v>
      </c>
      <c r="AH75" s="442"/>
      <c r="AI75" s="425">
        <f t="shared" si="51"/>
        <v>0</v>
      </c>
      <c r="AJ75" s="425">
        <f t="shared" si="51"/>
        <v>0</v>
      </c>
      <c r="AK75" s="442" t="str">
        <f t="shared" si="23"/>
        <v xml:space="preserve">    ---- </v>
      </c>
      <c r="AL75" s="545"/>
      <c r="AM75" s="545"/>
      <c r="AN75" s="545"/>
      <c r="AO75" s="545"/>
    </row>
    <row r="76" spans="1:41" ht="18.75" customHeight="1" x14ac:dyDescent="0.3">
      <c r="A76" s="563" t="s">
        <v>326</v>
      </c>
      <c r="B76" s="709"/>
      <c r="C76" s="728"/>
      <c r="D76" s="442"/>
      <c r="E76" s="430"/>
      <c r="F76" s="431"/>
      <c r="G76" s="442"/>
      <c r="H76" s="430"/>
      <c r="I76" s="431"/>
      <c r="J76" s="442"/>
      <c r="K76" s="430"/>
      <c r="L76" s="431"/>
      <c r="M76" s="431"/>
      <c r="N76" s="430"/>
      <c r="O76" s="431"/>
      <c r="P76" s="442"/>
      <c r="Q76" s="430"/>
      <c r="R76" s="431"/>
      <c r="S76" s="442"/>
      <c r="T76" s="430"/>
      <c r="U76" s="431"/>
      <c r="V76" s="442"/>
      <c r="W76" s="430"/>
      <c r="X76" s="431"/>
      <c r="Y76" s="442"/>
      <c r="Z76" s="430"/>
      <c r="AA76" s="431"/>
      <c r="AB76" s="442"/>
      <c r="AC76" s="431"/>
      <c r="AD76" s="431"/>
      <c r="AE76" s="431"/>
      <c r="AF76" s="431">
        <f t="shared" si="50"/>
        <v>0</v>
      </c>
      <c r="AG76" s="431">
        <f t="shared" si="50"/>
        <v>0</v>
      </c>
      <c r="AH76" s="442"/>
      <c r="AI76" s="425">
        <f t="shared" si="51"/>
        <v>0</v>
      </c>
      <c r="AJ76" s="425">
        <f t="shared" si="51"/>
        <v>0</v>
      </c>
      <c r="AK76" s="442" t="str">
        <f t="shared" si="23"/>
        <v xml:space="preserve">    ---- </v>
      </c>
      <c r="AL76" s="545"/>
      <c r="AM76" s="545"/>
      <c r="AN76" s="545"/>
      <c r="AO76" s="545"/>
    </row>
    <row r="77" spans="1:41" ht="18.75" customHeight="1" x14ac:dyDescent="0.3">
      <c r="A77" s="563" t="s">
        <v>327</v>
      </c>
      <c r="B77" s="709"/>
      <c r="C77" s="728"/>
      <c r="D77" s="442"/>
      <c r="E77" s="430"/>
      <c r="F77" s="431"/>
      <c r="G77" s="442"/>
      <c r="H77" s="430"/>
      <c r="I77" s="431"/>
      <c r="J77" s="442"/>
      <c r="K77" s="430"/>
      <c r="L77" s="431"/>
      <c r="M77" s="431"/>
      <c r="N77" s="430"/>
      <c r="O77" s="431"/>
      <c r="P77" s="442"/>
      <c r="Q77" s="430"/>
      <c r="R77" s="431"/>
      <c r="S77" s="442"/>
      <c r="T77" s="430"/>
      <c r="U77" s="431"/>
      <c r="V77" s="442"/>
      <c r="W77" s="430"/>
      <c r="X77" s="431"/>
      <c r="Y77" s="442"/>
      <c r="Z77" s="430">
        <v>-0.46255000000000002</v>
      </c>
      <c r="AA77" s="431">
        <v>0</v>
      </c>
      <c r="AB77" s="442">
        <f t="shared" si="49"/>
        <v>-100</v>
      </c>
      <c r="AC77" s="431"/>
      <c r="AD77" s="431"/>
      <c r="AE77" s="431"/>
      <c r="AF77" s="431">
        <f t="shared" si="50"/>
        <v>-0.46255000000000002</v>
      </c>
      <c r="AG77" s="431">
        <f t="shared" si="50"/>
        <v>0</v>
      </c>
      <c r="AH77" s="442"/>
      <c r="AI77" s="425">
        <f t="shared" si="51"/>
        <v>-0.46255000000000002</v>
      </c>
      <c r="AJ77" s="425">
        <f t="shared" si="51"/>
        <v>0</v>
      </c>
      <c r="AK77" s="442">
        <f t="shared" si="23"/>
        <v>-100</v>
      </c>
      <c r="AL77" s="545"/>
      <c r="AM77" s="545"/>
      <c r="AN77" s="545"/>
      <c r="AO77" s="545"/>
    </row>
    <row r="78" spans="1:41" ht="18.75" customHeight="1" x14ac:dyDescent="0.3">
      <c r="A78" s="563" t="s">
        <v>328</v>
      </c>
      <c r="B78" s="709"/>
      <c r="C78" s="728"/>
      <c r="D78" s="442"/>
      <c r="E78" s="430"/>
      <c r="F78" s="431"/>
      <c r="G78" s="442"/>
      <c r="H78" s="430"/>
      <c r="I78" s="431"/>
      <c r="J78" s="442"/>
      <c r="K78" s="430"/>
      <c r="L78" s="431"/>
      <c r="M78" s="431"/>
      <c r="N78" s="430"/>
      <c r="O78" s="431"/>
      <c r="P78" s="442"/>
      <c r="Q78" s="430"/>
      <c r="R78" s="431"/>
      <c r="S78" s="442"/>
      <c r="T78" s="430"/>
      <c r="U78" s="431"/>
      <c r="V78" s="442"/>
      <c r="W78" s="430"/>
      <c r="X78" s="431"/>
      <c r="Y78" s="442"/>
      <c r="Z78" s="430"/>
      <c r="AA78" s="431"/>
      <c r="AB78" s="442"/>
      <c r="AC78" s="431"/>
      <c r="AD78" s="431"/>
      <c r="AE78" s="431"/>
      <c r="AF78" s="431">
        <f t="shared" si="50"/>
        <v>0</v>
      </c>
      <c r="AG78" s="431">
        <f t="shared" si="50"/>
        <v>0</v>
      </c>
      <c r="AH78" s="442"/>
      <c r="AI78" s="425">
        <f t="shared" si="51"/>
        <v>0</v>
      </c>
      <c r="AJ78" s="425">
        <f t="shared" si="51"/>
        <v>0</v>
      </c>
      <c r="AK78" s="442" t="str">
        <f t="shared" si="23"/>
        <v xml:space="preserve">    ---- </v>
      </c>
      <c r="AL78" s="545"/>
      <c r="AM78" s="545"/>
      <c r="AN78" s="545"/>
      <c r="AO78" s="545"/>
    </row>
    <row r="79" spans="1:41" ht="18.75" customHeight="1" x14ac:dyDescent="0.3">
      <c r="A79" s="563" t="s">
        <v>329</v>
      </c>
      <c r="B79" s="709"/>
      <c r="C79" s="728"/>
      <c r="D79" s="442"/>
      <c r="E79" s="430"/>
      <c r="F79" s="431"/>
      <c r="G79" s="442"/>
      <c r="H79" s="430"/>
      <c r="I79" s="431"/>
      <c r="J79" s="442"/>
      <c r="K79" s="430"/>
      <c r="L79" s="431"/>
      <c r="M79" s="431"/>
      <c r="N79" s="430"/>
      <c r="O79" s="431"/>
      <c r="P79" s="442"/>
      <c r="Q79" s="430"/>
      <c r="R79" s="431"/>
      <c r="S79" s="442"/>
      <c r="T79" s="430"/>
      <c r="U79" s="431"/>
      <c r="V79" s="442"/>
      <c r="W79" s="430"/>
      <c r="X79" s="431"/>
      <c r="Y79" s="442"/>
      <c r="Z79" s="430"/>
      <c r="AA79" s="431"/>
      <c r="AB79" s="442"/>
      <c r="AC79" s="431"/>
      <c r="AD79" s="431"/>
      <c r="AE79" s="431"/>
      <c r="AF79" s="431">
        <f t="shared" si="50"/>
        <v>0</v>
      </c>
      <c r="AG79" s="431">
        <f t="shared" si="50"/>
        <v>0</v>
      </c>
      <c r="AH79" s="442"/>
      <c r="AI79" s="425">
        <f t="shared" si="51"/>
        <v>0</v>
      </c>
      <c r="AJ79" s="425">
        <f t="shared" si="51"/>
        <v>0</v>
      </c>
      <c r="AK79" s="442" t="str">
        <f t="shared" si="23"/>
        <v xml:space="preserve">    ---- </v>
      </c>
      <c r="AL79" s="545"/>
      <c r="AM79" s="545"/>
      <c r="AN79" s="545"/>
      <c r="AO79" s="545"/>
    </row>
    <row r="80" spans="1:41" ht="18.75" customHeight="1" x14ac:dyDescent="0.3">
      <c r="A80" s="562" t="s">
        <v>330</v>
      </c>
      <c r="B80" s="710"/>
      <c r="C80" s="729"/>
      <c r="D80" s="443"/>
      <c r="E80" s="432"/>
      <c r="F80" s="433"/>
      <c r="G80" s="443"/>
      <c r="H80" s="432"/>
      <c r="I80" s="433"/>
      <c r="J80" s="443"/>
      <c r="K80" s="432"/>
      <c r="L80" s="433"/>
      <c r="M80" s="433"/>
      <c r="N80" s="432"/>
      <c r="O80" s="433"/>
      <c r="P80" s="443"/>
      <c r="Q80" s="432"/>
      <c r="R80" s="433"/>
      <c r="S80" s="443"/>
      <c r="T80" s="432"/>
      <c r="U80" s="433"/>
      <c r="V80" s="443"/>
      <c r="W80" s="432">
        <f>SUM(W72:W77)+W79</f>
        <v>-12</v>
      </c>
      <c r="X80" s="433">
        <f>SUM(X72:X77)+X79</f>
        <v>-14</v>
      </c>
      <c r="Y80" s="443">
        <f t="shared" si="52"/>
        <v>16.7</v>
      </c>
      <c r="Z80" s="432">
        <f>SUM(Z72:Z77)+Z79</f>
        <v>20.480293879999831</v>
      </c>
      <c r="AA80" s="433">
        <f>SUM(AA72:AA77)+AA79</f>
        <v>21.56147124000017</v>
      </c>
      <c r="AB80" s="442">
        <f t="shared" si="49"/>
        <v>5.3</v>
      </c>
      <c r="AC80" s="433"/>
      <c r="AD80" s="433"/>
      <c r="AE80" s="433"/>
      <c r="AF80" s="433">
        <f t="shared" si="50"/>
        <v>8.4802938799998309</v>
      </c>
      <c r="AG80" s="433">
        <f t="shared" si="50"/>
        <v>7.56147124000017</v>
      </c>
      <c r="AH80" s="443">
        <f>IF(AF80=0, "    ---- ", IF(ABS(ROUND(100/AF80*AG80-100,1))&lt;999,ROUND(100/AF80*AG80-100,1),IF(ROUND(100/AF80*AG80-100,1)&gt;999,999,-999)))</f>
        <v>-10.8</v>
      </c>
      <c r="AI80" s="423">
        <f t="shared" si="51"/>
        <v>8.4802938799998309</v>
      </c>
      <c r="AJ80" s="423">
        <f t="shared" si="51"/>
        <v>7.56147124000017</v>
      </c>
      <c r="AK80" s="443">
        <f t="shared" si="23"/>
        <v>-10.8</v>
      </c>
      <c r="AL80" s="548"/>
      <c r="AM80" s="545"/>
      <c r="AN80" s="545"/>
      <c r="AO80" s="545"/>
    </row>
    <row r="81" spans="1:41" ht="18.75" customHeight="1" x14ac:dyDescent="0.3">
      <c r="A81" s="563" t="s">
        <v>331</v>
      </c>
      <c r="B81" s="709"/>
      <c r="C81" s="728"/>
      <c r="D81" s="442"/>
      <c r="E81" s="430"/>
      <c r="F81" s="431"/>
      <c r="G81" s="442"/>
      <c r="H81" s="430"/>
      <c r="I81" s="431"/>
      <c r="J81" s="442"/>
      <c r="K81" s="430"/>
      <c r="L81" s="431"/>
      <c r="M81" s="431"/>
      <c r="N81" s="430"/>
      <c r="O81" s="431"/>
      <c r="P81" s="442"/>
      <c r="Q81" s="430"/>
      <c r="R81" s="431"/>
      <c r="S81" s="442"/>
      <c r="T81" s="430"/>
      <c r="U81" s="431"/>
      <c r="V81" s="442"/>
      <c r="W81" s="430"/>
      <c r="X81" s="431"/>
      <c r="Y81" s="442"/>
      <c r="Z81" s="430"/>
      <c r="AA81" s="431"/>
      <c r="AB81" s="442"/>
      <c r="AC81" s="431"/>
      <c r="AD81" s="431"/>
      <c r="AE81" s="431"/>
      <c r="AF81" s="431">
        <f t="shared" si="50"/>
        <v>0</v>
      </c>
      <c r="AG81" s="431">
        <f t="shared" si="50"/>
        <v>0</v>
      </c>
      <c r="AH81" s="442"/>
      <c r="AI81" s="425">
        <f t="shared" si="51"/>
        <v>0</v>
      </c>
      <c r="AJ81" s="425">
        <f t="shared" si="51"/>
        <v>0</v>
      </c>
      <c r="AK81" s="442" t="str">
        <f t="shared" si="23"/>
        <v xml:space="preserve">    ---- </v>
      </c>
      <c r="AL81" s="545"/>
      <c r="AM81" s="545"/>
      <c r="AN81" s="545"/>
      <c r="AO81" s="545"/>
    </row>
    <row r="82" spans="1:41" ht="18.75" customHeight="1" x14ac:dyDescent="0.3">
      <c r="A82" s="563" t="s">
        <v>332</v>
      </c>
      <c r="B82" s="709"/>
      <c r="C82" s="728"/>
      <c r="D82" s="442"/>
      <c r="E82" s="430"/>
      <c r="F82" s="431"/>
      <c r="G82" s="442"/>
      <c r="H82" s="430"/>
      <c r="I82" s="431"/>
      <c r="J82" s="442"/>
      <c r="K82" s="430"/>
      <c r="L82" s="431"/>
      <c r="M82" s="431"/>
      <c r="N82" s="430"/>
      <c r="O82" s="431"/>
      <c r="P82" s="442"/>
      <c r="Q82" s="430"/>
      <c r="R82" s="431"/>
      <c r="S82" s="442"/>
      <c r="T82" s="430"/>
      <c r="U82" s="431"/>
      <c r="V82" s="442"/>
      <c r="W82" s="430">
        <v>-12</v>
      </c>
      <c r="X82" s="431">
        <v>-14</v>
      </c>
      <c r="Y82" s="442">
        <f t="shared" si="52"/>
        <v>16.7</v>
      </c>
      <c r="Z82" s="430">
        <v>20.480293879999831</v>
      </c>
      <c r="AA82" s="431">
        <v>21.561471240000198</v>
      </c>
      <c r="AB82" s="442">
        <f t="shared" si="49"/>
        <v>5.3</v>
      </c>
      <c r="AC82" s="431"/>
      <c r="AD82" s="431"/>
      <c r="AE82" s="431"/>
      <c r="AF82" s="431">
        <f t="shared" si="50"/>
        <v>8.4802938799998309</v>
      </c>
      <c r="AG82" s="431">
        <f t="shared" si="50"/>
        <v>7.5614712400001984</v>
      </c>
      <c r="AH82" s="442"/>
      <c r="AI82" s="425">
        <f t="shared" si="51"/>
        <v>8.4802938799998309</v>
      </c>
      <c r="AJ82" s="425">
        <f t="shared" si="51"/>
        <v>7.5614712400001984</v>
      </c>
      <c r="AK82" s="442">
        <f t="shared" si="23"/>
        <v>-10.8</v>
      </c>
      <c r="AL82" s="545"/>
      <c r="AM82" s="545"/>
      <c r="AN82" s="545"/>
      <c r="AO82" s="545"/>
    </row>
    <row r="83" spans="1:41" ht="18.75" customHeight="1" x14ac:dyDescent="0.3">
      <c r="A83" s="528" t="s">
        <v>348</v>
      </c>
      <c r="B83" s="709"/>
      <c r="C83" s="728"/>
      <c r="D83" s="442"/>
      <c r="E83" s="430"/>
      <c r="F83" s="431"/>
      <c r="G83" s="442"/>
      <c r="H83" s="430"/>
      <c r="I83" s="431"/>
      <c r="J83" s="442"/>
      <c r="K83" s="430"/>
      <c r="L83" s="431"/>
      <c r="M83" s="431"/>
      <c r="N83" s="430"/>
      <c r="O83" s="431"/>
      <c r="P83" s="442"/>
      <c r="Q83" s="430"/>
      <c r="R83" s="431"/>
      <c r="S83" s="442"/>
      <c r="T83" s="430"/>
      <c r="U83" s="431"/>
      <c r="V83" s="442"/>
      <c r="W83" s="430"/>
      <c r="X83" s="431"/>
      <c r="Y83" s="442"/>
      <c r="Z83" s="430"/>
      <c r="AA83" s="431"/>
      <c r="AB83" s="442"/>
      <c r="AC83" s="431"/>
      <c r="AD83" s="431"/>
      <c r="AE83" s="431"/>
      <c r="AF83" s="431"/>
      <c r="AG83" s="431"/>
      <c r="AH83" s="442"/>
      <c r="AI83" s="425"/>
      <c r="AJ83" s="425"/>
      <c r="AK83" s="442"/>
      <c r="AL83" s="545"/>
      <c r="AM83" s="545"/>
      <c r="AN83" s="545"/>
      <c r="AO83" s="545"/>
    </row>
    <row r="84" spans="1:41" ht="18.75" customHeight="1" x14ac:dyDescent="0.3">
      <c r="A84" s="760" t="s">
        <v>492</v>
      </c>
      <c r="B84" s="709">
        <v>-105</v>
      </c>
      <c r="C84" s="728">
        <v>1975.6569999999999</v>
      </c>
      <c r="D84" s="442">
        <f>IF(B84=0, "    ---- ", IF(ABS(ROUND(100/B84*C84-100,1))&lt;999,ROUND(100/B84*C84-100,1),IF(ROUND(100/B84*C84-100,1)&gt;999,999,-999)))</f>
        <v>-999</v>
      </c>
      <c r="E84" s="430"/>
      <c r="F84" s="431"/>
      <c r="G84" s="442"/>
      <c r="H84" s="430"/>
      <c r="I84" s="431"/>
      <c r="J84" s="442"/>
      <c r="K84" s="430">
        <v>-70</v>
      </c>
      <c r="L84" s="431">
        <v>34</v>
      </c>
      <c r="M84" s="431">
        <f>IF(K84=0, "    ---- ", IF(ABS(ROUND(100/K84*L84-100,1))&lt;999,ROUND(100/K84*L84-100,1),IF(ROUND(100/K84*L84-100,1)&gt;999,999,-999)))</f>
        <v>-148.6</v>
      </c>
      <c r="N84" s="430"/>
      <c r="O84" s="431"/>
      <c r="P84" s="442"/>
      <c r="Q84" s="430">
        <v>-139.33743876273107</v>
      </c>
      <c r="R84" s="431">
        <v>672.53232421712426</v>
      </c>
      <c r="S84" s="442">
        <f>IF(Q84=0, "    ---- ", IF(ABS(ROUND(100/Q84*R84-100,1))&lt;999,ROUND(100/Q84*R84-100,1),IF(ROUND(100/Q84*R84-100,1)&gt;999,999,-999)))</f>
        <v>-582.70000000000005</v>
      </c>
      <c r="T84" s="430"/>
      <c r="U84" s="431"/>
      <c r="V84" s="442"/>
      <c r="W84" s="430">
        <v>-252</v>
      </c>
      <c r="X84" s="431">
        <v>317</v>
      </c>
      <c r="Y84" s="442">
        <f>IF(W84=0, "    ---- ", IF(ABS(ROUND(100/W84*X84-100,1))&lt;999,ROUND(100/W84*X84-100,1),IF(ROUND(100/W84*X84-100,1)&gt;999,999,-999)))</f>
        <v>-225.8</v>
      </c>
      <c r="Z84" s="430">
        <v>-2205.5065882597955</v>
      </c>
      <c r="AA84" s="431">
        <v>2171.25152725</v>
      </c>
      <c r="AB84" s="442">
        <f>IF(Z84=0, "    ---- ", IF(ABS(ROUND(100/Z84*AA84-100,1))&lt;999,ROUND(100/Z84*AA84-100,1),IF(ROUND(100/Z84*AA84-100,1)&gt;999,999,-999)))</f>
        <v>-198.4</v>
      </c>
      <c r="AC84" s="431"/>
      <c r="AD84" s="431"/>
      <c r="AE84" s="431"/>
      <c r="AF84" s="431">
        <f t="shared" ref="AF84:AG84" si="53">B84+E84+H84+K84+N84+Q84+T84+W84+Z84</f>
        <v>-2771.8440270225265</v>
      </c>
      <c r="AG84" s="431">
        <f t="shared" si="53"/>
        <v>5170.440851467124</v>
      </c>
      <c r="AH84" s="442">
        <f t="shared" si="22"/>
        <v>-286.5</v>
      </c>
      <c r="AI84" s="425">
        <f t="shared" ref="AI84:AJ84" si="54">B84+E84+H84+K84+N84+Q84+T84+W84+Z84+AC84</f>
        <v>-2771.8440270225265</v>
      </c>
      <c r="AJ84" s="425">
        <f t="shared" si="54"/>
        <v>5170.440851467124</v>
      </c>
      <c r="AK84" s="442">
        <f t="shared" si="23"/>
        <v>-286.5</v>
      </c>
      <c r="AL84" s="545"/>
      <c r="AM84" s="545"/>
      <c r="AN84" s="545"/>
      <c r="AO84" s="545"/>
    </row>
    <row r="85" spans="1:41" ht="18.75" customHeight="1" x14ac:dyDescent="0.3">
      <c r="A85" s="411" t="s">
        <v>493</v>
      </c>
      <c r="B85" s="709">
        <v>103</v>
      </c>
      <c r="C85" s="714">
        <v>-1526.847</v>
      </c>
      <c r="D85" s="442"/>
      <c r="E85" s="430"/>
      <c r="F85" s="431"/>
      <c r="G85" s="442"/>
      <c r="H85" s="430"/>
      <c r="I85" s="431"/>
      <c r="J85" s="442"/>
      <c r="K85" s="430"/>
      <c r="L85" s="431"/>
      <c r="M85" s="431"/>
      <c r="N85" s="430"/>
      <c r="O85" s="431"/>
      <c r="P85" s="442"/>
      <c r="Q85" s="430">
        <v>165.02635900000001</v>
      </c>
      <c r="R85" s="431">
        <v>-214.25251499999999</v>
      </c>
      <c r="S85" s="442">
        <f>IF(Q85=0, "    ---- ", IF(ABS(ROUND(100/Q85*R85-100,1))&lt;999,ROUND(100/Q85*R85-100,1),IF(ROUND(100/Q85*R85-100,1)&gt;999,999,-999)))</f>
        <v>-229.8</v>
      </c>
      <c r="T85" s="430"/>
      <c r="U85" s="431"/>
      <c r="V85" s="442"/>
      <c r="W85" s="430">
        <v>249</v>
      </c>
      <c r="X85" s="431">
        <v>-69</v>
      </c>
      <c r="Y85" s="442"/>
      <c r="Z85" s="430">
        <v>2275.3602580000002</v>
      </c>
      <c r="AA85" s="431">
        <v>-1492.806319</v>
      </c>
      <c r="AB85" s="442">
        <f>IF(Z85=0, "    ---- ", IF(ABS(ROUND(100/Z85*AA85-100,1))&lt;999,ROUND(100/Z85*AA85-100,1),IF(ROUND(100/Z85*AA85-100,1)&gt;999,999,-999)))</f>
        <v>-165.6</v>
      </c>
      <c r="AC85" s="431"/>
      <c r="AD85" s="431"/>
      <c r="AE85" s="431"/>
      <c r="AF85" s="431">
        <f t="shared" ref="AF85" si="55">B85+E85+H85+K85+N85+Q85+T85+W85+Z85</f>
        <v>2792.3866170000001</v>
      </c>
      <c r="AG85" s="431">
        <f t="shared" ref="AG85" si="56">C85+F85+I85+L85+O85+R85+U85+X85+AA85</f>
        <v>-3302.9058340000001</v>
      </c>
      <c r="AH85" s="442">
        <f t="shared" ref="AH85" si="57">IF(AF85=0, "    ---- ", IF(ABS(ROUND(100/AF85*AG85-100,1))&lt;999,ROUND(100/AF85*AG85-100,1),IF(ROUND(100/AF85*AG85-100,1)&gt;999,999,-999)))</f>
        <v>-218.3</v>
      </c>
      <c r="AI85" s="425">
        <f t="shared" ref="AI85" si="58">B85+E85+H85+K85+N85+Q85+T85+W85+Z85+AC85</f>
        <v>2792.3866170000001</v>
      </c>
      <c r="AJ85" s="425">
        <f t="shared" ref="AJ85" si="59">C85+F85+I85+L85+O85+R85+U85+X85+AA85+AD85</f>
        <v>-3302.9058340000001</v>
      </c>
      <c r="AK85" s="442">
        <f t="shared" ref="AK85" si="60">IF(AI85=0, "    ---- ", IF(ABS(ROUND(100/AI85*AJ85-100,1))&lt;999,ROUND(100/AI85*AJ85-100,1),IF(ROUND(100/AI85*AJ85-100,1)&gt;999,999,-999)))</f>
        <v>-218.3</v>
      </c>
      <c r="AL85" s="545"/>
      <c r="AM85" s="545"/>
      <c r="AN85" s="545"/>
      <c r="AO85" s="545"/>
    </row>
    <row r="86" spans="1:41" ht="18.75" customHeight="1" x14ac:dyDescent="0.3">
      <c r="A86" s="411" t="s">
        <v>324</v>
      </c>
      <c r="B86" s="709">
        <v>150</v>
      </c>
      <c r="C86" s="728">
        <v>112</v>
      </c>
      <c r="D86" s="442">
        <f>IF(B86=0, "    ---- ", IF(ABS(ROUND(100/B86*C86-100,1))&lt;999,ROUND(100/B86*C86-100,1),IF(ROUND(100/B86*C86-100,1)&gt;999,999,-999)))</f>
        <v>-25.3</v>
      </c>
      <c r="E86" s="430"/>
      <c r="F86" s="431"/>
      <c r="G86" s="442"/>
      <c r="H86" s="430"/>
      <c r="I86" s="431"/>
      <c r="J86" s="442"/>
      <c r="K86" s="430">
        <v>-8</v>
      </c>
      <c r="L86" s="431">
        <v>-7</v>
      </c>
      <c r="M86" s="431">
        <f>IF(K86=0, "    ---- ", IF(ABS(ROUND(100/K86*L86-100,1))&lt;999,ROUND(100/K86*L86-100,1),IF(ROUND(100/K86*L86-100,1)&gt;999,999,-999)))</f>
        <v>-12.5</v>
      </c>
      <c r="N86" s="430"/>
      <c r="O86" s="431"/>
      <c r="P86" s="442"/>
      <c r="Q86" s="430">
        <v>59.041787444934528</v>
      </c>
      <c r="R86" s="431">
        <v>69.180394861870511</v>
      </c>
      <c r="S86" s="442">
        <f>IF(Q86=0, "    ---- ", IF(ABS(ROUND(100/Q86*R86-100,1))&lt;999,ROUND(100/Q86*R86-100,1),IF(ROUND(100/Q86*R86-100,1)&gt;999,999,-999)))</f>
        <v>17.2</v>
      </c>
      <c r="T86" s="430"/>
      <c r="U86" s="431"/>
      <c r="V86" s="442"/>
      <c r="W86" s="430">
        <v>26</v>
      </c>
      <c r="X86" s="431">
        <v>42</v>
      </c>
      <c r="Y86" s="442">
        <f>IF(W86=0, "    ---- ", IF(ABS(ROUND(100/W86*X86-100,1))&lt;999,ROUND(100/W86*X86-100,1),IF(ROUND(100/W86*X86-100,1)&gt;999,999,-999)))</f>
        <v>61.5</v>
      </c>
      <c r="Z86" s="430">
        <v>233.56274220799997</v>
      </c>
      <c r="AA86" s="431">
        <v>232.38009761000001</v>
      </c>
      <c r="AB86" s="442">
        <f>IF(Z86=0, "    ---- ", IF(ABS(ROUND(100/Z86*AA86-100,1))&lt;999,ROUND(100/Z86*AA86-100,1),IF(ROUND(100/Z86*AA86-100,1)&gt;999,999,-999)))</f>
        <v>-0.5</v>
      </c>
      <c r="AC86" s="431"/>
      <c r="AD86" s="431"/>
      <c r="AE86" s="431"/>
      <c r="AF86" s="431">
        <f t="shared" ref="AF86:AG94" si="61">B86+E86+H86+K86+N86+Q86+T86+W86+Z86</f>
        <v>460.6045296529345</v>
      </c>
      <c r="AG86" s="431">
        <f t="shared" si="61"/>
        <v>448.56049247187053</v>
      </c>
      <c r="AH86" s="442">
        <f t="shared" si="22"/>
        <v>-2.6</v>
      </c>
      <c r="AI86" s="425">
        <f t="shared" ref="AI86:AJ94" si="62">B86+E86+H86+K86+N86+Q86+T86+W86+Z86+AC86</f>
        <v>460.6045296529345</v>
      </c>
      <c r="AJ86" s="425">
        <f t="shared" si="62"/>
        <v>448.56049247187053</v>
      </c>
      <c r="AK86" s="442">
        <f t="shared" si="23"/>
        <v>-2.6</v>
      </c>
      <c r="AL86" s="545"/>
      <c r="AM86" s="545"/>
      <c r="AN86" s="545"/>
      <c r="AO86" s="545"/>
    </row>
    <row r="87" spans="1:41" ht="18.75" customHeight="1" x14ac:dyDescent="0.3">
      <c r="A87" s="411" t="s">
        <v>325</v>
      </c>
      <c r="B87" s="709"/>
      <c r="C87" s="728"/>
      <c r="D87" s="442"/>
      <c r="E87" s="430"/>
      <c r="F87" s="431"/>
      <c r="G87" s="442"/>
      <c r="H87" s="430"/>
      <c r="I87" s="431"/>
      <c r="J87" s="442"/>
      <c r="K87" s="430"/>
      <c r="L87" s="431"/>
      <c r="M87" s="431"/>
      <c r="N87" s="430"/>
      <c r="O87" s="431"/>
      <c r="P87" s="442"/>
      <c r="Q87" s="430">
        <v>0</v>
      </c>
      <c r="R87" s="431">
        <v>0</v>
      </c>
      <c r="S87" s="442" t="str">
        <f>IF(Q87=0, "    ---- ", IF(ABS(ROUND(100/Q87*R87-100,1))&lt;999,ROUND(100/Q87*R87-100,1),IF(ROUND(100/Q87*R87-100,1)&gt;999,999,-999)))</f>
        <v xml:space="preserve">    ---- </v>
      </c>
      <c r="T87" s="430"/>
      <c r="U87" s="431"/>
      <c r="V87" s="442"/>
      <c r="W87" s="430"/>
      <c r="X87" s="431"/>
      <c r="Y87" s="442"/>
      <c r="Z87" s="430"/>
      <c r="AA87" s="431"/>
      <c r="AB87" s="442"/>
      <c r="AC87" s="431"/>
      <c r="AD87" s="431"/>
      <c r="AE87" s="431"/>
      <c r="AF87" s="431">
        <f t="shared" si="61"/>
        <v>0</v>
      </c>
      <c r="AG87" s="431">
        <f t="shared" si="61"/>
        <v>0</v>
      </c>
      <c r="AH87" s="442" t="str">
        <f t="shared" si="22"/>
        <v xml:space="preserve">    ---- </v>
      </c>
      <c r="AI87" s="425">
        <f t="shared" si="62"/>
        <v>0</v>
      </c>
      <c r="AJ87" s="425">
        <f t="shared" si="62"/>
        <v>0</v>
      </c>
      <c r="AK87" s="442" t="str">
        <f t="shared" si="23"/>
        <v xml:space="preserve">    ---- </v>
      </c>
      <c r="AL87" s="545"/>
      <c r="AM87" s="545"/>
      <c r="AN87" s="545"/>
      <c r="AO87" s="545"/>
    </row>
    <row r="88" spans="1:41" ht="18.75" customHeight="1" x14ac:dyDescent="0.3">
      <c r="A88" s="411" t="s">
        <v>326</v>
      </c>
      <c r="B88" s="709"/>
      <c r="C88" s="728"/>
      <c r="D88" s="442"/>
      <c r="E88" s="430"/>
      <c r="F88" s="431"/>
      <c r="G88" s="442"/>
      <c r="H88" s="430"/>
      <c r="I88" s="431"/>
      <c r="J88" s="442"/>
      <c r="K88" s="430"/>
      <c r="L88" s="431"/>
      <c r="M88" s="431"/>
      <c r="N88" s="430"/>
      <c r="O88" s="431"/>
      <c r="P88" s="442"/>
      <c r="Q88" s="430"/>
      <c r="R88" s="431"/>
      <c r="S88" s="442"/>
      <c r="T88" s="430"/>
      <c r="U88" s="431"/>
      <c r="V88" s="442"/>
      <c r="W88" s="430"/>
      <c r="X88" s="431"/>
      <c r="Y88" s="442"/>
      <c r="Z88" s="430"/>
      <c r="AA88" s="431">
        <v>48.023278019999999</v>
      </c>
      <c r="AB88" s="442" t="str">
        <f>IF(Z88=0, "    ---- ", IF(ABS(ROUND(100/Z88*AA88-100,1))&lt;999,ROUND(100/Z88*AA88-100,1),IF(ROUND(100/Z88*AA88-100,1)&gt;999,999,-999)))</f>
        <v xml:space="preserve">    ---- </v>
      </c>
      <c r="AC88" s="431"/>
      <c r="AD88" s="431"/>
      <c r="AE88" s="431"/>
      <c r="AF88" s="431">
        <f t="shared" si="61"/>
        <v>0</v>
      </c>
      <c r="AG88" s="431">
        <f t="shared" si="61"/>
        <v>48.023278019999999</v>
      </c>
      <c r="AH88" s="442" t="str">
        <f t="shared" si="22"/>
        <v xml:space="preserve">    ---- </v>
      </c>
      <c r="AI88" s="425">
        <f t="shared" si="62"/>
        <v>0</v>
      </c>
      <c r="AJ88" s="425">
        <f t="shared" si="62"/>
        <v>48.023278019999999</v>
      </c>
      <c r="AK88" s="442" t="str">
        <f t="shared" si="23"/>
        <v xml:space="preserve">    ---- </v>
      </c>
      <c r="AL88" s="545"/>
      <c r="AM88" s="545"/>
      <c r="AN88" s="545"/>
      <c r="AO88" s="545"/>
    </row>
    <row r="89" spans="1:41" ht="18.75" customHeight="1" x14ac:dyDescent="0.3">
      <c r="A89" s="411" t="s">
        <v>327</v>
      </c>
      <c r="B89" s="709">
        <v>327</v>
      </c>
      <c r="C89" s="728">
        <v>397.59500000000003</v>
      </c>
      <c r="D89" s="442">
        <f t="shared" ref="D89:D94" si="63">IF(B89=0, "    ---- ", IF(ABS(ROUND(100/B89*C89-100,1))&lt;999,ROUND(100/B89*C89-100,1),IF(ROUND(100/B89*C89-100,1)&gt;999,999,-999)))</f>
        <v>21.6</v>
      </c>
      <c r="E89" s="430"/>
      <c r="F89" s="431"/>
      <c r="G89" s="442"/>
      <c r="H89" s="430"/>
      <c r="I89" s="431"/>
      <c r="J89" s="442"/>
      <c r="K89" s="430">
        <v>-3</v>
      </c>
      <c r="L89" s="431">
        <v>0</v>
      </c>
      <c r="M89" s="431">
        <f>IF(K89=0, "    ---- ", IF(ABS(ROUND(100/K89*L89-100,1))&lt;999,ROUND(100/K89*L89-100,1),IF(ROUND(100/K89*L89-100,1)&gt;999,999,-999)))</f>
        <v>-100</v>
      </c>
      <c r="N89" s="430"/>
      <c r="O89" s="431"/>
      <c r="P89" s="442"/>
      <c r="Q89" s="430">
        <v>70.93164099489573</v>
      </c>
      <c r="R89" s="431">
        <v>89.896423806713983</v>
      </c>
      <c r="S89" s="442">
        <f t="shared" ref="S89:S94" si="64">IF(Q89=0, "    ---- ", IF(ABS(ROUND(100/Q89*R89-100,1))&lt;999,ROUND(100/Q89*R89-100,1),IF(ROUND(100/Q89*R89-100,1)&gt;999,999,-999)))</f>
        <v>26.7</v>
      </c>
      <c r="T89" s="430"/>
      <c r="U89" s="431"/>
      <c r="V89" s="442"/>
      <c r="W89" s="430">
        <v>58</v>
      </c>
      <c r="X89" s="431">
        <v>45</v>
      </c>
      <c r="Y89" s="442">
        <f>IF(W89=0, "    ---- ", IF(ABS(ROUND(100/W89*X89-100,1))&lt;999,ROUND(100/W89*X89-100,1),IF(ROUND(100/W89*X89-100,1)&gt;999,999,-999)))</f>
        <v>-22.4</v>
      </c>
      <c r="Z89" s="430">
        <v>357.43917162635427</v>
      </c>
      <c r="AA89" s="431">
        <v>307.73516208000001</v>
      </c>
      <c r="AB89" s="442">
        <f t="shared" ref="AB89:AB94" si="65">IF(Z89=0, "    ---- ", IF(ABS(ROUND(100/Z89*AA89-100,1))&lt;999,ROUND(100/Z89*AA89-100,1),IF(ROUND(100/Z89*AA89-100,1)&gt;999,999,-999)))</f>
        <v>-13.9</v>
      </c>
      <c r="AC89" s="431"/>
      <c r="AD89" s="431"/>
      <c r="AE89" s="431"/>
      <c r="AF89" s="431">
        <f t="shared" si="61"/>
        <v>810.37081262125002</v>
      </c>
      <c r="AG89" s="431">
        <f t="shared" si="61"/>
        <v>840.22658588671402</v>
      </c>
      <c r="AH89" s="442">
        <f t="shared" si="22"/>
        <v>3.7</v>
      </c>
      <c r="AI89" s="425">
        <f t="shared" si="62"/>
        <v>810.37081262125002</v>
      </c>
      <c r="AJ89" s="425">
        <f t="shared" si="62"/>
        <v>840.22658588671402</v>
      </c>
      <c r="AK89" s="442">
        <f t="shared" si="23"/>
        <v>3.7</v>
      </c>
      <c r="AL89" s="545"/>
      <c r="AM89" s="545"/>
      <c r="AN89" s="545"/>
      <c r="AO89" s="545"/>
    </row>
    <row r="90" spans="1:41" ht="18.75" customHeight="1" x14ac:dyDescent="0.3">
      <c r="A90" s="411" t="s">
        <v>328</v>
      </c>
      <c r="B90" s="709"/>
      <c r="C90" s="728"/>
      <c r="D90" s="442"/>
      <c r="E90" s="430"/>
      <c r="F90" s="431"/>
      <c r="G90" s="442"/>
      <c r="H90" s="430"/>
      <c r="I90" s="431"/>
      <c r="J90" s="442"/>
      <c r="K90" s="430"/>
      <c r="L90" s="431"/>
      <c r="M90" s="431"/>
      <c r="N90" s="430"/>
      <c r="O90" s="431"/>
      <c r="P90" s="442"/>
      <c r="Q90" s="430">
        <v>170.44452096399257</v>
      </c>
      <c r="R90" s="431">
        <v>230.86640024054662</v>
      </c>
      <c r="S90" s="442">
        <f t="shared" si="64"/>
        <v>35.4</v>
      </c>
      <c r="T90" s="430"/>
      <c r="U90" s="431"/>
      <c r="V90" s="442"/>
      <c r="W90" s="430"/>
      <c r="X90" s="431"/>
      <c r="Y90" s="442"/>
      <c r="Z90" s="430">
        <v>222.21101720635434</v>
      </c>
      <c r="AA90" s="431">
        <v>216.05464000000001</v>
      </c>
      <c r="AB90" s="442">
        <f t="shared" si="65"/>
        <v>-2.8</v>
      </c>
      <c r="AC90" s="431"/>
      <c r="AD90" s="431"/>
      <c r="AE90" s="431"/>
      <c r="AF90" s="431">
        <f t="shared" si="61"/>
        <v>392.65553817034692</v>
      </c>
      <c r="AG90" s="431">
        <f t="shared" si="61"/>
        <v>446.92104024054663</v>
      </c>
      <c r="AH90" s="442">
        <f t="shared" si="22"/>
        <v>13.8</v>
      </c>
      <c r="AI90" s="425">
        <f t="shared" si="62"/>
        <v>392.65553817034692</v>
      </c>
      <c r="AJ90" s="425">
        <f t="shared" si="62"/>
        <v>446.92104024054663</v>
      </c>
      <c r="AK90" s="442">
        <f t="shared" si="23"/>
        <v>13.8</v>
      </c>
      <c r="AL90" s="545"/>
      <c r="AM90" s="545"/>
      <c r="AN90" s="545"/>
      <c r="AO90" s="545"/>
    </row>
    <row r="91" spans="1:41" ht="18.75" customHeight="1" x14ac:dyDescent="0.3">
      <c r="A91" s="411" t="s">
        <v>329</v>
      </c>
      <c r="B91" s="709"/>
      <c r="C91" s="728"/>
      <c r="D91" s="442"/>
      <c r="E91" s="430"/>
      <c r="F91" s="431"/>
      <c r="G91" s="442"/>
      <c r="H91" s="430"/>
      <c r="I91" s="431"/>
      <c r="J91" s="442"/>
      <c r="K91" s="430"/>
      <c r="L91" s="431"/>
      <c r="M91" s="431"/>
      <c r="N91" s="430"/>
      <c r="O91" s="431"/>
      <c r="P91" s="442"/>
      <c r="Q91" s="430">
        <v>-0.22691700000000001</v>
      </c>
      <c r="R91" s="431">
        <v>0</v>
      </c>
      <c r="S91" s="442">
        <f t="shared" si="64"/>
        <v>-100</v>
      </c>
      <c r="T91" s="430"/>
      <c r="U91" s="431"/>
      <c r="V91" s="442"/>
      <c r="W91" s="430"/>
      <c r="X91" s="431"/>
      <c r="Y91" s="442"/>
      <c r="Z91" s="430">
        <v>135.05332926</v>
      </c>
      <c r="AA91" s="431">
        <v>-5.6999999999999998E-4</v>
      </c>
      <c r="AB91" s="442">
        <f t="shared" si="65"/>
        <v>-100</v>
      </c>
      <c r="AC91" s="431"/>
      <c r="AD91" s="431"/>
      <c r="AE91" s="431"/>
      <c r="AF91" s="431">
        <f t="shared" si="61"/>
        <v>134.82641226000001</v>
      </c>
      <c r="AG91" s="431">
        <f t="shared" si="61"/>
        <v>-5.6999999999999998E-4</v>
      </c>
      <c r="AH91" s="442">
        <f t="shared" si="22"/>
        <v>-100</v>
      </c>
      <c r="AI91" s="425">
        <f t="shared" si="62"/>
        <v>134.82641226000001</v>
      </c>
      <c r="AJ91" s="425">
        <f t="shared" si="62"/>
        <v>-5.6999999999999998E-4</v>
      </c>
      <c r="AK91" s="442">
        <f t="shared" si="23"/>
        <v>-100</v>
      </c>
      <c r="AL91" s="545"/>
      <c r="AM91" s="545"/>
      <c r="AN91" s="545"/>
      <c r="AO91" s="545"/>
    </row>
    <row r="92" spans="1:41" s="561" customFormat="1" ht="18.75" customHeight="1" x14ac:dyDescent="0.3">
      <c r="A92" s="528" t="s">
        <v>330</v>
      </c>
      <c r="B92" s="710">
        <f>SUM(B84:B89)+B91</f>
        <v>475</v>
      </c>
      <c r="C92" s="729">
        <f>SUM(C84:C89)+C91</f>
        <v>958.40499999999997</v>
      </c>
      <c r="D92" s="443">
        <f t="shared" si="63"/>
        <v>101.8</v>
      </c>
      <c r="E92" s="432"/>
      <c r="F92" s="433"/>
      <c r="G92" s="443"/>
      <c r="H92" s="432"/>
      <c r="I92" s="433"/>
      <c r="J92" s="443"/>
      <c r="K92" s="432">
        <f>SUM(K84:K89)+K91</f>
        <v>-81</v>
      </c>
      <c r="L92" s="433">
        <f>SUM(L84:L89)+L91</f>
        <v>27</v>
      </c>
      <c r="M92" s="433">
        <f>IF(K92=0, "    ---- ", IF(ABS(ROUND(100/K92*L92-100,1))&lt;999,ROUND(100/K92*L92-100,1),IF(ROUND(100/K92*L92-100,1)&gt;999,999,-999)))</f>
        <v>-133.30000000000001</v>
      </c>
      <c r="N92" s="432"/>
      <c r="O92" s="433"/>
      <c r="P92" s="443"/>
      <c r="Q92" s="432">
        <f>SUM(Q84:Q89)+Q91</f>
        <v>155.43543167709922</v>
      </c>
      <c r="R92" s="433">
        <f>SUM(R84:R89)+R91</f>
        <v>617.35662788570869</v>
      </c>
      <c r="S92" s="443">
        <f t="shared" si="64"/>
        <v>297.2</v>
      </c>
      <c r="T92" s="432"/>
      <c r="U92" s="433"/>
      <c r="V92" s="443"/>
      <c r="W92" s="432">
        <f>SUM(W84:W89)+W91</f>
        <v>81</v>
      </c>
      <c r="X92" s="433">
        <f>SUM(X84:X89)+X91</f>
        <v>335</v>
      </c>
      <c r="Y92" s="443">
        <f>IF(W92=0, "    ---- ", IF(ABS(ROUND(100/W92*X92-100,1))&lt;999,ROUND(100/W92*X92-100,1),IF(ROUND(100/W92*X92-100,1)&gt;999,999,-999)))</f>
        <v>313.60000000000002</v>
      </c>
      <c r="Z92" s="432">
        <f>SUM(Z84:Z89)+Z91</f>
        <v>795.90891283455881</v>
      </c>
      <c r="AA92" s="433">
        <f>SUM(AA84:AA89)+AA91</f>
        <v>1266.5831759600001</v>
      </c>
      <c r="AB92" s="443">
        <f t="shared" si="65"/>
        <v>59.1</v>
      </c>
      <c r="AC92" s="433"/>
      <c r="AD92" s="433"/>
      <c r="AE92" s="433"/>
      <c r="AF92" s="433">
        <f t="shared" si="61"/>
        <v>1426.3443445116582</v>
      </c>
      <c r="AG92" s="433">
        <f t="shared" si="61"/>
        <v>3204.3448038457086</v>
      </c>
      <c r="AH92" s="443">
        <f t="shared" si="22"/>
        <v>124.7</v>
      </c>
      <c r="AI92" s="423">
        <f t="shared" si="62"/>
        <v>1426.3443445116582</v>
      </c>
      <c r="AJ92" s="423">
        <f t="shared" si="62"/>
        <v>3204.3448038457086</v>
      </c>
      <c r="AK92" s="443">
        <f t="shared" si="23"/>
        <v>124.7</v>
      </c>
      <c r="AL92" s="548"/>
      <c r="AM92" s="548"/>
      <c r="AN92" s="548"/>
      <c r="AO92" s="548"/>
    </row>
    <row r="93" spans="1:41" ht="18.75" customHeight="1" x14ac:dyDescent="0.3">
      <c r="A93" s="411" t="s">
        <v>331</v>
      </c>
      <c r="B93" s="709">
        <v>173</v>
      </c>
      <c r="C93" s="728">
        <v>482</v>
      </c>
      <c r="D93" s="442">
        <f t="shared" si="63"/>
        <v>178.6</v>
      </c>
      <c r="E93" s="430"/>
      <c r="F93" s="431"/>
      <c r="G93" s="442"/>
      <c r="H93" s="430"/>
      <c r="I93" s="431"/>
      <c r="J93" s="442"/>
      <c r="K93" s="430">
        <v>-60</v>
      </c>
      <c r="L93" s="431">
        <v>30</v>
      </c>
      <c r="M93" s="431">
        <f>IF(K93=0, "    ---- ", IF(ABS(ROUND(100/K93*L93-100,1))&lt;999,ROUND(100/K93*L93-100,1),IF(ROUND(100/K93*L93-100,1)&gt;999,999,-999)))</f>
        <v>-150</v>
      </c>
      <c r="N93" s="430"/>
      <c r="O93" s="431"/>
      <c r="P93" s="442"/>
      <c r="Q93" s="430">
        <v>52.741599538263294</v>
      </c>
      <c r="R93" s="431">
        <v>399.20398874728409</v>
      </c>
      <c r="S93" s="442">
        <f t="shared" si="64"/>
        <v>656.9</v>
      </c>
      <c r="T93" s="430"/>
      <c r="U93" s="431"/>
      <c r="V93" s="442"/>
      <c r="W93" s="430">
        <v>29</v>
      </c>
      <c r="X93" s="431">
        <v>221</v>
      </c>
      <c r="Y93" s="442">
        <f>IF(W93=0, "    ---- ", IF(ABS(ROUND(100/W93*X93-100,1))&lt;999,ROUND(100/W93*X93-100,1),IF(ROUND(100/W93*X93-100,1)&gt;999,999,-999)))</f>
        <v>662.1</v>
      </c>
      <c r="Z93" s="709">
        <v>218.00377499020499</v>
      </c>
      <c r="AA93" s="431">
        <v>665.65472599999998</v>
      </c>
      <c r="AB93" s="442">
        <f t="shared" si="65"/>
        <v>205.3</v>
      </c>
      <c r="AC93" s="431"/>
      <c r="AD93" s="431"/>
      <c r="AE93" s="431"/>
      <c r="AF93" s="431">
        <f t="shared" si="61"/>
        <v>412.74537452846829</v>
      </c>
      <c r="AG93" s="431">
        <f t="shared" si="61"/>
        <v>1797.858714747284</v>
      </c>
      <c r="AH93" s="442">
        <f t="shared" si="22"/>
        <v>335.6</v>
      </c>
      <c r="AI93" s="425">
        <f t="shared" si="62"/>
        <v>412.74537452846829</v>
      </c>
      <c r="AJ93" s="425">
        <f t="shared" si="62"/>
        <v>1797.858714747284</v>
      </c>
      <c r="AK93" s="442">
        <f t="shared" si="23"/>
        <v>335.6</v>
      </c>
      <c r="AL93" s="545"/>
      <c r="AM93" s="545"/>
      <c r="AN93" s="545"/>
      <c r="AO93" s="545"/>
    </row>
    <row r="94" spans="1:41" ht="18.75" customHeight="1" x14ac:dyDescent="0.3">
      <c r="A94" s="411" t="s">
        <v>332</v>
      </c>
      <c r="B94" s="709">
        <v>302</v>
      </c>
      <c r="C94" s="728">
        <v>476</v>
      </c>
      <c r="D94" s="442">
        <f t="shared" si="63"/>
        <v>57.6</v>
      </c>
      <c r="E94" s="430"/>
      <c r="F94" s="431"/>
      <c r="G94" s="442"/>
      <c r="H94" s="430"/>
      <c r="I94" s="431"/>
      <c r="J94" s="442"/>
      <c r="K94" s="430">
        <v>-21</v>
      </c>
      <c r="L94" s="431">
        <v>-3</v>
      </c>
      <c r="M94" s="431">
        <f>IF(K94=0, "    ---- ", IF(ABS(ROUND(100/K94*L94-100,1))&lt;999,ROUND(100/K94*L94-100,1),IF(ROUND(100/K94*L94-100,1)&gt;999,999,-999)))</f>
        <v>-85.7</v>
      </c>
      <c r="N94" s="430"/>
      <c r="O94" s="431"/>
      <c r="P94" s="442"/>
      <c r="Q94" s="430">
        <v>102.69383213883592</v>
      </c>
      <c r="R94" s="431">
        <v>218.1526391384246</v>
      </c>
      <c r="S94" s="442">
        <f t="shared" si="64"/>
        <v>112.4</v>
      </c>
      <c r="T94" s="430"/>
      <c r="U94" s="431"/>
      <c r="V94" s="442"/>
      <c r="W94" s="430">
        <v>52</v>
      </c>
      <c r="X94" s="431">
        <v>114</v>
      </c>
      <c r="Y94" s="442">
        <f>IF(W94=0, "    ---- ", IF(ABS(ROUND(100/W94*X94-100,1))&lt;999,ROUND(100/W94*X94-100,1),IF(ROUND(100/W94*X94-100,1)&gt;999,999,-999)))</f>
        <v>119.2</v>
      </c>
      <c r="Z94" s="709">
        <v>577.90513784435416</v>
      </c>
      <c r="AA94" s="431">
        <v>600.92844996000201</v>
      </c>
      <c r="AB94" s="442">
        <f t="shared" si="65"/>
        <v>4</v>
      </c>
      <c r="AC94" s="431"/>
      <c r="AD94" s="431"/>
      <c r="AE94" s="431"/>
      <c r="AF94" s="431">
        <f t="shared" si="61"/>
        <v>1013.59896998319</v>
      </c>
      <c r="AG94" s="431">
        <f t="shared" si="61"/>
        <v>1406.0810890984267</v>
      </c>
      <c r="AH94" s="442">
        <f t="shared" si="22"/>
        <v>38.700000000000003</v>
      </c>
      <c r="AI94" s="425">
        <f t="shared" si="62"/>
        <v>1013.59896998319</v>
      </c>
      <c r="AJ94" s="425">
        <f t="shared" si="62"/>
        <v>1406.0810890984267</v>
      </c>
      <c r="AK94" s="442">
        <f t="shared" si="23"/>
        <v>38.700000000000003</v>
      </c>
      <c r="AL94" s="545"/>
      <c r="AM94" s="545"/>
      <c r="AN94" s="545"/>
      <c r="AO94" s="545"/>
    </row>
    <row r="95" spans="1:41" ht="18.75" customHeight="1" x14ac:dyDescent="0.3">
      <c r="A95" s="528" t="s">
        <v>349</v>
      </c>
      <c r="B95" s="709"/>
      <c r="C95" s="728"/>
      <c r="D95" s="442"/>
      <c r="E95" s="430"/>
      <c r="F95" s="431"/>
      <c r="G95" s="442"/>
      <c r="H95" s="430"/>
      <c r="I95" s="431"/>
      <c r="J95" s="442"/>
      <c r="K95" s="430"/>
      <c r="L95" s="431"/>
      <c r="M95" s="431"/>
      <c r="N95" s="430"/>
      <c r="O95" s="431"/>
      <c r="P95" s="442"/>
      <c r="Q95" s="430"/>
      <c r="R95" s="431"/>
      <c r="S95" s="442"/>
      <c r="T95" s="430"/>
      <c r="U95" s="431"/>
      <c r="V95" s="442"/>
      <c r="W95" s="430"/>
      <c r="X95" s="431"/>
      <c r="Y95" s="442"/>
      <c r="Z95" s="709"/>
      <c r="AA95" s="431"/>
      <c r="AB95" s="442"/>
      <c r="AC95" s="431"/>
      <c r="AD95" s="431"/>
      <c r="AE95" s="431"/>
      <c r="AF95" s="431"/>
      <c r="AG95" s="431"/>
      <c r="AH95" s="442"/>
      <c r="AI95" s="425"/>
      <c r="AJ95" s="425"/>
      <c r="AK95" s="442"/>
      <c r="AL95" s="545"/>
      <c r="AM95" s="545"/>
      <c r="AN95" s="545"/>
      <c r="AO95" s="545"/>
    </row>
    <row r="96" spans="1:41" ht="18.75" customHeight="1" x14ac:dyDescent="0.3">
      <c r="A96" s="760" t="s">
        <v>492</v>
      </c>
      <c r="B96" s="709"/>
      <c r="C96" s="728"/>
      <c r="D96" s="442"/>
      <c r="E96" s="430"/>
      <c r="F96" s="431"/>
      <c r="G96" s="442"/>
      <c r="H96" s="430"/>
      <c r="I96" s="431"/>
      <c r="J96" s="442"/>
      <c r="K96" s="430"/>
      <c r="L96" s="431"/>
      <c r="M96" s="431"/>
      <c r="N96" s="430"/>
      <c r="O96" s="431"/>
      <c r="P96" s="442"/>
      <c r="Q96" s="430">
        <v>14.152972276913523</v>
      </c>
      <c r="R96" s="431">
        <v>4.8041578808456755</v>
      </c>
      <c r="S96" s="442">
        <f>IF(Q96=0, "    ---- ", IF(ABS(ROUND(100/Q96*R96-100,1))&lt;999,ROUND(100/Q96*R96-100,1),IF(ROUND(100/Q96*R96-100,1)&gt;999,999,-999)))</f>
        <v>-66.099999999999994</v>
      </c>
      <c r="T96" s="430"/>
      <c r="U96" s="431"/>
      <c r="V96" s="442"/>
      <c r="W96" s="430"/>
      <c r="X96" s="431"/>
      <c r="Y96" s="442"/>
      <c r="Z96" s="709">
        <v>16.094103967094824</v>
      </c>
      <c r="AA96" s="431">
        <v>29.41318205</v>
      </c>
      <c r="AB96" s="442">
        <f>IF(Z96=0, "    ---- ", IF(ABS(ROUND(100/Z96*AA96-100,1))&lt;999,ROUND(100/Z96*AA96-100,1),IF(ROUND(100/Z96*AA96-100,1)&gt;999,999,-999)))</f>
        <v>82.8</v>
      </c>
      <c r="AC96" s="431"/>
      <c r="AD96" s="431"/>
      <c r="AE96" s="431"/>
      <c r="AF96" s="431">
        <f t="shared" ref="AF96:AG106" si="66">B96+E96+H96+K96+N96+Q96+T96+W96+Z96</f>
        <v>30.247076244008348</v>
      </c>
      <c r="AG96" s="431">
        <f t="shared" si="66"/>
        <v>34.217339930845675</v>
      </c>
      <c r="AH96" s="442">
        <f t="shared" si="22"/>
        <v>13.1</v>
      </c>
      <c r="AI96" s="425">
        <f t="shared" ref="AI96:AJ106" si="67">B96+E96+H96+K96+N96+Q96+T96+W96+Z96+AC96</f>
        <v>30.247076244008348</v>
      </c>
      <c r="AJ96" s="425">
        <f t="shared" si="67"/>
        <v>34.217339930845675</v>
      </c>
      <c r="AK96" s="442">
        <f t="shared" si="23"/>
        <v>13.1</v>
      </c>
      <c r="AL96" s="545"/>
      <c r="AM96" s="545"/>
      <c r="AN96" s="545"/>
      <c r="AO96" s="545"/>
    </row>
    <row r="97" spans="1:41" ht="18.75" customHeight="1" x14ac:dyDescent="0.3">
      <c r="A97" s="411" t="s">
        <v>493</v>
      </c>
      <c r="B97" s="709"/>
      <c r="C97" s="714"/>
      <c r="D97" s="442"/>
      <c r="E97" s="430"/>
      <c r="F97" s="431"/>
      <c r="G97" s="442"/>
      <c r="H97" s="430"/>
      <c r="I97" s="431"/>
      <c r="J97" s="442"/>
      <c r="K97" s="430"/>
      <c r="L97" s="431"/>
      <c r="M97" s="431"/>
      <c r="N97" s="430"/>
      <c r="O97" s="431"/>
      <c r="P97" s="442"/>
      <c r="Q97" s="430"/>
      <c r="R97" s="431"/>
      <c r="S97" s="442"/>
      <c r="T97" s="430"/>
      <c r="U97" s="431"/>
      <c r="V97" s="442"/>
      <c r="W97" s="430"/>
      <c r="X97" s="431"/>
      <c r="Y97" s="442"/>
      <c r="Z97" s="709"/>
      <c r="AA97" s="431"/>
      <c r="AB97" s="442"/>
      <c r="AC97" s="431"/>
      <c r="AD97" s="431"/>
      <c r="AE97" s="431"/>
      <c r="AF97" s="431">
        <f t="shared" si="66"/>
        <v>0</v>
      </c>
      <c r="AG97" s="431">
        <f t="shared" si="66"/>
        <v>0</v>
      </c>
      <c r="AH97" s="442" t="str">
        <f t="shared" si="22"/>
        <v xml:space="preserve">    ---- </v>
      </c>
      <c r="AI97" s="425">
        <f t="shared" si="67"/>
        <v>0</v>
      </c>
      <c r="AJ97" s="425">
        <f t="shared" si="67"/>
        <v>0</v>
      </c>
      <c r="AK97" s="442" t="str">
        <f t="shared" si="23"/>
        <v xml:space="preserve">    ---- </v>
      </c>
      <c r="AL97" s="545"/>
      <c r="AM97" s="545"/>
      <c r="AN97" s="545"/>
      <c r="AO97" s="545"/>
    </row>
    <row r="98" spans="1:41" ht="18.75" customHeight="1" x14ac:dyDescent="0.3">
      <c r="A98" s="411" t="s">
        <v>324</v>
      </c>
      <c r="B98" s="709"/>
      <c r="C98" s="728"/>
      <c r="D98" s="442"/>
      <c r="E98" s="430"/>
      <c r="F98" s="431"/>
      <c r="G98" s="442"/>
      <c r="H98" s="430"/>
      <c r="I98" s="431"/>
      <c r="J98" s="442"/>
      <c r="K98" s="430"/>
      <c r="L98" s="431"/>
      <c r="M98" s="431"/>
      <c r="N98" s="430"/>
      <c r="O98" s="431"/>
      <c r="P98" s="442"/>
      <c r="Q98" s="430">
        <v>13.622242579324364</v>
      </c>
      <c r="R98" s="431">
        <v>32.102852804502604</v>
      </c>
      <c r="S98" s="442">
        <f>IF(Q98=0, "    ---- ", IF(ABS(ROUND(100/Q98*R98-100,1))&lt;999,ROUND(100/Q98*R98-100,1),IF(ROUND(100/Q98*R98-100,1)&gt;999,999,-999)))</f>
        <v>135.69999999999999</v>
      </c>
      <c r="T98" s="430"/>
      <c r="U98" s="431"/>
      <c r="V98" s="442"/>
      <c r="W98" s="430"/>
      <c r="X98" s="431"/>
      <c r="Y98" s="442"/>
      <c r="Z98" s="709">
        <v>23.546796399999977</v>
      </c>
      <c r="AA98" s="431">
        <v>38.982477279999998</v>
      </c>
      <c r="AB98" s="442">
        <f>IF(Z98=0, "    ---- ", IF(ABS(ROUND(100/Z98*AA98-100,1))&lt;999,ROUND(100/Z98*AA98-100,1),IF(ROUND(100/Z98*AA98-100,1)&gt;999,999,-999)))</f>
        <v>65.599999999999994</v>
      </c>
      <c r="AC98" s="431"/>
      <c r="AD98" s="431"/>
      <c r="AE98" s="431"/>
      <c r="AF98" s="431">
        <f t="shared" si="66"/>
        <v>37.169038979324341</v>
      </c>
      <c r="AG98" s="431">
        <f t="shared" si="66"/>
        <v>71.085330084502601</v>
      </c>
      <c r="AH98" s="442">
        <f t="shared" si="22"/>
        <v>91.2</v>
      </c>
      <c r="AI98" s="425">
        <f t="shared" si="67"/>
        <v>37.169038979324341</v>
      </c>
      <c r="AJ98" s="425">
        <f t="shared" si="67"/>
        <v>71.085330084502601</v>
      </c>
      <c r="AK98" s="442">
        <f t="shared" si="23"/>
        <v>91.2</v>
      </c>
      <c r="AL98" s="545"/>
      <c r="AM98" s="545"/>
      <c r="AN98" s="545"/>
      <c r="AO98" s="545"/>
    </row>
    <row r="99" spans="1:41" ht="18.75" customHeight="1" x14ac:dyDescent="0.3">
      <c r="A99" s="411" t="s">
        <v>325</v>
      </c>
      <c r="B99" s="709"/>
      <c r="C99" s="728"/>
      <c r="D99" s="442"/>
      <c r="E99" s="430"/>
      <c r="F99" s="431"/>
      <c r="G99" s="442"/>
      <c r="H99" s="430"/>
      <c r="I99" s="431"/>
      <c r="J99" s="442"/>
      <c r="K99" s="430"/>
      <c r="L99" s="431"/>
      <c r="M99" s="431"/>
      <c r="N99" s="430"/>
      <c r="O99" s="431"/>
      <c r="P99" s="442"/>
      <c r="Q99" s="430"/>
      <c r="R99" s="431"/>
      <c r="S99" s="442"/>
      <c r="T99" s="430"/>
      <c r="U99" s="431"/>
      <c r="V99" s="442"/>
      <c r="W99" s="430"/>
      <c r="X99" s="431"/>
      <c r="Y99" s="442"/>
      <c r="Z99" s="709">
        <v>6.9855239999999998</v>
      </c>
      <c r="AA99" s="431">
        <v>8.1631730000000005</v>
      </c>
      <c r="AB99" s="442">
        <f>IF(Z99=0, "    ---- ", IF(ABS(ROUND(100/Z99*AA99-100,1))&lt;999,ROUND(100/Z99*AA99-100,1),IF(ROUND(100/Z99*AA99-100,1)&gt;999,999,-999)))</f>
        <v>16.899999999999999</v>
      </c>
      <c r="AC99" s="431"/>
      <c r="AD99" s="431"/>
      <c r="AE99" s="431"/>
      <c r="AF99" s="431">
        <f t="shared" si="66"/>
        <v>6.9855239999999998</v>
      </c>
      <c r="AG99" s="431">
        <f t="shared" si="66"/>
        <v>8.1631730000000005</v>
      </c>
      <c r="AH99" s="442">
        <f t="shared" si="22"/>
        <v>16.899999999999999</v>
      </c>
      <c r="AI99" s="425">
        <f t="shared" si="67"/>
        <v>6.9855239999999998</v>
      </c>
      <c r="AJ99" s="425">
        <f t="shared" si="67"/>
        <v>8.1631730000000005</v>
      </c>
      <c r="AK99" s="442">
        <f t="shared" si="23"/>
        <v>16.899999999999999</v>
      </c>
      <c r="AL99" s="545"/>
      <c r="AM99" s="545"/>
      <c r="AN99" s="545"/>
      <c r="AO99" s="545"/>
    </row>
    <row r="100" spans="1:41" ht="18.75" customHeight="1" x14ac:dyDescent="0.3">
      <c r="A100" s="411" t="s">
        <v>326</v>
      </c>
      <c r="B100" s="709"/>
      <c r="C100" s="728"/>
      <c r="D100" s="442"/>
      <c r="E100" s="430"/>
      <c r="F100" s="431"/>
      <c r="G100" s="442"/>
      <c r="H100" s="430"/>
      <c r="I100" s="431"/>
      <c r="J100" s="442"/>
      <c r="K100" s="430"/>
      <c r="L100" s="431"/>
      <c r="M100" s="431"/>
      <c r="N100" s="430"/>
      <c r="O100" s="431"/>
      <c r="P100" s="442"/>
      <c r="Q100" s="430"/>
      <c r="R100" s="431"/>
      <c r="S100" s="442"/>
      <c r="T100" s="430"/>
      <c r="U100" s="431"/>
      <c r="V100" s="442"/>
      <c r="W100" s="430"/>
      <c r="X100" s="431"/>
      <c r="Y100" s="442"/>
      <c r="Z100" s="709"/>
      <c r="AA100" s="431"/>
      <c r="AB100" s="442"/>
      <c r="AC100" s="431"/>
      <c r="AD100" s="431"/>
      <c r="AE100" s="431"/>
      <c r="AF100" s="431">
        <f t="shared" si="66"/>
        <v>0</v>
      </c>
      <c r="AG100" s="431">
        <f t="shared" si="66"/>
        <v>0</v>
      </c>
      <c r="AH100" s="442" t="str">
        <f t="shared" si="22"/>
        <v xml:space="preserve">    ---- </v>
      </c>
      <c r="AI100" s="425">
        <f t="shared" si="67"/>
        <v>0</v>
      </c>
      <c r="AJ100" s="425">
        <f t="shared" si="67"/>
        <v>0</v>
      </c>
      <c r="AK100" s="442" t="str">
        <f t="shared" si="23"/>
        <v xml:space="preserve">    ---- </v>
      </c>
      <c r="AL100" s="545"/>
      <c r="AM100" s="545"/>
      <c r="AN100" s="545"/>
      <c r="AO100" s="545"/>
    </row>
    <row r="101" spans="1:41" ht="18.75" customHeight="1" x14ac:dyDescent="0.3">
      <c r="A101" s="411" t="s">
        <v>327</v>
      </c>
      <c r="B101" s="706"/>
      <c r="C101" s="708"/>
      <c r="D101" s="442"/>
      <c r="E101" s="424"/>
      <c r="F101" s="425"/>
      <c r="G101" s="442"/>
      <c r="H101" s="424"/>
      <c r="I101" s="425"/>
      <c r="J101" s="442"/>
      <c r="K101" s="424"/>
      <c r="L101" s="425"/>
      <c r="M101" s="431"/>
      <c r="N101" s="424"/>
      <c r="O101" s="425"/>
      <c r="P101" s="442"/>
      <c r="Q101" s="424">
        <v>-5.1069058034048789</v>
      </c>
      <c r="R101" s="425">
        <v>-45.880739129087793</v>
      </c>
      <c r="S101" s="442">
        <f t="shared" ref="S101:S106" si="68">IF(Q101=0, "    ---- ", IF(ABS(ROUND(100/Q101*R101-100,1))&lt;999,ROUND(100/Q101*R101-100,1),IF(ROUND(100/Q101*R101-100,1)&gt;999,999,-999)))</f>
        <v>798.4</v>
      </c>
      <c r="T101" s="424"/>
      <c r="U101" s="425"/>
      <c r="V101" s="442"/>
      <c r="W101" s="424"/>
      <c r="X101" s="425"/>
      <c r="Y101" s="442"/>
      <c r="Z101" s="706">
        <v>-88.936530579495056</v>
      </c>
      <c r="AA101" s="425">
        <v>42.2778434700001</v>
      </c>
      <c r="AB101" s="442">
        <f t="shared" ref="AB101:AB106" si="69">IF(Z101=0, "    ---- ", IF(ABS(ROUND(100/Z101*AA101-100,1))&lt;999,ROUND(100/Z101*AA101-100,1),IF(ROUND(100/Z101*AA101-100,1)&gt;999,999,-999)))</f>
        <v>-147.5</v>
      </c>
      <c r="AC101" s="431"/>
      <c r="AD101" s="431"/>
      <c r="AE101" s="431"/>
      <c r="AF101" s="431">
        <f t="shared" si="66"/>
        <v>-94.043436382899941</v>
      </c>
      <c r="AG101" s="431">
        <f t="shared" si="66"/>
        <v>-3.602895659087693</v>
      </c>
      <c r="AH101" s="442">
        <f t="shared" si="22"/>
        <v>-96.2</v>
      </c>
      <c r="AI101" s="425">
        <f t="shared" si="67"/>
        <v>-94.043436382899941</v>
      </c>
      <c r="AJ101" s="425">
        <f t="shared" si="67"/>
        <v>-3.602895659087693</v>
      </c>
      <c r="AK101" s="442">
        <f t="shared" si="23"/>
        <v>-96.2</v>
      </c>
      <c r="AL101" s="545"/>
      <c r="AM101" s="545"/>
      <c r="AN101" s="545"/>
      <c r="AO101" s="545"/>
    </row>
    <row r="102" spans="1:41" ht="18.75" customHeight="1" x14ac:dyDescent="0.3">
      <c r="A102" s="411" t="s">
        <v>328</v>
      </c>
      <c r="B102" s="709"/>
      <c r="C102" s="728"/>
      <c r="D102" s="442"/>
      <c r="E102" s="430"/>
      <c r="F102" s="431"/>
      <c r="G102" s="442"/>
      <c r="H102" s="430"/>
      <c r="I102" s="431"/>
      <c r="J102" s="442"/>
      <c r="K102" s="430"/>
      <c r="L102" s="431"/>
      <c r="M102" s="431"/>
      <c r="N102" s="430"/>
      <c r="O102" s="431"/>
      <c r="P102" s="442"/>
      <c r="Q102" s="430"/>
      <c r="R102" s="431"/>
      <c r="S102" s="442"/>
      <c r="T102" s="430"/>
      <c r="U102" s="431"/>
      <c r="V102" s="442"/>
      <c r="W102" s="430"/>
      <c r="X102" s="431"/>
      <c r="Y102" s="442"/>
      <c r="Z102" s="709"/>
      <c r="AA102" s="431"/>
      <c r="AB102" s="442"/>
      <c r="AC102" s="431"/>
      <c r="AD102" s="431"/>
      <c r="AE102" s="431"/>
      <c r="AF102" s="431">
        <f t="shared" si="66"/>
        <v>0</v>
      </c>
      <c r="AG102" s="431">
        <f t="shared" si="66"/>
        <v>0</v>
      </c>
      <c r="AH102" s="442" t="str">
        <f t="shared" si="22"/>
        <v xml:space="preserve">    ---- </v>
      </c>
      <c r="AI102" s="425">
        <f t="shared" si="67"/>
        <v>0</v>
      </c>
      <c r="AJ102" s="425">
        <f t="shared" si="67"/>
        <v>0</v>
      </c>
      <c r="AK102" s="442" t="str">
        <f t="shared" si="23"/>
        <v xml:space="preserve">    ---- </v>
      </c>
      <c r="AL102" s="545"/>
      <c r="AM102" s="545"/>
      <c r="AN102" s="545"/>
      <c r="AO102" s="545"/>
    </row>
    <row r="103" spans="1:41" ht="18.75" customHeight="1" x14ac:dyDescent="0.3">
      <c r="A103" s="411" t="s">
        <v>329</v>
      </c>
      <c r="B103" s="709"/>
      <c r="C103" s="728"/>
      <c r="D103" s="442"/>
      <c r="E103" s="430"/>
      <c r="F103" s="431"/>
      <c r="G103" s="442"/>
      <c r="H103" s="430"/>
      <c r="I103" s="431"/>
      <c r="J103" s="442"/>
      <c r="K103" s="430"/>
      <c r="L103" s="431"/>
      <c r="M103" s="431"/>
      <c r="N103" s="430"/>
      <c r="O103" s="431"/>
      <c r="P103" s="442"/>
      <c r="Q103" s="430">
        <v>0</v>
      </c>
      <c r="R103" s="431">
        <v>0</v>
      </c>
      <c r="S103" s="442" t="str">
        <f t="shared" si="68"/>
        <v xml:space="preserve">    ---- </v>
      </c>
      <c r="T103" s="430"/>
      <c r="U103" s="431"/>
      <c r="V103" s="442"/>
      <c r="W103" s="430"/>
      <c r="X103" s="431"/>
      <c r="Y103" s="442"/>
      <c r="Z103" s="430"/>
      <c r="AA103" s="431">
        <v>2.4898E-2</v>
      </c>
      <c r="AB103" s="442" t="str">
        <f>IF(Z103=0, "    ---- ", IF(ABS(ROUND(100/Z103*AA103-100,1))&lt;999,ROUND(100/Z103*AA103-100,1),IF(ROUND(100/Z103*AA103-100,1)&gt;999,999,-999)))</f>
        <v xml:space="preserve">    ---- </v>
      </c>
      <c r="AC103" s="431"/>
      <c r="AD103" s="431"/>
      <c r="AE103" s="431"/>
      <c r="AF103" s="431">
        <f t="shared" si="66"/>
        <v>0</v>
      </c>
      <c r="AG103" s="431">
        <f t="shared" si="66"/>
        <v>2.4898E-2</v>
      </c>
      <c r="AH103" s="442" t="str">
        <f t="shared" si="22"/>
        <v xml:space="preserve">    ---- </v>
      </c>
      <c r="AI103" s="425">
        <f t="shared" si="67"/>
        <v>0</v>
      </c>
      <c r="AJ103" s="425">
        <f t="shared" si="67"/>
        <v>2.4898E-2</v>
      </c>
      <c r="AK103" s="442" t="str">
        <f t="shared" si="23"/>
        <v xml:space="preserve">    ---- </v>
      </c>
      <c r="AL103" s="545"/>
      <c r="AM103" s="545"/>
      <c r="AN103" s="545"/>
      <c r="AO103" s="545"/>
    </row>
    <row r="104" spans="1:41" s="561" customFormat="1" ht="18.75" customHeight="1" x14ac:dyDescent="0.3">
      <c r="A104" s="528" t="s">
        <v>330</v>
      </c>
      <c r="B104" s="710"/>
      <c r="C104" s="729"/>
      <c r="D104" s="443"/>
      <c r="E104" s="432"/>
      <c r="F104" s="433"/>
      <c r="G104" s="443"/>
      <c r="H104" s="432"/>
      <c r="I104" s="433"/>
      <c r="J104" s="443"/>
      <c r="K104" s="432"/>
      <c r="L104" s="433"/>
      <c r="M104" s="433"/>
      <c r="N104" s="432"/>
      <c r="O104" s="433"/>
      <c r="P104" s="443"/>
      <c r="Q104" s="432">
        <f>SUM(Q96:Q101)+Q103</f>
        <v>22.66830905283301</v>
      </c>
      <c r="R104" s="433">
        <f>SUM(R96:R101)+R103</f>
        <v>-8.9737284437395104</v>
      </c>
      <c r="S104" s="443">
        <f t="shared" si="68"/>
        <v>-139.6</v>
      </c>
      <c r="T104" s="432"/>
      <c r="U104" s="433"/>
      <c r="V104" s="443"/>
      <c r="W104" s="432"/>
      <c r="X104" s="433"/>
      <c r="Y104" s="443"/>
      <c r="Z104" s="432">
        <f>SUM(Z96:Z101)+Z103</f>
        <v>-42.310106212400257</v>
      </c>
      <c r="AA104" s="433">
        <f>SUM(AA96:AA101)+AA103</f>
        <v>118.8615738000001</v>
      </c>
      <c r="AB104" s="443">
        <f t="shared" si="69"/>
        <v>-380.9</v>
      </c>
      <c r="AC104" s="433"/>
      <c r="AD104" s="433"/>
      <c r="AE104" s="433"/>
      <c r="AF104" s="433">
        <f t="shared" si="66"/>
        <v>-19.641797159567247</v>
      </c>
      <c r="AG104" s="433">
        <f t="shared" si="66"/>
        <v>109.88784535626058</v>
      </c>
      <c r="AH104" s="443">
        <f t="shared" si="22"/>
        <v>-659.5</v>
      </c>
      <c r="AI104" s="423">
        <f t="shared" si="67"/>
        <v>-19.641797159567247</v>
      </c>
      <c r="AJ104" s="423">
        <f t="shared" si="67"/>
        <v>109.88784535626058</v>
      </c>
      <c r="AK104" s="443">
        <f t="shared" si="23"/>
        <v>-659.5</v>
      </c>
      <c r="AL104" s="548"/>
      <c r="AM104" s="548"/>
      <c r="AN104" s="548"/>
      <c r="AO104" s="548"/>
    </row>
    <row r="105" spans="1:41" ht="18.75" customHeight="1" x14ac:dyDescent="0.3">
      <c r="A105" s="411" t="s">
        <v>331</v>
      </c>
      <c r="B105" s="709"/>
      <c r="C105" s="728"/>
      <c r="D105" s="442"/>
      <c r="E105" s="430"/>
      <c r="F105" s="431"/>
      <c r="G105" s="442"/>
      <c r="H105" s="430"/>
      <c r="I105" s="431"/>
      <c r="J105" s="442"/>
      <c r="K105" s="430"/>
      <c r="L105" s="431"/>
      <c r="M105" s="431"/>
      <c r="N105" s="430"/>
      <c r="O105" s="431"/>
      <c r="P105" s="442"/>
      <c r="Q105" s="430">
        <v>-8.1058233482660302</v>
      </c>
      <c r="R105" s="431">
        <v>0</v>
      </c>
      <c r="S105" s="442">
        <f t="shared" si="68"/>
        <v>-100</v>
      </c>
      <c r="T105" s="430"/>
      <c r="U105" s="431"/>
      <c r="V105" s="442"/>
      <c r="W105" s="430"/>
      <c r="X105" s="431"/>
      <c r="Y105" s="442"/>
      <c r="Z105" s="430">
        <v>4.8900030000000001</v>
      </c>
      <c r="AA105" s="431">
        <v>29.413181999999999</v>
      </c>
      <c r="AB105" s="442">
        <f>IF(Z105=0, "    ---- ", IF(ABS(ROUND(100/Z105*AA105-100,1))&lt;999,ROUND(100/Z105*AA105-100,1),IF(ROUND(100/Z105*AA105-100,1)&gt;999,999,-999)))</f>
        <v>501.5</v>
      </c>
      <c r="AC105" s="431"/>
      <c r="AD105" s="431"/>
      <c r="AE105" s="431"/>
      <c r="AF105" s="431">
        <f t="shared" si="66"/>
        <v>-3.2158203482660301</v>
      </c>
      <c r="AG105" s="431">
        <f t="shared" si="66"/>
        <v>29.413181999999999</v>
      </c>
      <c r="AH105" s="442">
        <f t="shared" si="22"/>
        <v>-999</v>
      </c>
      <c r="AI105" s="425">
        <f t="shared" si="67"/>
        <v>-3.2158203482660301</v>
      </c>
      <c r="AJ105" s="425">
        <f t="shared" si="67"/>
        <v>29.413181999999999</v>
      </c>
      <c r="AK105" s="442">
        <f t="shared" si="23"/>
        <v>-999</v>
      </c>
      <c r="AL105" s="545"/>
      <c r="AM105" s="545"/>
      <c r="AN105" s="545"/>
      <c r="AO105" s="545"/>
    </row>
    <row r="106" spans="1:41" ht="18.75" customHeight="1" x14ac:dyDescent="0.3">
      <c r="A106" s="411" t="s">
        <v>332</v>
      </c>
      <c r="B106" s="709"/>
      <c r="C106" s="728"/>
      <c r="D106" s="442"/>
      <c r="E106" s="430"/>
      <c r="F106" s="431"/>
      <c r="G106" s="442"/>
      <c r="H106" s="430"/>
      <c r="I106" s="431"/>
      <c r="J106" s="442"/>
      <c r="K106" s="430"/>
      <c r="L106" s="431"/>
      <c r="M106" s="431"/>
      <c r="N106" s="430"/>
      <c r="O106" s="431"/>
      <c r="P106" s="442"/>
      <c r="Q106" s="430">
        <v>30.774132401099038</v>
      </c>
      <c r="R106" s="431">
        <v>-8.9737284437395104</v>
      </c>
      <c r="S106" s="442">
        <f t="shared" si="68"/>
        <v>-129.19999999999999</v>
      </c>
      <c r="T106" s="430"/>
      <c r="U106" s="431"/>
      <c r="V106" s="442"/>
      <c r="W106" s="430"/>
      <c r="X106" s="431"/>
      <c r="Y106" s="442"/>
      <c r="Z106" s="709">
        <v>-47.211862212400256</v>
      </c>
      <c r="AA106" s="431">
        <v>89.448391800000095</v>
      </c>
      <c r="AB106" s="442">
        <f t="shared" si="69"/>
        <v>-289.5</v>
      </c>
      <c r="AC106" s="431"/>
      <c r="AD106" s="431"/>
      <c r="AE106" s="431"/>
      <c r="AF106" s="431">
        <f t="shared" si="66"/>
        <v>-16.437729811301217</v>
      </c>
      <c r="AG106" s="431">
        <f t="shared" si="66"/>
        <v>80.474663356260578</v>
      </c>
      <c r="AH106" s="442">
        <f t="shared" si="22"/>
        <v>-589.6</v>
      </c>
      <c r="AI106" s="425">
        <f t="shared" si="67"/>
        <v>-16.437729811301217</v>
      </c>
      <c r="AJ106" s="425">
        <f t="shared" si="67"/>
        <v>80.474663356260578</v>
      </c>
      <c r="AK106" s="442">
        <f t="shared" si="23"/>
        <v>-589.6</v>
      </c>
      <c r="AL106" s="545"/>
      <c r="AM106" s="545"/>
      <c r="AN106" s="545"/>
      <c r="AO106" s="545"/>
    </row>
    <row r="107" spans="1:41" s="509" customFormat="1" ht="18.75" customHeight="1" x14ac:dyDescent="0.3">
      <c r="A107" s="562" t="s">
        <v>350</v>
      </c>
      <c r="B107" s="709"/>
      <c r="C107" s="728"/>
      <c r="D107" s="442"/>
      <c r="E107" s="430"/>
      <c r="F107" s="431"/>
      <c r="G107" s="442"/>
      <c r="H107" s="430"/>
      <c r="I107" s="431"/>
      <c r="J107" s="442"/>
      <c r="K107" s="430"/>
      <c r="L107" s="431"/>
      <c r="M107" s="431"/>
      <c r="N107" s="430"/>
      <c r="O107" s="431"/>
      <c r="P107" s="442"/>
      <c r="Q107" s="430"/>
      <c r="R107" s="431"/>
      <c r="S107" s="442"/>
      <c r="T107" s="430"/>
      <c r="U107" s="431"/>
      <c r="V107" s="442"/>
      <c r="W107" s="430"/>
      <c r="X107" s="431"/>
      <c r="Y107" s="442"/>
      <c r="Z107" s="709"/>
      <c r="AA107" s="431"/>
      <c r="AB107" s="442"/>
      <c r="AC107" s="431"/>
      <c r="AD107" s="431"/>
      <c r="AE107" s="431"/>
      <c r="AF107" s="431"/>
      <c r="AG107" s="431"/>
      <c r="AH107" s="442"/>
      <c r="AI107" s="425"/>
      <c r="AJ107" s="425"/>
      <c r="AK107" s="442"/>
      <c r="AL107" s="564"/>
      <c r="AM107" s="564"/>
      <c r="AN107" s="564"/>
      <c r="AO107" s="564"/>
    </row>
    <row r="108" spans="1:41" s="509" customFormat="1" ht="18.75" customHeight="1" x14ac:dyDescent="0.3">
      <c r="A108" s="760" t="s">
        <v>492</v>
      </c>
      <c r="B108" s="709"/>
      <c r="C108" s="728"/>
      <c r="D108" s="442"/>
      <c r="E108" s="430"/>
      <c r="F108" s="431"/>
      <c r="G108" s="442"/>
      <c r="H108" s="430"/>
      <c r="I108" s="431"/>
      <c r="J108" s="442"/>
      <c r="K108" s="430"/>
      <c r="L108" s="431"/>
      <c r="M108" s="431"/>
      <c r="N108" s="430"/>
      <c r="O108" s="431"/>
      <c r="P108" s="442"/>
      <c r="Q108" s="430"/>
      <c r="R108" s="431"/>
      <c r="S108" s="442"/>
      <c r="T108" s="430"/>
      <c r="U108" s="431"/>
      <c r="V108" s="442"/>
      <c r="W108" s="430"/>
      <c r="X108" s="431">
        <v>64</v>
      </c>
      <c r="Y108" s="442" t="str">
        <f>IF(W108=0, "    ---- ", IF(ABS(ROUND(100/W108*X108-100,1))&lt;999,ROUND(100/W108*X108-100,1),IF(ROUND(100/W108*X108-100,1)&gt;999,999,-999)))</f>
        <v xml:space="preserve">    ---- </v>
      </c>
      <c r="Z108" s="709">
        <v>10.605078139999975</v>
      </c>
      <c r="AA108" s="431">
        <v>62.674246070000002</v>
      </c>
      <c r="AB108" s="442">
        <f t="shared" ref="AB108:AB118" si="70">IF(Z108=0, "    ---- ", IF(ABS(ROUND(100/Z108*AA108-100,1))&lt;999,ROUND(100/Z108*AA108-100,1),IF(ROUND(100/Z108*AA108-100,1)&gt;999,999,-999)))</f>
        <v>491</v>
      </c>
      <c r="AC108" s="431"/>
      <c r="AD108" s="431"/>
      <c r="AE108" s="431"/>
      <c r="AF108" s="431">
        <f t="shared" ref="AF108:AG118" si="71">B108+E108+H108+K108+N108+Q108+T108+W108+Z108</f>
        <v>10.605078139999975</v>
      </c>
      <c r="AG108" s="431">
        <f t="shared" si="71"/>
        <v>126.67424607000001</v>
      </c>
      <c r="AH108" s="442">
        <f t="shared" ref="AH108:AH118" si="72">IF(AF108=0, "    ---- ", IF(ABS(ROUND(100/AF108*AG108-100,1))&lt;999,ROUND(100/AF108*AG108-100,1),IF(ROUND(100/AF108*AG108-100,1)&gt;999,999,-999)))</f>
        <v>999</v>
      </c>
      <c r="AI108" s="425">
        <f t="shared" ref="AI108:AJ118" si="73">B108+E108+H108+K108+N108+Q108+T108+W108+Z108+AC108</f>
        <v>10.605078139999975</v>
      </c>
      <c r="AJ108" s="425">
        <f t="shared" si="73"/>
        <v>126.67424607000001</v>
      </c>
      <c r="AK108" s="442">
        <f t="shared" ref="AK108:AK118" si="74">IF(AI108=0, "    ---- ", IF(ABS(ROUND(100/AI108*AJ108-100,1))&lt;999,ROUND(100/AI108*AJ108-100,1),IF(ROUND(100/AI108*AJ108-100,1)&gt;999,999,-999)))</f>
        <v>999</v>
      </c>
      <c r="AL108" s="564"/>
      <c r="AM108" s="564"/>
      <c r="AN108" s="564"/>
      <c r="AO108" s="564"/>
    </row>
    <row r="109" spans="1:41" s="509" customFormat="1" ht="18.75" customHeight="1" x14ac:dyDescent="0.3">
      <c r="A109" s="411" t="s">
        <v>493</v>
      </c>
      <c r="B109" s="709"/>
      <c r="C109" s="714"/>
      <c r="D109" s="442"/>
      <c r="E109" s="430"/>
      <c r="F109" s="431"/>
      <c r="G109" s="442"/>
      <c r="H109" s="430"/>
      <c r="I109" s="431"/>
      <c r="J109" s="442"/>
      <c r="K109" s="430"/>
      <c r="L109" s="431"/>
      <c r="M109" s="431"/>
      <c r="N109" s="430"/>
      <c r="O109" s="431"/>
      <c r="P109" s="442"/>
      <c r="Q109" s="430"/>
      <c r="R109" s="431"/>
      <c r="S109" s="442"/>
      <c r="T109" s="430"/>
      <c r="U109" s="431"/>
      <c r="V109" s="442"/>
      <c r="W109" s="430"/>
      <c r="X109" s="431">
        <v>-45</v>
      </c>
      <c r="Y109" s="442" t="str">
        <f t="shared" ref="Y109:Y110" si="75">IF(W109=0, "    ---- ", IF(ABS(ROUND(100/W109*X109-100,1))&lt;999,ROUND(100/W109*X109-100,1),IF(ROUND(100/W109*X109-100,1)&gt;999,999,-999)))</f>
        <v xml:space="preserve">    ---- </v>
      </c>
      <c r="Z109" s="709"/>
      <c r="AA109" s="431">
        <v>-62.674121999999997</v>
      </c>
      <c r="AB109" s="442" t="str">
        <f>IF(Z109=0, "    ---- ", IF(ABS(ROUND(100/Z109*AA109-100,1))&lt;999,ROUND(100/Z109*AA109-100,1),IF(ROUND(100/Z109*AA109-100,1)&gt;999,999,-999)))</f>
        <v xml:space="preserve">    ---- </v>
      </c>
      <c r="AC109" s="431"/>
      <c r="AD109" s="431"/>
      <c r="AE109" s="431"/>
      <c r="AF109" s="431">
        <f t="shared" si="71"/>
        <v>0</v>
      </c>
      <c r="AG109" s="431">
        <f t="shared" si="71"/>
        <v>-107.674122</v>
      </c>
      <c r="AH109" s="442" t="str">
        <f t="shared" si="72"/>
        <v xml:space="preserve">    ---- </v>
      </c>
      <c r="AI109" s="425">
        <f t="shared" si="73"/>
        <v>0</v>
      </c>
      <c r="AJ109" s="425">
        <f t="shared" si="73"/>
        <v>-107.674122</v>
      </c>
      <c r="AK109" s="442" t="str">
        <f t="shared" si="74"/>
        <v xml:space="preserve">    ---- </v>
      </c>
      <c r="AL109" s="564"/>
      <c r="AM109" s="564"/>
      <c r="AN109" s="564"/>
      <c r="AO109" s="564"/>
    </row>
    <row r="110" spans="1:41" s="509" customFormat="1" ht="18.75" customHeight="1" x14ac:dyDescent="0.3">
      <c r="A110" s="563" t="s">
        <v>324</v>
      </c>
      <c r="B110" s="709"/>
      <c r="C110" s="728"/>
      <c r="D110" s="442"/>
      <c r="E110" s="430"/>
      <c r="F110" s="431"/>
      <c r="G110" s="442"/>
      <c r="H110" s="430"/>
      <c r="I110" s="431"/>
      <c r="J110" s="442"/>
      <c r="K110" s="430"/>
      <c r="L110" s="431"/>
      <c r="M110" s="431"/>
      <c r="N110" s="430"/>
      <c r="O110" s="431"/>
      <c r="P110" s="442"/>
      <c r="Q110" s="430"/>
      <c r="R110" s="431"/>
      <c r="S110" s="442"/>
      <c r="T110" s="430"/>
      <c r="U110" s="431"/>
      <c r="V110" s="442"/>
      <c r="W110" s="430"/>
      <c r="X110" s="431">
        <v>-5</v>
      </c>
      <c r="Y110" s="442" t="str">
        <f t="shared" si="75"/>
        <v xml:space="preserve">    ---- </v>
      </c>
      <c r="Z110" s="709">
        <v>3.6711297599999999</v>
      </c>
      <c r="AA110" s="431">
        <v>6.5718357100000002</v>
      </c>
      <c r="AB110" s="442">
        <f t="shared" si="70"/>
        <v>79</v>
      </c>
      <c r="AC110" s="431"/>
      <c r="AD110" s="431"/>
      <c r="AE110" s="431"/>
      <c r="AF110" s="431">
        <f t="shared" si="71"/>
        <v>3.6711297599999999</v>
      </c>
      <c r="AG110" s="431">
        <f t="shared" si="71"/>
        <v>1.5718357100000002</v>
      </c>
      <c r="AH110" s="442">
        <f t="shared" si="72"/>
        <v>-57.2</v>
      </c>
      <c r="AI110" s="425">
        <f t="shared" si="73"/>
        <v>3.6711297599999999</v>
      </c>
      <c r="AJ110" s="425">
        <f t="shared" si="73"/>
        <v>1.5718357100000002</v>
      </c>
      <c r="AK110" s="442">
        <f t="shared" si="74"/>
        <v>-57.2</v>
      </c>
      <c r="AL110" s="564"/>
      <c r="AM110" s="564"/>
      <c r="AN110" s="564"/>
      <c r="AO110" s="564"/>
    </row>
    <row r="111" spans="1:41" s="509" customFormat="1" ht="18.75" customHeight="1" x14ac:dyDescent="0.3">
      <c r="A111" s="563" t="s">
        <v>325</v>
      </c>
      <c r="B111" s="709"/>
      <c r="C111" s="728"/>
      <c r="D111" s="442"/>
      <c r="E111" s="430"/>
      <c r="F111" s="431"/>
      <c r="G111" s="442"/>
      <c r="H111" s="430"/>
      <c r="I111" s="431"/>
      <c r="J111" s="442"/>
      <c r="K111" s="430"/>
      <c r="L111" s="431"/>
      <c r="M111" s="431"/>
      <c r="N111" s="430"/>
      <c r="O111" s="431"/>
      <c r="P111" s="442"/>
      <c r="Q111" s="430"/>
      <c r="R111" s="431"/>
      <c r="S111" s="442"/>
      <c r="T111" s="430"/>
      <c r="U111" s="431"/>
      <c r="V111" s="442"/>
      <c r="W111" s="430"/>
      <c r="X111" s="431"/>
      <c r="Y111" s="442"/>
      <c r="Z111" s="709"/>
      <c r="AA111" s="431"/>
      <c r="AB111" s="442"/>
      <c r="AC111" s="431"/>
      <c r="AD111" s="431"/>
      <c r="AE111" s="431"/>
      <c r="AF111" s="431">
        <f t="shared" si="71"/>
        <v>0</v>
      </c>
      <c r="AG111" s="431">
        <f t="shared" si="71"/>
        <v>0</v>
      </c>
      <c r="AH111" s="442" t="str">
        <f t="shared" si="72"/>
        <v xml:space="preserve">    ---- </v>
      </c>
      <c r="AI111" s="425">
        <f t="shared" si="73"/>
        <v>0</v>
      </c>
      <c r="AJ111" s="425">
        <f t="shared" si="73"/>
        <v>0</v>
      </c>
      <c r="AK111" s="442" t="str">
        <f t="shared" si="74"/>
        <v xml:space="preserve">    ---- </v>
      </c>
      <c r="AL111" s="564"/>
      <c r="AM111" s="564"/>
      <c r="AN111" s="564"/>
      <c r="AO111" s="564"/>
    </row>
    <row r="112" spans="1:41" s="509" customFormat="1" ht="18.75" customHeight="1" x14ac:dyDescent="0.3">
      <c r="A112" s="563" t="s">
        <v>326</v>
      </c>
      <c r="B112" s="709"/>
      <c r="C112" s="728"/>
      <c r="D112" s="442"/>
      <c r="E112" s="430"/>
      <c r="F112" s="431"/>
      <c r="G112" s="442"/>
      <c r="H112" s="430"/>
      <c r="I112" s="431"/>
      <c r="J112" s="442"/>
      <c r="K112" s="430"/>
      <c r="L112" s="431"/>
      <c r="M112" s="431"/>
      <c r="N112" s="430"/>
      <c r="O112" s="431"/>
      <c r="P112" s="442"/>
      <c r="Q112" s="430"/>
      <c r="R112" s="431"/>
      <c r="S112" s="442"/>
      <c r="T112" s="430"/>
      <c r="U112" s="431"/>
      <c r="V112" s="442"/>
      <c r="W112" s="430"/>
      <c r="X112" s="431">
        <v>7</v>
      </c>
      <c r="Y112" s="442" t="str">
        <f>IF(W112=0, "    ---- ", IF(ABS(ROUND(100/W112*X112-100,1))&lt;999,ROUND(100/W112*X112-100,1),IF(ROUND(100/W112*X112-100,1)&gt;999,999,-999)))</f>
        <v xml:space="preserve">    ---- </v>
      </c>
      <c r="Z112" s="709"/>
      <c r="AA112" s="431"/>
      <c r="AB112" s="442"/>
      <c r="AC112" s="431"/>
      <c r="AD112" s="431"/>
      <c r="AE112" s="431"/>
      <c r="AF112" s="431">
        <f t="shared" si="71"/>
        <v>0</v>
      </c>
      <c r="AG112" s="431">
        <f t="shared" si="71"/>
        <v>7</v>
      </c>
      <c r="AH112" s="442" t="str">
        <f t="shared" si="72"/>
        <v xml:space="preserve">    ---- </v>
      </c>
      <c r="AI112" s="425">
        <f t="shared" si="73"/>
        <v>0</v>
      </c>
      <c r="AJ112" s="425">
        <f t="shared" si="73"/>
        <v>7</v>
      </c>
      <c r="AK112" s="442" t="str">
        <f t="shared" si="74"/>
        <v xml:space="preserve">    ---- </v>
      </c>
      <c r="AL112" s="564"/>
      <c r="AM112" s="564"/>
      <c r="AN112" s="564"/>
      <c r="AO112" s="564"/>
    </row>
    <row r="113" spans="1:41" s="509" customFormat="1" ht="18.75" customHeight="1" x14ac:dyDescent="0.3">
      <c r="A113" s="563" t="s">
        <v>327</v>
      </c>
      <c r="B113" s="709"/>
      <c r="C113" s="728"/>
      <c r="D113" s="442"/>
      <c r="E113" s="430"/>
      <c r="F113" s="431"/>
      <c r="G113" s="442"/>
      <c r="H113" s="430"/>
      <c r="I113" s="431"/>
      <c r="J113" s="442"/>
      <c r="K113" s="430"/>
      <c r="L113" s="431"/>
      <c r="M113" s="431"/>
      <c r="N113" s="430"/>
      <c r="O113" s="431"/>
      <c r="P113" s="442"/>
      <c r="Q113" s="430"/>
      <c r="R113" s="431"/>
      <c r="S113" s="442"/>
      <c r="T113" s="430"/>
      <c r="U113" s="431"/>
      <c r="V113" s="442"/>
      <c r="W113" s="430"/>
      <c r="X113" s="431"/>
      <c r="Y113" s="442"/>
      <c r="Z113" s="709">
        <v>-8.3000000000000004E-2</v>
      </c>
      <c r="AA113" s="431">
        <v>-0.107303</v>
      </c>
      <c r="AB113" s="442">
        <f>IF(Z113=0, "    ---- ", IF(ABS(ROUND(100/Z113*AA113-100,1))&lt;999,ROUND(100/Z113*AA113-100,1),IF(ROUND(100/Z113*AA113-100,1)&gt;999,999,-999)))</f>
        <v>29.3</v>
      </c>
      <c r="AC113" s="431"/>
      <c r="AD113" s="431"/>
      <c r="AE113" s="431"/>
      <c r="AF113" s="431">
        <f t="shared" si="71"/>
        <v>-8.3000000000000004E-2</v>
      </c>
      <c r="AG113" s="431">
        <f t="shared" si="71"/>
        <v>-0.107303</v>
      </c>
      <c r="AH113" s="442">
        <f t="shared" si="72"/>
        <v>29.3</v>
      </c>
      <c r="AI113" s="425">
        <f t="shared" si="73"/>
        <v>-8.3000000000000004E-2</v>
      </c>
      <c r="AJ113" s="425">
        <f t="shared" si="73"/>
        <v>-0.107303</v>
      </c>
      <c r="AK113" s="442">
        <f t="shared" si="74"/>
        <v>29.3</v>
      </c>
      <c r="AL113" s="564"/>
      <c r="AM113" s="564"/>
      <c r="AN113" s="564"/>
      <c r="AO113" s="564"/>
    </row>
    <row r="114" spans="1:41" s="509" customFormat="1" ht="18.75" customHeight="1" x14ac:dyDescent="0.3">
      <c r="A114" s="563" t="s">
        <v>328</v>
      </c>
      <c r="B114" s="709"/>
      <c r="C114" s="728"/>
      <c r="D114" s="442"/>
      <c r="E114" s="430"/>
      <c r="F114" s="431"/>
      <c r="G114" s="442"/>
      <c r="H114" s="430"/>
      <c r="I114" s="431"/>
      <c r="J114" s="442"/>
      <c r="K114" s="430"/>
      <c r="L114" s="431"/>
      <c r="M114" s="431"/>
      <c r="N114" s="430"/>
      <c r="O114" s="431"/>
      <c r="P114" s="442"/>
      <c r="Q114" s="430"/>
      <c r="R114" s="431"/>
      <c r="S114" s="442"/>
      <c r="T114" s="430"/>
      <c r="U114" s="431"/>
      <c r="V114" s="442"/>
      <c r="W114" s="430"/>
      <c r="X114" s="431"/>
      <c r="Y114" s="442"/>
      <c r="Z114" s="709">
        <v>-8.3000000000000004E-2</v>
      </c>
      <c r="AA114" s="431">
        <v>-0.107303</v>
      </c>
      <c r="AB114" s="442">
        <f>IF(Z114=0, "    ---- ", IF(ABS(ROUND(100/Z114*AA114-100,1))&lt;999,ROUND(100/Z114*AA114-100,1),IF(ROUND(100/Z114*AA114-100,1)&gt;999,999,-999)))</f>
        <v>29.3</v>
      </c>
      <c r="AC114" s="431"/>
      <c r="AD114" s="431"/>
      <c r="AE114" s="431"/>
      <c r="AF114" s="431">
        <f t="shared" si="71"/>
        <v>-8.3000000000000004E-2</v>
      </c>
      <c r="AG114" s="431">
        <f t="shared" si="71"/>
        <v>-0.107303</v>
      </c>
      <c r="AH114" s="442">
        <f t="shared" si="72"/>
        <v>29.3</v>
      </c>
      <c r="AI114" s="425">
        <f t="shared" si="73"/>
        <v>-8.3000000000000004E-2</v>
      </c>
      <c r="AJ114" s="425">
        <f t="shared" si="73"/>
        <v>-0.107303</v>
      </c>
      <c r="AK114" s="442">
        <f t="shared" si="74"/>
        <v>29.3</v>
      </c>
      <c r="AL114" s="564"/>
      <c r="AM114" s="564"/>
      <c r="AN114" s="564"/>
      <c r="AO114" s="564"/>
    </row>
    <row r="115" spans="1:41" s="509" customFormat="1" ht="18.75" customHeight="1" x14ac:dyDescent="0.3">
      <c r="A115" s="563" t="s">
        <v>329</v>
      </c>
      <c r="B115" s="709"/>
      <c r="C115" s="728"/>
      <c r="D115" s="442"/>
      <c r="E115" s="430"/>
      <c r="F115" s="431"/>
      <c r="G115" s="442"/>
      <c r="H115" s="430"/>
      <c r="I115" s="431"/>
      <c r="J115" s="442"/>
      <c r="K115" s="430"/>
      <c r="L115" s="431"/>
      <c r="M115" s="431"/>
      <c r="N115" s="430"/>
      <c r="O115" s="431"/>
      <c r="P115" s="442"/>
      <c r="Q115" s="430"/>
      <c r="R115" s="431"/>
      <c r="S115" s="442"/>
      <c r="T115" s="430"/>
      <c r="U115" s="431"/>
      <c r="V115" s="442"/>
      <c r="W115" s="430"/>
      <c r="X115" s="431"/>
      <c r="Y115" s="442"/>
      <c r="Z115" s="709"/>
      <c r="AA115" s="431"/>
      <c r="AB115" s="442"/>
      <c r="AC115" s="431"/>
      <c r="AD115" s="431"/>
      <c r="AE115" s="431"/>
      <c r="AF115" s="431">
        <f t="shared" si="71"/>
        <v>0</v>
      </c>
      <c r="AG115" s="431">
        <f t="shared" si="71"/>
        <v>0</v>
      </c>
      <c r="AH115" s="442" t="str">
        <f t="shared" si="72"/>
        <v xml:space="preserve">    ---- </v>
      </c>
      <c r="AI115" s="425">
        <f t="shared" si="73"/>
        <v>0</v>
      </c>
      <c r="AJ115" s="425">
        <f t="shared" si="73"/>
        <v>0</v>
      </c>
      <c r="AK115" s="442" t="str">
        <f t="shared" si="74"/>
        <v xml:space="preserve">    ---- </v>
      </c>
      <c r="AL115" s="564"/>
      <c r="AM115" s="564"/>
      <c r="AN115" s="564"/>
      <c r="AO115" s="564"/>
    </row>
    <row r="116" spans="1:41" s="508" customFormat="1" ht="18.75" customHeight="1" x14ac:dyDescent="0.3">
      <c r="A116" s="562" t="s">
        <v>330</v>
      </c>
      <c r="B116" s="710"/>
      <c r="C116" s="729"/>
      <c r="D116" s="443"/>
      <c r="E116" s="432"/>
      <c r="F116" s="433"/>
      <c r="G116" s="443"/>
      <c r="H116" s="432"/>
      <c r="I116" s="433"/>
      <c r="J116" s="443"/>
      <c r="K116" s="432"/>
      <c r="L116" s="433"/>
      <c r="M116" s="433"/>
      <c r="N116" s="432"/>
      <c r="O116" s="433"/>
      <c r="P116" s="443"/>
      <c r="Q116" s="432"/>
      <c r="R116" s="433"/>
      <c r="S116" s="443"/>
      <c r="T116" s="432"/>
      <c r="U116" s="433"/>
      <c r="V116" s="443"/>
      <c r="W116" s="432"/>
      <c r="X116" s="433">
        <f>SUM(X108:X113)+X115</f>
        <v>21</v>
      </c>
      <c r="Y116" s="443" t="str">
        <f>IF(W116=0, "    ---- ", IF(ABS(ROUND(100/W116*X116-100,1))&lt;999,ROUND(100/W116*X116-100,1),IF(ROUND(100/W116*X116-100,1)&gt;999,999,-999)))</f>
        <v xml:space="preserve">    ---- </v>
      </c>
      <c r="Z116" s="710">
        <f>SUM(Z108:Z113)+Z115</f>
        <v>14.193207899999974</v>
      </c>
      <c r="AA116" s="433">
        <f>SUM(AA108:AA113)+AA115</f>
        <v>6.4646567800000057</v>
      </c>
      <c r="AB116" s="443">
        <f t="shared" si="70"/>
        <v>-54.5</v>
      </c>
      <c r="AC116" s="433"/>
      <c r="AD116" s="433"/>
      <c r="AE116" s="433"/>
      <c r="AF116" s="433">
        <f t="shared" si="71"/>
        <v>14.193207899999974</v>
      </c>
      <c r="AG116" s="433">
        <f t="shared" si="71"/>
        <v>27.464656780000006</v>
      </c>
      <c r="AH116" s="443">
        <f t="shared" si="72"/>
        <v>93.5</v>
      </c>
      <c r="AI116" s="423">
        <f t="shared" si="73"/>
        <v>14.193207899999974</v>
      </c>
      <c r="AJ116" s="423">
        <f t="shared" si="73"/>
        <v>27.464656780000006</v>
      </c>
      <c r="AK116" s="443">
        <f t="shared" si="74"/>
        <v>93.5</v>
      </c>
      <c r="AL116" s="548"/>
      <c r="AM116" s="565"/>
      <c r="AN116" s="565"/>
      <c r="AO116" s="565"/>
    </row>
    <row r="117" spans="1:41" s="509" customFormat="1" ht="18.75" customHeight="1" x14ac:dyDescent="0.3">
      <c r="A117" s="563" t="s">
        <v>331</v>
      </c>
      <c r="B117" s="709"/>
      <c r="C117" s="728"/>
      <c r="D117" s="442"/>
      <c r="E117" s="430"/>
      <c r="F117" s="431"/>
      <c r="G117" s="442"/>
      <c r="H117" s="430"/>
      <c r="I117" s="431"/>
      <c r="J117" s="442"/>
      <c r="K117" s="430"/>
      <c r="L117" s="431"/>
      <c r="M117" s="431"/>
      <c r="N117" s="430"/>
      <c r="O117" s="431"/>
      <c r="P117" s="442"/>
      <c r="Q117" s="430"/>
      <c r="R117" s="431"/>
      <c r="S117" s="442"/>
      <c r="T117" s="430"/>
      <c r="U117" s="431"/>
      <c r="V117" s="442"/>
      <c r="W117" s="430"/>
      <c r="X117" s="431">
        <v>19</v>
      </c>
      <c r="Y117" s="442" t="str">
        <f>IF(W117=0, "    ---- ", IF(ABS(ROUND(100/W117*X117-100,1))&lt;999,ROUND(100/W117*X117-100,1),IF(ROUND(100/W117*X117-100,1)&gt;999,999,-999)))</f>
        <v xml:space="preserve">    ---- </v>
      </c>
      <c r="Z117" s="709">
        <v>10.605079</v>
      </c>
      <c r="AA117" s="431">
        <v>1.2400000000000001E-4</v>
      </c>
      <c r="AB117" s="442">
        <f t="shared" si="70"/>
        <v>-100</v>
      </c>
      <c r="AC117" s="431"/>
      <c r="AD117" s="431"/>
      <c r="AE117" s="431"/>
      <c r="AF117" s="431">
        <f t="shared" si="71"/>
        <v>10.605079</v>
      </c>
      <c r="AG117" s="431">
        <f t="shared" si="71"/>
        <v>19.000124</v>
      </c>
      <c r="AH117" s="442">
        <f t="shared" si="72"/>
        <v>79.2</v>
      </c>
      <c r="AI117" s="425">
        <f t="shared" si="73"/>
        <v>10.605079</v>
      </c>
      <c r="AJ117" s="425">
        <f t="shared" si="73"/>
        <v>19.000124</v>
      </c>
      <c r="AK117" s="442">
        <f t="shared" si="74"/>
        <v>79.2</v>
      </c>
      <c r="AL117" s="564"/>
      <c r="AM117" s="564"/>
      <c r="AN117" s="564"/>
      <c r="AO117" s="564"/>
    </row>
    <row r="118" spans="1:41" s="509" customFormat="1" ht="18.75" customHeight="1" x14ac:dyDescent="0.3">
      <c r="A118" s="563" t="s">
        <v>332</v>
      </c>
      <c r="B118" s="709"/>
      <c r="C118" s="728"/>
      <c r="D118" s="442"/>
      <c r="E118" s="430"/>
      <c r="F118" s="431"/>
      <c r="G118" s="442"/>
      <c r="H118" s="430"/>
      <c r="I118" s="431"/>
      <c r="J118" s="442"/>
      <c r="K118" s="430"/>
      <c r="L118" s="431"/>
      <c r="M118" s="431"/>
      <c r="N118" s="430"/>
      <c r="O118" s="431"/>
      <c r="P118" s="442"/>
      <c r="Q118" s="430"/>
      <c r="R118" s="431"/>
      <c r="S118" s="442"/>
      <c r="T118" s="430"/>
      <c r="U118" s="431"/>
      <c r="V118" s="442"/>
      <c r="W118" s="430"/>
      <c r="X118" s="431">
        <v>2</v>
      </c>
      <c r="Y118" s="442" t="str">
        <f>IF(W118=0, "    ---- ", IF(ABS(ROUND(100/W118*X118-100,1))&lt;999,ROUND(100/W118*X118-100,1),IF(ROUND(100/W118*X118-100,1)&gt;999,999,-999)))</f>
        <v xml:space="preserve">    ---- </v>
      </c>
      <c r="Z118" s="709">
        <v>3.5881288999999743</v>
      </c>
      <c r="AA118" s="431">
        <v>6.4645327800000398</v>
      </c>
      <c r="AB118" s="442">
        <f t="shared" si="70"/>
        <v>80.2</v>
      </c>
      <c r="AC118" s="431"/>
      <c r="AD118" s="431"/>
      <c r="AE118" s="431"/>
      <c r="AF118" s="431">
        <f t="shared" si="71"/>
        <v>3.5881288999999743</v>
      </c>
      <c r="AG118" s="431">
        <f t="shared" si="71"/>
        <v>8.4645327800000398</v>
      </c>
      <c r="AH118" s="442">
        <f t="shared" si="72"/>
        <v>135.9</v>
      </c>
      <c r="AI118" s="425">
        <f t="shared" si="73"/>
        <v>3.5881288999999743</v>
      </c>
      <c r="AJ118" s="425">
        <f t="shared" si="73"/>
        <v>8.4645327800000398</v>
      </c>
      <c r="AK118" s="442">
        <f t="shared" si="74"/>
        <v>135.9</v>
      </c>
      <c r="AL118" s="564"/>
      <c r="AM118" s="564"/>
      <c r="AN118" s="564"/>
      <c r="AO118" s="564"/>
    </row>
    <row r="119" spans="1:41" ht="18.75" customHeight="1" x14ac:dyDescent="0.3">
      <c r="A119" s="413"/>
      <c r="B119" s="711"/>
      <c r="C119" s="730"/>
      <c r="D119" s="438"/>
      <c r="E119" s="434"/>
      <c r="F119" s="435"/>
      <c r="G119" s="438"/>
      <c r="H119" s="434"/>
      <c r="I119" s="435"/>
      <c r="J119" s="438"/>
      <c r="K119" s="434"/>
      <c r="L119" s="435"/>
      <c r="M119" s="435"/>
      <c r="N119" s="434"/>
      <c r="O119" s="435"/>
      <c r="P119" s="438"/>
      <c r="Q119" s="434"/>
      <c r="R119" s="435"/>
      <c r="S119" s="438"/>
      <c r="T119" s="434"/>
      <c r="U119" s="435"/>
      <c r="V119" s="438"/>
      <c r="W119" s="434"/>
      <c r="X119" s="435"/>
      <c r="Y119" s="438"/>
      <c r="Z119" s="711"/>
      <c r="AA119" s="435"/>
      <c r="AB119" s="438"/>
      <c r="AC119" s="438"/>
      <c r="AD119" s="438"/>
      <c r="AE119" s="438"/>
      <c r="AF119" s="438"/>
      <c r="AG119" s="438"/>
      <c r="AH119" s="438"/>
      <c r="AI119" s="441"/>
      <c r="AJ119" s="441"/>
      <c r="AK119" s="438"/>
      <c r="AL119" s="545"/>
      <c r="AM119" s="545"/>
      <c r="AN119" s="545"/>
      <c r="AO119" s="545"/>
    </row>
    <row r="120" spans="1:41" ht="18.75" customHeight="1" x14ac:dyDescent="0.3">
      <c r="A120" s="411"/>
      <c r="B120" s="709"/>
      <c r="C120" s="728"/>
      <c r="D120" s="442"/>
      <c r="E120" s="430"/>
      <c r="F120" s="431"/>
      <c r="G120" s="442"/>
      <c r="H120" s="430"/>
      <c r="I120" s="431"/>
      <c r="J120" s="442"/>
      <c r="K120" s="430"/>
      <c r="L120" s="431"/>
      <c r="M120" s="431"/>
      <c r="N120" s="430"/>
      <c r="O120" s="431"/>
      <c r="P120" s="442"/>
      <c r="Q120" s="430"/>
      <c r="R120" s="431"/>
      <c r="S120" s="442"/>
      <c r="T120" s="430"/>
      <c r="U120" s="431"/>
      <c r="V120" s="442"/>
      <c r="W120" s="430"/>
      <c r="X120" s="431"/>
      <c r="Y120" s="442"/>
      <c r="Z120" s="709"/>
      <c r="AA120" s="431"/>
      <c r="AB120" s="442"/>
      <c r="AC120" s="431"/>
      <c r="AD120" s="431"/>
      <c r="AE120" s="431"/>
      <c r="AF120" s="431"/>
      <c r="AG120" s="431"/>
      <c r="AH120" s="442"/>
      <c r="AI120" s="425"/>
      <c r="AJ120" s="425"/>
      <c r="AK120" s="442"/>
      <c r="AL120" s="545"/>
      <c r="AM120" s="545"/>
      <c r="AN120" s="545"/>
      <c r="AO120" s="545"/>
    </row>
    <row r="121" spans="1:41" ht="18.75" customHeight="1" x14ac:dyDescent="0.3">
      <c r="A121" s="528" t="s">
        <v>351</v>
      </c>
      <c r="B121" s="709"/>
      <c r="C121" s="728"/>
      <c r="D121" s="442"/>
      <c r="E121" s="430"/>
      <c r="F121" s="431"/>
      <c r="G121" s="442"/>
      <c r="H121" s="430"/>
      <c r="I121" s="431"/>
      <c r="J121" s="442"/>
      <c r="K121" s="430"/>
      <c r="L121" s="431"/>
      <c r="M121" s="431"/>
      <c r="N121" s="430"/>
      <c r="O121" s="431"/>
      <c r="P121" s="442"/>
      <c r="Q121" s="430"/>
      <c r="R121" s="431"/>
      <c r="S121" s="442"/>
      <c r="T121" s="430"/>
      <c r="U121" s="431"/>
      <c r="V121" s="442"/>
      <c r="W121" s="430"/>
      <c r="X121" s="431"/>
      <c r="Y121" s="442"/>
      <c r="Z121" s="709"/>
      <c r="AA121" s="431"/>
      <c r="AB121" s="442"/>
      <c r="AC121" s="431"/>
      <c r="AD121" s="431"/>
      <c r="AE121" s="431"/>
      <c r="AF121" s="431"/>
      <c r="AG121" s="431"/>
      <c r="AH121" s="442"/>
      <c r="AI121" s="425"/>
      <c r="AJ121" s="425"/>
      <c r="AK121" s="442"/>
      <c r="AL121" s="545"/>
      <c r="AM121" s="545"/>
      <c r="AN121" s="545"/>
      <c r="AO121" s="545"/>
    </row>
    <row r="122" spans="1:41" ht="18.75" customHeight="1" x14ac:dyDescent="0.3">
      <c r="A122" s="760" t="s">
        <v>492</v>
      </c>
      <c r="B122" s="709"/>
      <c r="C122" s="728"/>
      <c r="D122" s="442"/>
      <c r="E122" s="430"/>
      <c r="F122" s="431"/>
      <c r="G122" s="442"/>
      <c r="H122" s="430"/>
      <c r="I122" s="431"/>
      <c r="J122" s="442"/>
      <c r="K122" s="430"/>
      <c r="L122" s="431"/>
      <c r="M122" s="431"/>
      <c r="N122" s="430">
        <v>29308.483858598596</v>
      </c>
      <c r="O122" s="431">
        <v>50843.700876958254</v>
      </c>
      <c r="P122" s="442">
        <f t="shared" ref="P122:P144" si="76">IF(N122=0, "    ---- ", IF(ABS(ROUND(100/N122*O122-100,1))&lt;999,ROUND(100/N122*O122-100,1),IF(ROUND(100/N122*O122-100,1)&gt;999,999,-999)))</f>
        <v>73.5</v>
      </c>
      <c r="Q122" s="430"/>
      <c r="R122" s="431"/>
      <c r="S122" s="442"/>
      <c r="T122" s="430">
        <v>543</v>
      </c>
      <c r="U122" s="431">
        <v>899</v>
      </c>
      <c r="V122" s="442">
        <f t="shared" ref="V122:V132" si="77">IF(T122=0, "    ---- ", IF(ABS(ROUND(100/T122*U122-100,1))&lt;999,ROUND(100/T122*U122-100,1),IF(ROUND(100/T122*U122-100,1)&gt;999,999,-999)))</f>
        <v>65.599999999999994</v>
      </c>
      <c r="W122" s="430"/>
      <c r="X122" s="431"/>
      <c r="Y122" s="442"/>
      <c r="Z122" s="709">
        <v>844.28138816000023</v>
      </c>
      <c r="AA122" s="431">
        <v>1473.4655353000001</v>
      </c>
      <c r="AB122" s="442">
        <f t="shared" ref="AB122:AB132" si="78">IF(Z122=0, "    ---- ", IF(ABS(ROUND(100/Z122*AA122-100,1))&lt;999,ROUND(100/Z122*AA122-100,1),IF(ROUND(100/Z122*AA122-100,1)&gt;999,999,-999)))</f>
        <v>74.5</v>
      </c>
      <c r="AC122" s="431"/>
      <c r="AD122" s="431"/>
      <c r="AE122" s="431"/>
      <c r="AF122" s="431">
        <f t="shared" ref="AF122:AG132" si="79">B122+E122+H122+K122+N122+Q122+T122+W122+Z122</f>
        <v>30695.765246758598</v>
      </c>
      <c r="AG122" s="431">
        <f t="shared" si="79"/>
        <v>53216.166412258252</v>
      </c>
      <c r="AH122" s="442">
        <f t="shared" si="22"/>
        <v>73.400000000000006</v>
      </c>
      <c r="AI122" s="425">
        <f t="shared" ref="AI122:AJ132" si="80">B122+E122+H122+K122+N122+Q122+T122+W122+Z122+AC122</f>
        <v>30695.765246758598</v>
      </c>
      <c r="AJ122" s="425">
        <f t="shared" si="80"/>
        <v>53216.166412258252</v>
      </c>
      <c r="AK122" s="442">
        <f t="shared" si="23"/>
        <v>73.400000000000006</v>
      </c>
      <c r="AL122" s="545"/>
      <c r="AM122" s="545"/>
      <c r="AN122" s="545"/>
      <c r="AO122" s="545"/>
    </row>
    <row r="123" spans="1:41" ht="18.75" customHeight="1" x14ac:dyDescent="0.3">
      <c r="A123" s="411" t="s">
        <v>493</v>
      </c>
      <c r="B123" s="709"/>
      <c r="C123" s="714"/>
      <c r="D123" s="442"/>
      <c r="E123" s="430"/>
      <c r="F123" s="431"/>
      <c r="G123" s="442"/>
      <c r="H123" s="430"/>
      <c r="I123" s="431"/>
      <c r="J123" s="442"/>
      <c r="K123" s="430"/>
      <c r="L123" s="431"/>
      <c r="M123" s="431"/>
      <c r="N123" s="430"/>
      <c r="O123" s="431"/>
      <c r="P123" s="442"/>
      <c r="Q123" s="430"/>
      <c r="R123" s="431"/>
      <c r="S123" s="442"/>
      <c r="T123" s="430">
        <v>0</v>
      </c>
      <c r="U123" s="431">
        <v>0</v>
      </c>
      <c r="V123" s="442" t="str">
        <f t="shared" si="77"/>
        <v xml:space="preserve">    ---- </v>
      </c>
      <c r="W123" s="430"/>
      <c r="X123" s="431"/>
      <c r="Y123" s="442"/>
      <c r="Z123" s="709">
        <v>-844.18314799999996</v>
      </c>
      <c r="AA123" s="431">
        <v>-769.10220400000003</v>
      </c>
      <c r="AB123" s="442">
        <f t="shared" si="78"/>
        <v>-8.9</v>
      </c>
      <c r="AC123" s="431"/>
      <c r="AD123" s="431"/>
      <c r="AE123" s="431"/>
      <c r="AF123" s="431">
        <f t="shared" si="79"/>
        <v>-844.18314799999996</v>
      </c>
      <c r="AG123" s="431">
        <f t="shared" si="79"/>
        <v>-769.10220400000003</v>
      </c>
      <c r="AH123" s="442">
        <f t="shared" si="22"/>
        <v>-8.9</v>
      </c>
      <c r="AI123" s="425">
        <f t="shared" si="80"/>
        <v>-844.18314799999996</v>
      </c>
      <c r="AJ123" s="425">
        <f t="shared" si="80"/>
        <v>-769.10220400000003</v>
      </c>
      <c r="AK123" s="442">
        <f t="shared" si="23"/>
        <v>-8.9</v>
      </c>
      <c r="AL123" s="545"/>
      <c r="AM123" s="545"/>
      <c r="AN123" s="545"/>
      <c r="AO123" s="545"/>
    </row>
    <row r="124" spans="1:41" ht="18.75" customHeight="1" x14ac:dyDescent="0.3">
      <c r="A124" s="411" t="s">
        <v>324</v>
      </c>
      <c r="B124" s="709"/>
      <c r="C124" s="728"/>
      <c r="D124" s="442"/>
      <c r="E124" s="430"/>
      <c r="F124" s="431"/>
      <c r="G124" s="442"/>
      <c r="H124" s="430"/>
      <c r="I124" s="431"/>
      <c r="J124" s="442"/>
      <c r="K124" s="430"/>
      <c r="L124" s="431"/>
      <c r="M124" s="431"/>
      <c r="N124" s="430">
        <v>143.16504279984974</v>
      </c>
      <c r="O124" s="431">
        <v>77.246683725033279</v>
      </c>
      <c r="P124" s="442">
        <f t="shared" si="76"/>
        <v>-46</v>
      </c>
      <c r="Q124" s="430"/>
      <c r="R124" s="431"/>
      <c r="S124" s="442"/>
      <c r="T124" s="430">
        <v>-48</v>
      </c>
      <c r="U124" s="431">
        <v>12</v>
      </c>
      <c r="V124" s="442">
        <f t="shared" si="77"/>
        <v>-125</v>
      </c>
      <c r="W124" s="430"/>
      <c r="X124" s="431"/>
      <c r="Y124" s="442"/>
      <c r="Z124" s="709">
        <v>-75.047889529999992</v>
      </c>
      <c r="AA124" s="431">
        <v>-69.717095099999995</v>
      </c>
      <c r="AB124" s="442">
        <f t="shared" si="78"/>
        <v>-7.1</v>
      </c>
      <c r="AC124" s="431"/>
      <c r="AD124" s="431"/>
      <c r="AE124" s="431"/>
      <c r="AF124" s="431">
        <f t="shared" si="79"/>
        <v>20.117153269849751</v>
      </c>
      <c r="AG124" s="431">
        <f t="shared" si="79"/>
        <v>19.529588625033284</v>
      </c>
      <c r="AH124" s="442">
        <f t="shared" si="22"/>
        <v>-2.9</v>
      </c>
      <c r="AI124" s="425">
        <f t="shared" si="80"/>
        <v>20.117153269849751</v>
      </c>
      <c r="AJ124" s="425">
        <f t="shared" si="80"/>
        <v>19.529588625033284</v>
      </c>
      <c r="AK124" s="442">
        <f t="shared" si="23"/>
        <v>-2.9</v>
      </c>
      <c r="AL124" s="545"/>
      <c r="AM124" s="545"/>
      <c r="AN124" s="545"/>
      <c r="AO124" s="545"/>
    </row>
    <row r="125" spans="1:41" ht="18.75" customHeight="1" x14ac:dyDescent="0.3">
      <c r="A125" s="411" t="s">
        <v>325</v>
      </c>
      <c r="B125" s="709"/>
      <c r="C125" s="728"/>
      <c r="D125" s="442"/>
      <c r="E125" s="430"/>
      <c r="F125" s="431"/>
      <c r="G125" s="442"/>
      <c r="H125" s="430"/>
      <c r="I125" s="431"/>
      <c r="J125" s="442"/>
      <c r="K125" s="430"/>
      <c r="L125" s="431"/>
      <c r="M125" s="431"/>
      <c r="N125" s="430"/>
      <c r="O125" s="431"/>
      <c r="P125" s="442"/>
      <c r="Q125" s="430"/>
      <c r="R125" s="431"/>
      <c r="S125" s="442"/>
      <c r="T125" s="430"/>
      <c r="U125" s="431"/>
      <c r="V125" s="442"/>
      <c r="W125" s="430"/>
      <c r="X125" s="431"/>
      <c r="Y125" s="442"/>
      <c r="Z125" s="709">
        <v>14.259262</v>
      </c>
      <c r="AA125" s="431">
        <v>17.543061000000002</v>
      </c>
      <c r="AB125" s="442">
        <f t="shared" si="78"/>
        <v>23</v>
      </c>
      <c r="AC125" s="431"/>
      <c r="AD125" s="431"/>
      <c r="AE125" s="431"/>
      <c r="AF125" s="431">
        <f t="shared" si="79"/>
        <v>14.259262</v>
      </c>
      <c r="AG125" s="431">
        <f t="shared" si="79"/>
        <v>17.543061000000002</v>
      </c>
      <c r="AH125" s="442">
        <f t="shared" si="22"/>
        <v>23</v>
      </c>
      <c r="AI125" s="425">
        <f t="shared" si="80"/>
        <v>14.259262</v>
      </c>
      <c r="AJ125" s="425">
        <f t="shared" si="80"/>
        <v>17.543061000000002</v>
      </c>
      <c r="AK125" s="442">
        <f t="shared" si="23"/>
        <v>23</v>
      </c>
      <c r="AL125" s="545"/>
      <c r="AM125" s="545"/>
      <c r="AN125" s="545"/>
      <c r="AO125" s="545"/>
    </row>
    <row r="126" spans="1:41" ht="18.75" customHeight="1" x14ac:dyDescent="0.3">
      <c r="A126" s="411" t="s">
        <v>326</v>
      </c>
      <c r="B126" s="709"/>
      <c r="C126" s="728"/>
      <c r="D126" s="442"/>
      <c r="E126" s="430"/>
      <c r="F126" s="431"/>
      <c r="G126" s="442"/>
      <c r="H126" s="430"/>
      <c r="I126" s="431"/>
      <c r="J126" s="442"/>
      <c r="K126" s="430"/>
      <c r="L126" s="431"/>
      <c r="M126" s="431"/>
      <c r="N126" s="430">
        <v>289.72135900000001</v>
      </c>
      <c r="O126" s="431">
        <v>13.646758999999999</v>
      </c>
      <c r="P126" s="442">
        <f t="shared" si="76"/>
        <v>-95.3</v>
      </c>
      <c r="Q126" s="430"/>
      <c r="R126" s="431"/>
      <c r="S126" s="442"/>
      <c r="T126" s="430">
        <v>372</v>
      </c>
      <c r="U126" s="431">
        <v>400</v>
      </c>
      <c r="V126" s="442">
        <f t="shared" si="77"/>
        <v>7.5</v>
      </c>
      <c r="W126" s="430"/>
      <c r="X126" s="431"/>
      <c r="Y126" s="442"/>
      <c r="Z126" s="709">
        <v>51.923544999999997</v>
      </c>
      <c r="AA126" s="431">
        <v>62.663181000000002</v>
      </c>
      <c r="AB126" s="442">
        <f t="shared" si="78"/>
        <v>20.7</v>
      </c>
      <c r="AC126" s="431"/>
      <c r="AD126" s="431"/>
      <c r="AE126" s="431"/>
      <c r="AF126" s="431">
        <f t="shared" si="79"/>
        <v>713.644904</v>
      </c>
      <c r="AG126" s="431">
        <f t="shared" si="79"/>
        <v>476.30993999999998</v>
      </c>
      <c r="AH126" s="442">
        <f t="shared" si="22"/>
        <v>-33.299999999999997</v>
      </c>
      <c r="AI126" s="425">
        <f t="shared" si="80"/>
        <v>713.644904</v>
      </c>
      <c r="AJ126" s="425">
        <f t="shared" si="80"/>
        <v>476.30993999999998</v>
      </c>
      <c r="AK126" s="442">
        <f t="shared" si="23"/>
        <v>-33.299999999999997</v>
      </c>
      <c r="AL126" s="545"/>
      <c r="AM126" s="545"/>
      <c r="AN126" s="545"/>
      <c r="AO126" s="545"/>
    </row>
    <row r="127" spans="1:41" ht="18.75" customHeight="1" x14ac:dyDescent="0.3">
      <c r="A127" s="411" t="s">
        <v>327</v>
      </c>
      <c r="B127" s="709"/>
      <c r="C127" s="728"/>
      <c r="D127" s="442"/>
      <c r="E127" s="430"/>
      <c r="F127" s="431"/>
      <c r="G127" s="442"/>
      <c r="H127" s="430"/>
      <c r="I127" s="431"/>
      <c r="J127" s="442"/>
      <c r="K127" s="430"/>
      <c r="L127" s="431"/>
      <c r="M127" s="431"/>
      <c r="N127" s="430">
        <v>646.49649383333963</v>
      </c>
      <c r="O127" s="431">
        <v>787.64665909936139</v>
      </c>
      <c r="P127" s="442">
        <f t="shared" si="76"/>
        <v>21.8</v>
      </c>
      <c r="Q127" s="430"/>
      <c r="R127" s="431"/>
      <c r="S127" s="442"/>
      <c r="T127" s="430">
        <v>190</v>
      </c>
      <c r="U127" s="431">
        <f>58+58</f>
        <v>116</v>
      </c>
      <c r="V127" s="442">
        <f t="shared" si="77"/>
        <v>-38.9</v>
      </c>
      <c r="W127" s="430"/>
      <c r="X127" s="431"/>
      <c r="Y127" s="442"/>
      <c r="Z127" s="709">
        <v>4.6403742299999884</v>
      </c>
      <c r="AA127" s="431">
        <v>-32.651867719999998</v>
      </c>
      <c r="AB127" s="442">
        <f t="shared" si="78"/>
        <v>-803.6</v>
      </c>
      <c r="AC127" s="431"/>
      <c r="AD127" s="431"/>
      <c r="AE127" s="431"/>
      <c r="AF127" s="431">
        <f t="shared" si="79"/>
        <v>841.13686806333965</v>
      </c>
      <c r="AG127" s="431">
        <f t="shared" si="79"/>
        <v>870.99479137936135</v>
      </c>
      <c r="AH127" s="442">
        <f t="shared" si="22"/>
        <v>3.5</v>
      </c>
      <c r="AI127" s="425">
        <f t="shared" si="80"/>
        <v>841.13686806333965</v>
      </c>
      <c r="AJ127" s="425">
        <f t="shared" si="80"/>
        <v>870.99479137936135</v>
      </c>
      <c r="AK127" s="442">
        <f t="shared" si="23"/>
        <v>3.5</v>
      </c>
      <c r="AL127" s="545"/>
      <c r="AM127" s="545"/>
      <c r="AN127" s="545"/>
      <c r="AO127" s="545"/>
    </row>
    <row r="128" spans="1:41" ht="18.75" customHeight="1" x14ac:dyDescent="0.3">
      <c r="A128" s="411" t="s">
        <v>328</v>
      </c>
      <c r="B128" s="709"/>
      <c r="C128" s="728"/>
      <c r="D128" s="442"/>
      <c r="E128" s="430"/>
      <c r="F128" s="431"/>
      <c r="G128" s="442"/>
      <c r="H128" s="430"/>
      <c r="I128" s="431"/>
      <c r="J128" s="442"/>
      <c r="K128" s="430"/>
      <c r="L128" s="431"/>
      <c r="M128" s="431"/>
      <c r="N128" s="430">
        <v>592.22967300000005</v>
      </c>
      <c r="O128" s="431">
        <v>787.646659</v>
      </c>
      <c r="P128" s="442">
        <f t="shared" si="76"/>
        <v>33</v>
      </c>
      <c r="Q128" s="430"/>
      <c r="R128" s="431"/>
      <c r="S128" s="442"/>
      <c r="T128" s="430">
        <v>95</v>
      </c>
      <c r="U128" s="431">
        <v>58</v>
      </c>
      <c r="V128" s="442">
        <f t="shared" si="77"/>
        <v>-38.9</v>
      </c>
      <c r="W128" s="430"/>
      <c r="X128" s="431"/>
      <c r="Y128" s="442"/>
      <c r="Z128" s="709">
        <v>2.4184869999999998</v>
      </c>
      <c r="AA128" s="431">
        <v>-32.478172999999998</v>
      </c>
      <c r="AB128" s="442">
        <f t="shared" si="78"/>
        <v>-999</v>
      </c>
      <c r="AC128" s="431"/>
      <c r="AD128" s="431"/>
      <c r="AE128" s="431"/>
      <c r="AF128" s="431">
        <f t="shared" si="79"/>
        <v>689.64816000000008</v>
      </c>
      <c r="AG128" s="431">
        <f t="shared" si="79"/>
        <v>813.16848600000003</v>
      </c>
      <c r="AH128" s="442">
        <f t="shared" si="22"/>
        <v>17.899999999999999</v>
      </c>
      <c r="AI128" s="425">
        <f t="shared" si="80"/>
        <v>689.64816000000008</v>
      </c>
      <c r="AJ128" s="425">
        <f t="shared" si="80"/>
        <v>813.16848600000003</v>
      </c>
      <c r="AK128" s="442">
        <f t="shared" si="23"/>
        <v>17.899999999999999</v>
      </c>
      <c r="AL128" s="545"/>
      <c r="AM128" s="545"/>
      <c r="AN128" s="545"/>
      <c r="AO128" s="545"/>
    </row>
    <row r="129" spans="1:41" ht="18.75" customHeight="1" x14ac:dyDescent="0.3">
      <c r="A129" s="411" t="s">
        <v>329</v>
      </c>
      <c r="B129" s="709"/>
      <c r="C129" s="728"/>
      <c r="D129" s="442"/>
      <c r="E129" s="430"/>
      <c r="F129" s="431"/>
      <c r="G129" s="442"/>
      <c r="H129" s="430"/>
      <c r="I129" s="431"/>
      <c r="J129" s="442"/>
      <c r="K129" s="430"/>
      <c r="L129" s="431"/>
      <c r="M129" s="431"/>
      <c r="N129" s="430"/>
      <c r="O129" s="431"/>
      <c r="P129" s="442"/>
      <c r="Q129" s="430"/>
      <c r="R129" s="431"/>
      <c r="S129" s="442"/>
      <c r="T129" s="430"/>
      <c r="U129" s="431"/>
      <c r="V129" s="442"/>
      <c r="W129" s="430"/>
      <c r="X129" s="431"/>
      <c r="Y129" s="442"/>
      <c r="Z129" s="709"/>
      <c r="AA129" s="431"/>
      <c r="AB129" s="442"/>
      <c r="AC129" s="431"/>
      <c r="AD129" s="431"/>
      <c r="AE129" s="431"/>
      <c r="AF129" s="431">
        <f t="shared" si="79"/>
        <v>0</v>
      </c>
      <c r="AG129" s="431">
        <f t="shared" si="79"/>
        <v>0</v>
      </c>
      <c r="AH129" s="442" t="str">
        <f t="shared" si="22"/>
        <v xml:space="preserve">    ---- </v>
      </c>
      <c r="AI129" s="425">
        <f t="shared" si="80"/>
        <v>0</v>
      </c>
      <c r="AJ129" s="425">
        <f t="shared" si="80"/>
        <v>0</v>
      </c>
      <c r="AK129" s="442" t="str">
        <f t="shared" si="23"/>
        <v xml:space="preserve">    ---- </v>
      </c>
      <c r="AL129" s="545"/>
      <c r="AM129" s="545"/>
      <c r="AN129" s="545"/>
      <c r="AO129" s="545"/>
    </row>
    <row r="130" spans="1:41" s="561" customFormat="1" ht="18.75" customHeight="1" x14ac:dyDescent="0.3">
      <c r="A130" s="528" t="s">
        <v>330</v>
      </c>
      <c r="B130" s="710"/>
      <c r="C130" s="729"/>
      <c r="D130" s="443"/>
      <c r="E130" s="432"/>
      <c r="F130" s="433"/>
      <c r="G130" s="443"/>
      <c r="H130" s="432"/>
      <c r="I130" s="433"/>
      <c r="J130" s="443"/>
      <c r="K130" s="432"/>
      <c r="L130" s="433"/>
      <c r="M130" s="433"/>
      <c r="N130" s="432">
        <v>30387.866754231785</v>
      </c>
      <c r="O130" s="433">
        <v>51722.240978782647</v>
      </c>
      <c r="P130" s="443">
        <f t="shared" si="76"/>
        <v>70.2</v>
      </c>
      <c r="Q130" s="432"/>
      <c r="R130" s="433"/>
      <c r="S130" s="443"/>
      <c r="T130" s="432">
        <f>SUM(T122:T127)+T129</f>
        <v>1057</v>
      </c>
      <c r="U130" s="433">
        <f>SUM(U122:U127)+U129</f>
        <v>1427</v>
      </c>
      <c r="V130" s="442">
        <f t="shared" si="77"/>
        <v>35</v>
      </c>
      <c r="W130" s="432"/>
      <c r="X130" s="433"/>
      <c r="Y130" s="443"/>
      <c r="Z130" s="710">
        <f>SUM(Z122:Z127)+Z129</f>
        <v>-4.1264681399997336</v>
      </c>
      <c r="AA130" s="433">
        <f>SUM(AA122:AA127)+AA129</f>
        <v>682.20061047999991</v>
      </c>
      <c r="AB130" s="443">
        <f t="shared" si="78"/>
        <v>-999</v>
      </c>
      <c r="AC130" s="433"/>
      <c r="AD130" s="433"/>
      <c r="AE130" s="433"/>
      <c r="AF130" s="433">
        <f t="shared" si="79"/>
        <v>31440.740286091786</v>
      </c>
      <c r="AG130" s="433">
        <f t="shared" si="79"/>
        <v>53831.441589262649</v>
      </c>
      <c r="AH130" s="443">
        <f t="shared" si="22"/>
        <v>71.2</v>
      </c>
      <c r="AI130" s="423">
        <f t="shared" si="80"/>
        <v>31440.740286091786</v>
      </c>
      <c r="AJ130" s="423">
        <f t="shared" si="80"/>
        <v>53831.441589262649</v>
      </c>
      <c r="AK130" s="443">
        <f t="shared" si="23"/>
        <v>71.2</v>
      </c>
      <c r="AL130" s="548"/>
      <c r="AM130" s="548"/>
      <c r="AN130" s="548"/>
      <c r="AO130" s="548"/>
    </row>
    <row r="131" spans="1:41" ht="18.75" customHeight="1" x14ac:dyDescent="0.3">
      <c r="A131" s="411" t="s">
        <v>331</v>
      </c>
      <c r="B131" s="709"/>
      <c r="C131" s="728"/>
      <c r="D131" s="442"/>
      <c r="E131" s="430"/>
      <c r="F131" s="431"/>
      <c r="G131" s="442"/>
      <c r="H131" s="430"/>
      <c r="I131" s="431"/>
      <c r="J131" s="442"/>
      <c r="K131" s="430"/>
      <c r="L131" s="431"/>
      <c r="M131" s="431"/>
      <c r="N131" s="430">
        <v>30166.923953127811</v>
      </c>
      <c r="O131" s="431">
        <v>51306.350876276883</v>
      </c>
      <c r="P131" s="442">
        <f t="shared" si="76"/>
        <v>70.099999999999994</v>
      </c>
      <c r="Q131" s="430"/>
      <c r="R131" s="431"/>
      <c r="S131" s="442"/>
      <c r="T131" s="430">
        <v>95</v>
      </c>
      <c r="U131" s="431">
        <v>58</v>
      </c>
      <c r="V131" s="442">
        <f t="shared" si="77"/>
        <v>-38.9</v>
      </c>
      <c r="W131" s="430"/>
      <c r="X131" s="431"/>
      <c r="Y131" s="442"/>
      <c r="Z131" s="709">
        <v>2.320128</v>
      </c>
      <c r="AA131" s="431">
        <v>704.18963599999995</v>
      </c>
      <c r="AB131" s="442">
        <f t="shared" si="78"/>
        <v>999</v>
      </c>
      <c r="AC131" s="431"/>
      <c r="AD131" s="431"/>
      <c r="AE131" s="431"/>
      <c r="AF131" s="431">
        <f t="shared" si="79"/>
        <v>30264.24408112781</v>
      </c>
      <c r="AG131" s="431">
        <f t="shared" si="79"/>
        <v>52068.540512276886</v>
      </c>
      <c r="AH131" s="442">
        <f t="shared" si="22"/>
        <v>72</v>
      </c>
      <c r="AI131" s="425">
        <f t="shared" si="80"/>
        <v>30264.24408112781</v>
      </c>
      <c r="AJ131" s="425">
        <f t="shared" si="80"/>
        <v>52068.540512276886</v>
      </c>
      <c r="AK131" s="442">
        <f t="shared" si="23"/>
        <v>72</v>
      </c>
      <c r="AL131" s="545"/>
      <c r="AM131" s="545"/>
      <c r="AN131" s="545"/>
      <c r="AO131" s="545"/>
    </row>
    <row r="132" spans="1:41" ht="18.75" customHeight="1" x14ac:dyDescent="0.3">
      <c r="A132" s="411" t="s">
        <v>332</v>
      </c>
      <c r="B132" s="709"/>
      <c r="C132" s="728"/>
      <c r="D132" s="442"/>
      <c r="E132" s="430"/>
      <c r="F132" s="431"/>
      <c r="G132" s="442"/>
      <c r="H132" s="430"/>
      <c r="I132" s="431"/>
      <c r="J132" s="442"/>
      <c r="K132" s="430"/>
      <c r="L132" s="431"/>
      <c r="M132" s="431"/>
      <c r="N132" s="430">
        <v>220.94280110397386</v>
      </c>
      <c r="O132" s="431">
        <v>415.89010250576922</v>
      </c>
      <c r="P132" s="442">
        <f t="shared" si="76"/>
        <v>88.2</v>
      </c>
      <c r="Q132" s="430"/>
      <c r="R132" s="431"/>
      <c r="S132" s="442"/>
      <c r="T132" s="430">
        <v>962</v>
      </c>
      <c r="U132" s="431">
        <v>1369</v>
      </c>
      <c r="V132" s="442">
        <f t="shared" si="77"/>
        <v>42.3</v>
      </c>
      <c r="W132" s="430"/>
      <c r="X132" s="431"/>
      <c r="Y132" s="442"/>
      <c r="Z132" s="709">
        <v>-6.446596139999702</v>
      </c>
      <c r="AA132" s="431">
        <v>-21.989025520000201</v>
      </c>
      <c r="AB132" s="442">
        <f t="shared" si="78"/>
        <v>241.1</v>
      </c>
      <c r="AC132" s="431"/>
      <c r="AD132" s="431"/>
      <c r="AE132" s="431"/>
      <c r="AF132" s="431">
        <f t="shared" si="79"/>
        <v>1176.4962049639742</v>
      </c>
      <c r="AG132" s="431">
        <f t="shared" si="79"/>
        <v>1762.9010769857689</v>
      </c>
      <c r="AH132" s="442">
        <f t="shared" si="22"/>
        <v>49.8</v>
      </c>
      <c r="AI132" s="425">
        <f t="shared" si="80"/>
        <v>1176.4962049639742</v>
      </c>
      <c r="AJ132" s="425">
        <f t="shared" si="80"/>
        <v>1762.9010769857689</v>
      </c>
      <c r="AK132" s="442">
        <f t="shared" si="23"/>
        <v>49.8</v>
      </c>
      <c r="AL132" s="545"/>
      <c r="AM132" s="545"/>
      <c r="AN132" s="545"/>
      <c r="AO132" s="545"/>
    </row>
    <row r="133" spans="1:41" ht="18.75" customHeight="1" x14ac:dyDescent="0.3">
      <c r="A133" s="528" t="s">
        <v>352</v>
      </c>
      <c r="B133" s="709"/>
      <c r="C133" s="728"/>
      <c r="D133" s="442"/>
      <c r="E133" s="430"/>
      <c r="F133" s="431"/>
      <c r="G133" s="442"/>
      <c r="H133" s="430"/>
      <c r="I133" s="431"/>
      <c r="J133" s="442"/>
      <c r="K133" s="430"/>
      <c r="L133" s="431"/>
      <c r="M133" s="431"/>
      <c r="N133" s="430"/>
      <c r="O133" s="431"/>
      <c r="P133" s="442"/>
      <c r="Q133" s="430"/>
      <c r="R133" s="431"/>
      <c r="S133" s="442"/>
      <c r="T133" s="430"/>
      <c r="U133" s="431"/>
      <c r="V133" s="442"/>
      <c r="W133" s="430"/>
      <c r="X133" s="431"/>
      <c r="Y133" s="442"/>
      <c r="Z133" s="709"/>
      <c r="AA133" s="431"/>
      <c r="AB133" s="442"/>
      <c r="AC133" s="431"/>
      <c r="AD133" s="431"/>
      <c r="AE133" s="431"/>
      <c r="AF133" s="431"/>
      <c r="AG133" s="431"/>
      <c r="AH133" s="442"/>
      <c r="AI133" s="425"/>
      <c r="AJ133" s="425"/>
      <c r="AK133" s="442"/>
      <c r="AL133" s="545"/>
      <c r="AM133" s="545"/>
      <c r="AN133" s="545"/>
      <c r="AO133" s="545"/>
    </row>
    <row r="134" spans="1:41" ht="18.75" customHeight="1" x14ac:dyDescent="0.3">
      <c r="A134" s="760" t="s">
        <v>492</v>
      </c>
      <c r="B134" s="709"/>
      <c r="C134" s="728"/>
      <c r="D134" s="442"/>
      <c r="E134" s="430"/>
      <c r="F134" s="431"/>
      <c r="G134" s="442"/>
      <c r="H134" s="430"/>
      <c r="I134" s="431"/>
      <c r="J134" s="442"/>
      <c r="K134" s="430"/>
      <c r="L134" s="431"/>
      <c r="M134" s="431"/>
      <c r="N134" s="430">
        <v>154.21400301588233</v>
      </c>
      <c r="O134" s="431">
        <v>246.49399994000001</v>
      </c>
      <c r="P134" s="442">
        <f t="shared" si="76"/>
        <v>59.8</v>
      </c>
      <c r="Q134" s="430"/>
      <c r="R134" s="431"/>
      <c r="S134" s="442"/>
      <c r="T134" s="430"/>
      <c r="U134" s="431"/>
      <c r="V134" s="442"/>
      <c r="W134" s="430"/>
      <c r="X134" s="431"/>
      <c r="Y134" s="442"/>
      <c r="Z134" s="709"/>
      <c r="AA134" s="431"/>
      <c r="AB134" s="442"/>
      <c r="AC134" s="431"/>
      <c r="AD134" s="431"/>
      <c r="AE134" s="431"/>
      <c r="AF134" s="431">
        <f t="shared" ref="AF134:AG144" si="81">B134+E134+H134+K134+N134+Q134+T134+W134+Z134</f>
        <v>154.21400301588233</v>
      </c>
      <c r="AG134" s="431">
        <f t="shared" si="81"/>
        <v>246.49399994000001</v>
      </c>
      <c r="AH134" s="442">
        <f t="shared" si="22"/>
        <v>59.8</v>
      </c>
      <c r="AI134" s="425">
        <f t="shared" ref="AI134:AJ144" si="82">B134+E134+H134+K134+N134+Q134+T134+W134+Z134+AC134</f>
        <v>154.21400301588233</v>
      </c>
      <c r="AJ134" s="425">
        <f t="shared" si="82"/>
        <v>246.49399994000001</v>
      </c>
      <c r="AK134" s="442">
        <f t="shared" si="23"/>
        <v>59.8</v>
      </c>
      <c r="AL134" s="545"/>
      <c r="AM134" s="545"/>
      <c r="AN134" s="545"/>
      <c r="AO134" s="545"/>
    </row>
    <row r="135" spans="1:41" ht="18.75" customHeight="1" x14ac:dyDescent="0.3">
      <c r="A135" s="411" t="s">
        <v>493</v>
      </c>
      <c r="B135" s="709"/>
      <c r="C135" s="714"/>
      <c r="D135" s="442"/>
      <c r="E135" s="430"/>
      <c r="F135" s="431"/>
      <c r="G135" s="442"/>
      <c r="H135" s="430"/>
      <c r="I135" s="431"/>
      <c r="J135" s="442"/>
      <c r="K135" s="430"/>
      <c r="L135" s="431"/>
      <c r="M135" s="431"/>
      <c r="N135" s="430"/>
      <c r="O135" s="431"/>
      <c r="P135" s="442"/>
      <c r="Q135" s="430"/>
      <c r="R135" s="431"/>
      <c r="S135" s="442"/>
      <c r="T135" s="430"/>
      <c r="U135" s="431"/>
      <c r="V135" s="442"/>
      <c r="W135" s="430"/>
      <c r="X135" s="431"/>
      <c r="Y135" s="442"/>
      <c r="Z135" s="709"/>
      <c r="AA135" s="431"/>
      <c r="AB135" s="442"/>
      <c r="AC135" s="431"/>
      <c r="AD135" s="431"/>
      <c r="AE135" s="431"/>
      <c r="AF135" s="431">
        <f t="shared" si="81"/>
        <v>0</v>
      </c>
      <c r="AG135" s="431">
        <f t="shared" si="81"/>
        <v>0</v>
      </c>
      <c r="AH135" s="442" t="str">
        <f t="shared" si="22"/>
        <v xml:space="preserve">    ---- </v>
      </c>
      <c r="AI135" s="425">
        <f t="shared" si="82"/>
        <v>0</v>
      </c>
      <c r="AJ135" s="425">
        <f t="shared" si="82"/>
        <v>0</v>
      </c>
      <c r="AK135" s="442" t="str">
        <f t="shared" si="23"/>
        <v xml:space="preserve">    ---- </v>
      </c>
      <c r="AL135" s="545"/>
      <c r="AM135" s="545"/>
      <c r="AN135" s="545"/>
      <c r="AO135" s="545"/>
    </row>
    <row r="136" spans="1:41" ht="18.75" customHeight="1" x14ac:dyDescent="0.3">
      <c r="A136" s="411" t="s">
        <v>324</v>
      </c>
      <c r="B136" s="709"/>
      <c r="C136" s="728"/>
      <c r="D136" s="442"/>
      <c r="E136" s="430"/>
      <c r="F136" s="431"/>
      <c r="G136" s="442"/>
      <c r="H136" s="430"/>
      <c r="I136" s="431"/>
      <c r="J136" s="442"/>
      <c r="K136" s="430"/>
      <c r="L136" s="431"/>
      <c r="M136" s="431"/>
      <c r="N136" s="430">
        <v>0.41955630014999862</v>
      </c>
      <c r="O136" s="431">
        <v>0.1605842749667121</v>
      </c>
      <c r="P136" s="442">
        <f t="shared" si="76"/>
        <v>-61.7</v>
      </c>
      <c r="Q136" s="430"/>
      <c r="R136" s="431"/>
      <c r="S136" s="442"/>
      <c r="T136" s="430"/>
      <c r="U136" s="431"/>
      <c r="V136" s="442"/>
      <c r="W136" s="430"/>
      <c r="X136" s="431"/>
      <c r="Y136" s="442"/>
      <c r="Z136" s="709"/>
      <c r="AA136" s="431"/>
      <c r="AB136" s="442"/>
      <c r="AC136" s="431"/>
      <c r="AD136" s="431"/>
      <c r="AE136" s="431"/>
      <c r="AF136" s="431">
        <f t="shared" si="81"/>
        <v>0.41955630014999862</v>
      </c>
      <c r="AG136" s="431">
        <f t="shared" si="81"/>
        <v>0.1605842749667121</v>
      </c>
      <c r="AH136" s="442">
        <f t="shared" si="22"/>
        <v>-61.7</v>
      </c>
      <c r="AI136" s="425">
        <f t="shared" si="82"/>
        <v>0.41955630014999862</v>
      </c>
      <c r="AJ136" s="425">
        <f t="shared" si="82"/>
        <v>0.1605842749667121</v>
      </c>
      <c r="AK136" s="442">
        <f t="shared" si="23"/>
        <v>-61.7</v>
      </c>
      <c r="AL136" s="545"/>
      <c r="AM136" s="545"/>
      <c r="AN136" s="545"/>
      <c r="AO136" s="545"/>
    </row>
    <row r="137" spans="1:41" ht="18.75" customHeight="1" x14ac:dyDescent="0.3">
      <c r="A137" s="411" t="s">
        <v>325</v>
      </c>
      <c r="B137" s="709"/>
      <c r="C137" s="728"/>
      <c r="D137" s="442"/>
      <c r="E137" s="430"/>
      <c r="F137" s="431"/>
      <c r="G137" s="442"/>
      <c r="H137" s="430"/>
      <c r="I137" s="431"/>
      <c r="J137" s="442"/>
      <c r="K137" s="430"/>
      <c r="L137" s="431"/>
      <c r="M137" s="431"/>
      <c r="N137" s="430"/>
      <c r="O137" s="431"/>
      <c r="P137" s="442"/>
      <c r="Q137" s="430"/>
      <c r="R137" s="431"/>
      <c r="S137" s="442"/>
      <c r="T137" s="430"/>
      <c r="U137" s="431"/>
      <c r="V137" s="442"/>
      <c r="W137" s="430"/>
      <c r="X137" s="431"/>
      <c r="Y137" s="442"/>
      <c r="Z137" s="709"/>
      <c r="AA137" s="431"/>
      <c r="AB137" s="442"/>
      <c r="AC137" s="431"/>
      <c r="AD137" s="431"/>
      <c r="AE137" s="431"/>
      <c r="AF137" s="431">
        <f t="shared" si="81"/>
        <v>0</v>
      </c>
      <c r="AG137" s="431">
        <f t="shared" si="81"/>
        <v>0</v>
      </c>
      <c r="AH137" s="442" t="str">
        <f t="shared" si="22"/>
        <v xml:space="preserve">    ---- </v>
      </c>
      <c r="AI137" s="425">
        <f t="shared" si="82"/>
        <v>0</v>
      </c>
      <c r="AJ137" s="425">
        <f t="shared" si="82"/>
        <v>0</v>
      </c>
      <c r="AK137" s="442" t="str">
        <f t="shared" si="23"/>
        <v xml:space="preserve">    ---- </v>
      </c>
      <c r="AL137" s="545"/>
      <c r="AM137" s="545"/>
      <c r="AN137" s="545"/>
      <c r="AO137" s="545"/>
    </row>
    <row r="138" spans="1:41" ht="18.75" customHeight="1" x14ac:dyDescent="0.3">
      <c r="A138" s="411" t="s">
        <v>326</v>
      </c>
      <c r="B138" s="709"/>
      <c r="C138" s="728"/>
      <c r="D138" s="442"/>
      <c r="E138" s="430"/>
      <c r="F138" s="431"/>
      <c r="G138" s="442"/>
      <c r="H138" s="430"/>
      <c r="I138" s="431"/>
      <c r="J138" s="442"/>
      <c r="K138" s="430"/>
      <c r="L138" s="431"/>
      <c r="M138" s="431"/>
      <c r="N138" s="430">
        <v>1.237223</v>
      </c>
      <c r="O138" s="431">
        <v>5.4224000000000001E-2</v>
      </c>
      <c r="P138" s="442">
        <f t="shared" si="76"/>
        <v>-95.6</v>
      </c>
      <c r="Q138" s="430"/>
      <c r="R138" s="431"/>
      <c r="S138" s="442"/>
      <c r="T138" s="430"/>
      <c r="U138" s="431"/>
      <c r="V138" s="442"/>
      <c r="W138" s="430"/>
      <c r="X138" s="431"/>
      <c r="Y138" s="442"/>
      <c r="Z138" s="709"/>
      <c r="AA138" s="431"/>
      <c r="AB138" s="442"/>
      <c r="AC138" s="431"/>
      <c r="AD138" s="431"/>
      <c r="AE138" s="431"/>
      <c r="AF138" s="431">
        <f t="shared" si="81"/>
        <v>1.237223</v>
      </c>
      <c r="AG138" s="431">
        <f t="shared" si="81"/>
        <v>5.4224000000000001E-2</v>
      </c>
      <c r="AH138" s="442">
        <f t="shared" si="22"/>
        <v>-95.6</v>
      </c>
      <c r="AI138" s="425">
        <f t="shared" si="82"/>
        <v>1.237223</v>
      </c>
      <c r="AJ138" s="425">
        <f t="shared" si="82"/>
        <v>5.4224000000000001E-2</v>
      </c>
      <c r="AK138" s="442">
        <f t="shared" si="23"/>
        <v>-95.6</v>
      </c>
      <c r="AL138" s="545"/>
      <c r="AM138" s="545"/>
      <c r="AN138" s="545"/>
      <c r="AO138" s="545"/>
    </row>
    <row r="139" spans="1:41" ht="18.75" customHeight="1" x14ac:dyDescent="0.3">
      <c r="A139" s="411" t="s">
        <v>327</v>
      </c>
      <c r="B139" s="709"/>
      <c r="C139" s="728"/>
      <c r="D139" s="442"/>
      <c r="E139" s="430"/>
      <c r="F139" s="431"/>
      <c r="G139" s="442"/>
      <c r="H139" s="430"/>
      <c r="I139" s="431"/>
      <c r="J139" s="442"/>
      <c r="K139" s="430"/>
      <c r="L139" s="431"/>
      <c r="M139" s="431"/>
      <c r="N139" s="430">
        <v>1.5414900211733875</v>
      </c>
      <c r="O139" s="431">
        <v>2.2980216732078378</v>
      </c>
      <c r="P139" s="442">
        <f t="shared" si="76"/>
        <v>49.1</v>
      </c>
      <c r="Q139" s="430"/>
      <c r="R139" s="431"/>
      <c r="S139" s="442"/>
      <c r="T139" s="430"/>
      <c r="U139" s="431"/>
      <c r="V139" s="442"/>
      <c r="W139" s="430"/>
      <c r="X139" s="431"/>
      <c r="Y139" s="442"/>
      <c r="Z139" s="709"/>
      <c r="AA139" s="431"/>
      <c r="AB139" s="442"/>
      <c r="AC139" s="431"/>
      <c r="AD139" s="431"/>
      <c r="AE139" s="431"/>
      <c r="AF139" s="431">
        <f t="shared" si="81"/>
        <v>1.5414900211733875</v>
      </c>
      <c r="AG139" s="431">
        <f t="shared" si="81"/>
        <v>2.2980216732078378</v>
      </c>
      <c r="AH139" s="442">
        <f t="shared" si="22"/>
        <v>49.1</v>
      </c>
      <c r="AI139" s="425">
        <f t="shared" si="82"/>
        <v>1.5414900211733875</v>
      </c>
      <c r="AJ139" s="425">
        <f t="shared" si="82"/>
        <v>2.2980216732078378</v>
      </c>
      <c r="AK139" s="442">
        <f t="shared" si="23"/>
        <v>49.1</v>
      </c>
      <c r="AL139" s="545"/>
      <c r="AM139" s="545"/>
      <c r="AN139" s="545"/>
      <c r="AO139" s="545"/>
    </row>
    <row r="140" spans="1:41" ht="18.75" customHeight="1" x14ac:dyDescent="0.3">
      <c r="A140" s="411" t="s">
        <v>328</v>
      </c>
      <c r="B140" s="709"/>
      <c r="C140" s="728"/>
      <c r="D140" s="442"/>
      <c r="E140" s="430"/>
      <c r="F140" s="431"/>
      <c r="G140" s="442"/>
      <c r="H140" s="430"/>
      <c r="I140" s="431"/>
      <c r="J140" s="442"/>
      <c r="K140" s="430"/>
      <c r="L140" s="431"/>
      <c r="M140" s="431"/>
      <c r="N140" s="430">
        <v>1.54149</v>
      </c>
      <c r="O140" s="431">
        <v>2.298022</v>
      </c>
      <c r="P140" s="442">
        <f t="shared" si="76"/>
        <v>49.1</v>
      </c>
      <c r="Q140" s="430"/>
      <c r="R140" s="431"/>
      <c r="S140" s="442"/>
      <c r="T140" s="430"/>
      <c r="U140" s="431"/>
      <c r="V140" s="442"/>
      <c r="W140" s="430"/>
      <c r="X140" s="431"/>
      <c r="Y140" s="442"/>
      <c r="Z140" s="709"/>
      <c r="AA140" s="431"/>
      <c r="AB140" s="442"/>
      <c r="AC140" s="431"/>
      <c r="AD140" s="431"/>
      <c r="AE140" s="431"/>
      <c r="AF140" s="431">
        <f t="shared" si="81"/>
        <v>1.54149</v>
      </c>
      <c r="AG140" s="431">
        <f t="shared" si="81"/>
        <v>2.298022</v>
      </c>
      <c r="AH140" s="442">
        <f t="shared" si="22"/>
        <v>49.1</v>
      </c>
      <c r="AI140" s="425">
        <f t="shared" si="82"/>
        <v>1.54149</v>
      </c>
      <c r="AJ140" s="425">
        <f t="shared" si="82"/>
        <v>2.298022</v>
      </c>
      <c r="AK140" s="442">
        <f t="shared" si="23"/>
        <v>49.1</v>
      </c>
      <c r="AL140" s="545"/>
      <c r="AM140" s="545"/>
      <c r="AN140" s="545"/>
      <c r="AO140" s="545"/>
    </row>
    <row r="141" spans="1:41" ht="18.75" customHeight="1" x14ac:dyDescent="0.3">
      <c r="A141" s="411" t="s">
        <v>329</v>
      </c>
      <c r="B141" s="709"/>
      <c r="C141" s="728"/>
      <c r="D141" s="442"/>
      <c r="E141" s="430"/>
      <c r="F141" s="431"/>
      <c r="G141" s="442"/>
      <c r="H141" s="430"/>
      <c r="I141" s="431"/>
      <c r="J141" s="442"/>
      <c r="K141" s="430"/>
      <c r="L141" s="431"/>
      <c r="M141" s="431"/>
      <c r="N141" s="430"/>
      <c r="O141" s="431"/>
      <c r="P141" s="442"/>
      <c r="Q141" s="430"/>
      <c r="R141" s="431"/>
      <c r="S141" s="442"/>
      <c r="T141" s="430"/>
      <c r="U141" s="431"/>
      <c r="V141" s="442"/>
      <c r="W141" s="430"/>
      <c r="X141" s="431"/>
      <c r="Y141" s="442"/>
      <c r="Z141" s="709"/>
      <c r="AA141" s="431"/>
      <c r="AB141" s="442"/>
      <c r="AC141" s="431"/>
      <c r="AD141" s="431"/>
      <c r="AE141" s="431"/>
      <c r="AF141" s="431">
        <f t="shared" si="81"/>
        <v>0</v>
      </c>
      <c r="AG141" s="431">
        <f t="shared" si="81"/>
        <v>0</v>
      </c>
      <c r="AH141" s="442" t="str">
        <f t="shared" si="22"/>
        <v xml:space="preserve">    ---- </v>
      </c>
      <c r="AI141" s="425">
        <f t="shared" si="82"/>
        <v>0</v>
      </c>
      <c r="AJ141" s="425">
        <f t="shared" si="82"/>
        <v>0</v>
      </c>
      <c r="AK141" s="442" t="str">
        <f t="shared" si="23"/>
        <v xml:space="preserve">    ---- </v>
      </c>
      <c r="AL141" s="545"/>
      <c r="AM141" s="545"/>
      <c r="AN141" s="545"/>
      <c r="AO141" s="545"/>
    </row>
    <row r="142" spans="1:41" s="561" customFormat="1" ht="18.75" customHeight="1" x14ac:dyDescent="0.3">
      <c r="A142" s="528" t="s">
        <v>330</v>
      </c>
      <c r="B142" s="710"/>
      <c r="C142" s="729"/>
      <c r="D142" s="443"/>
      <c r="E142" s="432"/>
      <c r="F142" s="433"/>
      <c r="G142" s="443"/>
      <c r="H142" s="432"/>
      <c r="I142" s="433"/>
      <c r="J142" s="443"/>
      <c r="K142" s="432"/>
      <c r="L142" s="433"/>
      <c r="M142" s="433"/>
      <c r="N142" s="432">
        <v>157.41227233720571</v>
      </c>
      <c r="O142" s="433">
        <v>249.00682988817456</v>
      </c>
      <c r="P142" s="443">
        <f t="shared" si="76"/>
        <v>58.2</v>
      </c>
      <c r="Q142" s="432"/>
      <c r="R142" s="433"/>
      <c r="S142" s="443"/>
      <c r="T142" s="432"/>
      <c r="U142" s="433"/>
      <c r="V142" s="443"/>
      <c r="W142" s="432"/>
      <c r="X142" s="433"/>
      <c r="Y142" s="443"/>
      <c r="Z142" s="710"/>
      <c r="AA142" s="433"/>
      <c r="AB142" s="443"/>
      <c r="AC142" s="433"/>
      <c r="AD142" s="433"/>
      <c r="AE142" s="433"/>
      <c r="AF142" s="433">
        <f t="shared" si="81"/>
        <v>157.41227233720571</v>
      </c>
      <c r="AG142" s="433">
        <f t="shared" si="81"/>
        <v>249.00682988817456</v>
      </c>
      <c r="AH142" s="443">
        <f t="shared" si="22"/>
        <v>58.2</v>
      </c>
      <c r="AI142" s="423">
        <f t="shared" si="82"/>
        <v>157.41227233720571</v>
      </c>
      <c r="AJ142" s="423">
        <f t="shared" si="82"/>
        <v>249.00682988817456</v>
      </c>
      <c r="AK142" s="443">
        <f t="shared" si="23"/>
        <v>58.2</v>
      </c>
      <c r="AL142" s="548"/>
      <c r="AM142" s="548"/>
      <c r="AN142" s="548"/>
      <c r="AO142" s="548"/>
    </row>
    <row r="143" spans="1:41" ht="18.75" customHeight="1" x14ac:dyDescent="0.3">
      <c r="A143" s="411" t="s">
        <v>331</v>
      </c>
      <c r="B143" s="709"/>
      <c r="C143" s="728"/>
      <c r="D143" s="442"/>
      <c r="E143" s="430"/>
      <c r="F143" s="431"/>
      <c r="G143" s="442"/>
      <c r="H143" s="430"/>
      <c r="I143" s="431"/>
      <c r="J143" s="442"/>
      <c r="K143" s="430"/>
      <c r="L143" s="431"/>
      <c r="M143" s="431"/>
      <c r="N143" s="430">
        <v>157.37646085117339</v>
      </c>
      <c r="O143" s="431">
        <v>248.6870776732074</v>
      </c>
      <c r="P143" s="442">
        <f t="shared" si="76"/>
        <v>58</v>
      </c>
      <c r="Q143" s="430"/>
      <c r="R143" s="431"/>
      <c r="S143" s="442"/>
      <c r="T143" s="430"/>
      <c r="U143" s="431"/>
      <c r="V143" s="442"/>
      <c r="W143" s="430"/>
      <c r="X143" s="431"/>
      <c r="Y143" s="442"/>
      <c r="Z143" s="709"/>
      <c r="AA143" s="431"/>
      <c r="AB143" s="442"/>
      <c r="AC143" s="431"/>
      <c r="AD143" s="431"/>
      <c r="AE143" s="431"/>
      <c r="AF143" s="431">
        <f t="shared" si="81"/>
        <v>157.37646085117339</v>
      </c>
      <c r="AG143" s="431">
        <f t="shared" si="81"/>
        <v>248.6870776732074</v>
      </c>
      <c r="AH143" s="442">
        <f t="shared" si="22"/>
        <v>58</v>
      </c>
      <c r="AI143" s="425">
        <f t="shared" si="82"/>
        <v>157.37646085117339</v>
      </c>
      <c r="AJ143" s="425">
        <f t="shared" si="82"/>
        <v>248.6870776732074</v>
      </c>
      <c r="AK143" s="442">
        <f t="shared" si="23"/>
        <v>58</v>
      </c>
      <c r="AL143" s="545"/>
      <c r="AM143" s="545"/>
      <c r="AN143" s="545"/>
      <c r="AO143" s="545"/>
    </row>
    <row r="144" spans="1:41" s="545" customFormat="1" ht="18.75" customHeight="1" x14ac:dyDescent="0.3">
      <c r="A144" s="413" t="s">
        <v>332</v>
      </c>
      <c r="B144" s="711"/>
      <c r="C144" s="730"/>
      <c r="D144" s="438"/>
      <c r="E144" s="434"/>
      <c r="F144" s="435"/>
      <c r="G144" s="438"/>
      <c r="H144" s="434"/>
      <c r="I144" s="435"/>
      <c r="J144" s="438"/>
      <c r="K144" s="434"/>
      <c r="L144" s="435"/>
      <c r="M144" s="435"/>
      <c r="N144" s="434">
        <v>3.5811486032314599E-2</v>
      </c>
      <c r="O144" s="435">
        <v>0.31975221496713163</v>
      </c>
      <c r="P144" s="438">
        <f t="shared" si="76"/>
        <v>792.9</v>
      </c>
      <c r="Q144" s="434"/>
      <c r="R144" s="435"/>
      <c r="S144" s="438"/>
      <c r="T144" s="434"/>
      <c r="U144" s="435"/>
      <c r="V144" s="438"/>
      <c r="W144" s="434"/>
      <c r="X144" s="435"/>
      <c r="Y144" s="438"/>
      <c r="Z144" s="711"/>
      <c r="AA144" s="435"/>
      <c r="AB144" s="438"/>
      <c r="AC144" s="438"/>
      <c r="AD144" s="438"/>
      <c r="AE144" s="438"/>
      <c r="AF144" s="438">
        <f t="shared" si="81"/>
        <v>3.5811486032314599E-2</v>
      </c>
      <c r="AG144" s="438">
        <f t="shared" si="81"/>
        <v>0.31975221496713163</v>
      </c>
      <c r="AH144" s="438">
        <f t="shared" si="22"/>
        <v>792.9</v>
      </c>
      <c r="AI144" s="441">
        <f t="shared" si="82"/>
        <v>3.5811486032314599E-2</v>
      </c>
      <c r="AJ144" s="441">
        <f t="shared" si="82"/>
        <v>0.31975221496713163</v>
      </c>
      <c r="AK144" s="438">
        <f t="shared" si="23"/>
        <v>792.9</v>
      </c>
    </row>
    <row r="145" spans="1:41" s="567" customFormat="1" ht="18.75" customHeight="1" x14ac:dyDescent="0.3">
      <c r="A145" s="545" t="s">
        <v>223</v>
      </c>
      <c r="B145" s="566"/>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6"/>
      <c r="AL145" s="568"/>
      <c r="AM145" s="568"/>
      <c r="AN145" s="568"/>
      <c r="AO145" s="568"/>
    </row>
    <row r="146" spans="1:41" ht="18.75" x14ac:dyDescent="0.3">
      <c r="A146" s="545"/>
    </row>
    <row r="147" spans="1:41" ht="18.75" x14ac:dyDescent="0.3">
      <c r="A147" s="545"/>
    </row>
    <row r="148" spans="1:41" ht="18.75" x14ac:dyDescent="0.3">
      <c r="A148" s="545"/>
    </row>
    <row r="149" spans="1:41" ht="18.75" x14ac:dyDescent="0.3">
      <c r="A149" s="545"/>
    </row>
    <row r="150" spans="1:41" ht="18.75" x14ac:dyDescent="0.3">
      <c r="A150" s="545"/>
    </row>
    <row r="151" spans="1:41" ht="18.75" x14ac:dyDescent="0.3">
      <c r="A151" s="545"/>
    </row>
    <row r="152" spans="1:41" ht="18.75" x14ac:dyDescent="0.3">
      <c r="A152" s="545"/>
    </row>
    <row r="153" spans="1:41" ht="18.75" x14ac:dyDescent="0.3">
      <c r="A153" s="545"/>
    </row>
    <row r="154" spans="1:41" ht="18.75" x14ac:dyDescent="0.3">
      <c r="A154" s="545"/>
    </row>
    <row r="155" spans="1:41" ht="18.75" x14ac:dyDescent="0.3">
      <c r="A155" s="545"/>
    </row>
    <row r="156" spans="1:41" ht="18.75" x14ac:dyDescent="0.3">
      <c r="A156" s="545"/>
    </row>
    <row r="157" spans="1:41" ht="18.75" x14ac:dyDescent="0.3">
      <c r="A157" s="545"/>
    </row>
    <row r="158" spans="1:41" ht="18.75" x14ac:dyDescent="0.3">
      <c r="A158" s="545"/>
    </row>
    <row r="159" spans="1:41" ht="18.75" x14ac:dyDescent="0.3">
      <c r="A159" s="545"/>
    </row>
    <row r="160" spans="1:41" ht="18.75" x14ac:dyDescent="0.3">
      <c r="A160" s="545"/>
    </row>
    <row r="161" spans="1:1" ht="18.75" x14ac:dyDescent="0.3">
      <c r="A161" s="545"/>
    </row>
    <row r="162" spans="1:1" ht="18.75" x14ac:dyDescent="0.3">
      <c r="A162" s="545"/>
    </row>
    <row r="163" spans="1:1" ht="18.75" x14ac:dyDescent="0.3">
      <c r="A163" s="545"/>
    </row>
    <row r="164" spans="1:1" ht="18.75" x14ac:dyDescent="0.3">
      <c r="A164" s="545"/>
    </row>
    <row r="165" spans="1:1" ht="18.75" x14ac:dyDescent="0.3">
      <c r="A165" s="545"/>
    </row>
    <row r="166" spans="1:1" ht="18.75" x14ac:dyDescent="0.3">
      <c r="A166" s="545"/>
    </row>
    <row r="167" spans="1:1" ht="18.75" x14ac:dyDescent="0.3">
      <c r="A167" s="545"/>
    </row>
    <row r="168" spans="1:1" ht="18.75" x14ac:dyDescent="0.3">
      <c r="A168" s="545"/>
    </row>
    <row r="169" spans="1:1" ht="18.75" x14ac:dyDescent="0.3">
      <c r="A169" s="545"/>
    </row>
    <row r="170" spans="1:1" ht="18.75" x14ac:dyDescent="0.3">
      <c r="A170" s="545"/>
    </row>
    <row r="171" spans="1:1" ht="18.75" x14ac:dyDescent="0.3">
      <c r="A171" s="545"/>
    </row>
    <row r="172" spans="1:1" ht="18.75" x14ac:dyDescent="0.3">
      <c r="A172" s="545"/>
    </row>
    <row r="173" spans="1:1" ht="18.75" x14ac:dyDescent="0.3">
      <c r="A173" s="545"/>
    </row>
    <row r="174" spans="1:1" ht="18.75" x14ac:dyDescent="0.3">
      <c r="A174" s="545"/>
    </row>
    <row r="175" spans="1:1" ht="18.75" x14ac:dyDescent="0.3">
      <c r="A175" s="545"/>
    </row>
    <row r="176" spans="1:1" ht="18.75" x14ac:dyDescent="0.3">
      <c r="A176" s="545"/>
    </row>
    <row r="177" spans="1:1" ht="18.75" x14ac:dyDescent="0.3">
      <c r="A177" s="545"/>
    </row>
    <row r="178" spans="1:1" ht="18.75" x14ac:dyDescent="0.3">
      <c r="A178" s="545"/>
    </row>
    <row r="179" spans="1:1" ht="18.75" x14ac:dyDescent="0.3">
      <c r="A179" s="545"/>
    </row>
    <row r="180" spans="1:1" ht="18.75" x14ac:dyDescent="0.3">
      <c r="A180" s="545"/>
    </row>
    <row r="181" spans="1:1" ht="18.75" x14ac:dyDescent="0.3">
      <c r="A181" s="545"/>
    </row>
    <row r="182" spans="1:1" ht="18.75" x14ac:dyDescent="0.3">
      <c r="A182" s="545"/>
    </row>
    <row r="183" spans="1:1" ht="18.75" x14ac:dyDescent="0.3">
      <c r="A183" s="545"/>
    </row>
    <row r="184" spans="1:1" ht="18.75" x14ac:dyDescent="0.3">
      <c r="A184" s="545"/>
    </row>
    <row r="185" spans="1:1" ht="18.75" x14ac:dyDescent="0.3">
      <c r="A185" s="545"/>
    </row>
    <row r="186" spans="1:1" ht="18.75" x14ac:dyDescent="0.3">
      <c r="A186" s="545"/>
    </row>
    <row r="187" spans="1:1" ht="18.75" x14ac:dyDescent="0.3">
      <c r="A187" s="545"/>
    </row>
    <row r="188" spans="1:1" ht="18.75" x14ac:dyDescent="0.3">
      <c r="A188" s="545"/>
    </row>
    <row r="189" spans="1:1" ht="18.75" x14ac:dyDescent="0.3">
      <c r="A189" s="545"/>
    </row>
    <row r="190" spans="1:1" ht="18.75" x14ac:dyDescent="0.3">
      <c r="A190" s="545"/>
    </row>
    <row r="191" spans="1:1" ht="18.75" x14ac:dyDescent="0.3">
      <c r="A191" s="545"/>
    </row>
    <row r="192" spans="1:1" ht="18.75" x14ac:dyDescent="0.3">
      <c r="A192" s="545"/>
    </row>
    <row r="193" spans="1:1" ht="18.75" x14ac:dyDescent="0.3">
      <c r="A193" s="545"/>
    </row>
    <row r="194" spans="1:1" ht="18.75" x14ac:dyDescent="0.3">
      <c r="A194" s="545"/>
    </row>
    <row r="195" spans="1:1" ht="18.75" x14ac:dyDescent="0.3">
      <c r="A195" s="545"/>
    </row>
    <row r="196" spans="1:1" ht="18.75" x14ac:dyDescent="0.3">
      <c r="A196" s="545"/>
    </row>
    <row r="197" spans="1:1" ht="18.75" x14ac:dyDescent="0.3">
      <c r="A197" s="545"/>
    </row>
    <row r="198" spans="1:1" ht="18.75" x14ac:dyDescent="0.3">
      <c r="A198" s="545"/>
    </row>
    <row r="199" spans="1:1" ht="18.75" x14ac:dyDescent="0.3">
      <c r="A199" s="545"/>
    </row>
    <row r="200" spans="1:1" ht="18.75" x14ac:dyDescent="0.3">
      <c r="A200" s="545"/>
    </row>
    <row r="201" spans="1:1" ht="18.75" x14ac:dyDescent="0.3">
      <c r="A201" s="545"/>
    </row>
    <row r="202" spans="1:1" ht="18.75" x14ac:dyDescent="0.3">
      <c r="A202" s="545"/>
    </row>
    <row r="203" spans="1:1" ht="18.75" x14ac:dyDescent="0.3">
      <c r="A203" s="545"/>
    </row>
    <row r="204" spans="1:1" ht="18.75" x14ac:dyDescent="0.3">
      <c r="A204" s="545"/>
    </row>
    <row r="205" spans="1:1" ht="18.75" x14ac:dyDescent="0.3">
      <c r="A205" s="545"/>
    </row>
    <row r="206" spans="1:1" ht="18.75" x14ac:dyDescent="0.3">
      <c r="A206" s="545"/>
    </row>
    <row r="207" spans="1:1" ht="18.75" x14ac:dyDescent="0.3">
      <c r="A207" s="545"/>
    </row>
    <row r="208" spans="1:1" ht="18.75" x14ac:dyDescent="0.3">
      <c r="A208" s="545"/>
    </row>
    <row r="209" spans="1:1" ht="18.75" x14ac:dyDescent="0.3">
      <c r="A209" s="545"/>
    </row>
    <row r="210" spans="1:1" ht="18.75" x14ac:dyDescent="0.3">
      <c r="A210" s="545"/>
    </row>
    <row r="211" spans="1:1" ht="18.75" x14ac:dyDescent="0.3">
      <c r="A211" s="545"/>
    </row>
    <row r="212" spans="1:1" ht="18.75" x14ac:dyDescent="0.3">
      <c r="A212" s="545"/>
    </row>
    <row r="213" spans="1:1" ht="18.75" x14ac:dyDescent="0.3">
      <c r="A213" s="545"/>
    </row>
    <row r="214" spans="1:1" ht="18.75" x14ac:dyDescent="0.3">
      <c r="A214" s="545"/>
    </row>
    <row r="215" spans="1:1" ht="18.75" x14ac:dyDescent="0.3">
      <c r="A215" s="545"/>
    </row>
    <row r="216" spans="1:1" ht="18.75" x14ac:dyDescent="0.3">
      <c r="A216" s="545"/>
    </row>
    <row r="217" spans="1:1" ht="18.75" x14ac:dyDescent="0.3">
      <c r="A217" s="545"/>
    </row>
    <row r="218" spans="1:1" ht="18.75" x14ac:dyDescent="0.3">
      <c r="A218" s="545"/>
    </row>
    <row r="219" spans="1:1" ht="18.75" x14ac:dyDescent="0.3">
      <c r="A219" s="545"/>
    </row>
  </sheetData>
  <mergeCells count="22">
    <mergeCell ref="AI7:AK7"/>
    <mergeCell ref="Z6:AB6"/>
    <mergeCell ref="AC6:AE6"/>
    <mergeCell ref="AF6:AH6"/>
    <mergeCell ref="AI6:AK6"/>
    <mergeCell ref="Z7:AB7"/>
    <mergeCell ref="AC7:AE7"/>
    <mergeCell ref="AF7:AH7"/>
    <mergeCell ref="T6:V6"/>
    <mergeCell ref="W6:Y6"/>
    <mergeCell ref="Q7:S7"/>
    <mergeCell ref="B6:D6"/>
    <mergeCell ref="E6:G6"/>
    <mergeCell ref="H6:J6"/>
    <mergeCell ref="K6:M6"/>
    <mergeCell ref="B7:D7"/>
    <mergeCell ref="E7:G7"/>
    <mergeCell ref="H7:J7"/>
    <mergeCell ref="K7:M7"/>
    <mergeCell ref="N7:P7"/>
    <mergeCell ref="T7:V7"/>
    <mergeCell ref="W7:Y7"/>
  </mergeCells>
  <conditionalFormatting sqref="B20:C20">
    <cfRule type="expression" dxfId="451" priority="110">
      <formula>#REF!="20≠12+13+14+15+16+17+19"</formula>
    </cfRule>
    <cfRule type="expression" dxfId="450" priority="89">
      <formula>#REF!="20≠21+22"</formula>
    </cfRule>
  </conditionalFormatting>
  <conditionalFormatting sqref="B32:C32">
    <cfRule type="expression" dxfId="449" priority="90">
      <formula>#REF!="32≠24+25+26+27+28+29+31"</formula>
    </cfRule>
    <cfRule type="expression" dxfId="448" priority="91">
      <formula>#REF!="32≠33+34"</formula>
    </cfRule>
  </conditionalFormatting>
  <conditionalFormatting sqref="B44:C44">
    <cfRule type="expression" dxfId="447" priority="93">
      <formula>#REF!="44≠45+46"</formula>
    </cfRule>
    <cfRule type="expression" dxfId="446" priority="92">
      <formula>#REF!="44≠36+37+38+39+40+41+43"</formula>
    </cfRule>
  </conditionalFormatting>
  <conditionalFormatting sqref="B56:C56">
    <cfRule type="expression" dxfId="445" priority="94">
      <formula>#REF!="56≠48+49+50+51+52+53+55"</formula>
    </cfRule>
    <cfRule type="expression" dxfId="444" priority="95">
      <formula>#REF!="56≠57+58"</formula>
    </cfRule>
  </conditionalFormatting>
  <conditionalFormatting sqref="B68:C68">
    <cfRule type="expression" dxfId="443" priority="96">
      <formula>#REF!="68≠60+61+62+63+64+65+67"</formula>
    </cfRule>
    <cfRule type="expression" dxfId="442" priority="97">
      <formula>#REF!="68≠69+70"</formula>
    </cfRule>
  </conditionalFormatting>
  <conditionalFormatting sqref="B80:C80">
    <cfRule type="expression" dxfId="441" priority="98">
      <formula>#REF!="80≠72+73+74+75+76+77+79"</formula>
    </cfRule>
    <cfRule type="expression" dxfId="440" priority="99">
      <formula>#REF!="80≠81+82"</formula>
    </cfRule>
  </conditionalFormatting>
  <conditionalFormatting sqref="B92:C92">
    <cfRule type="expression" dxfId="439" priority="100">
      <formula>#REF!="92≠84+85+86+87+88+89+91"</formula>
    </cfRule>
    <cfRule type="expression" dxfId="438" priority="101">
      <formula>#REF!="92≠93+94"</formula>
    </cfRule>
  </conditionalFormatting>
  <conditionalFormatting sqref="B104:C104">
    <cfRule type="expression" dxfId="437" priority="103">
      <formula>#REF!="104≠105+106"</formula>
    </cfRule>
    <cfRule type="expression" dxfId="436" priority="102">
      <formula>#REF!="104≠96+97+98+99+100+101+103"</formula>
    </cfRule>
  </conditionalFormatting>
  <conditionalFormatting sqref="B116:C116">
    <cfRule type="expression" dxfId="435" priority="104">
      <formula>#REF!="116≠108+109+110+111+112+113+115"</formula>
    </cfRule>
    <cfRule type="expression" dxfId="434" priority="105">
      <formula>#REF!="116≠117+118"</formula>
    </cfRule>
  </conditionalFormatting>
  <conditionalFormatting sqref="B130:C130">
    <cfRule type="expression" dxfId="433" priority="106">
      <formula>#REF!="130≠122+123+124+125+126+127+129"</formula>
    </cfRule>
    <cfRule type="expression" dxfId="432" priority="107">
      <formula>#REF!="130≠131+132"</formula>
    </cfRule>
  </conditionalFormatting>
  <conditionalFormatting sqref="B142:C142">
    <cfRule type="expression" dxfId="431" priority="108">
      <formula>#REF!="142≠134+135+136+137+138+139+141"</formula>
    </cfRule>
    <cfRule type="expression" dxfId="430" priority="109">
      <formula>#REF!="142≠143+144"</formula>
    </cfRule>
  </conditionalFormatting>
  <conditionalFormatting sqref="C13 C25 C37 C49 C61 C73 C85 C97 C109 C123 C135">
    <cfRule type="expression" dxfId="429" priority="111">
      <formula>kvartal &lt; 4</formula>
    </cfRule>
  </conditionalFormatting>
  <conditionalFormatting sqref="E20:F20">
    <cfRule type="expression" dxfId="428" priority="65">
      <formula>#REF!="20≠12+13+14+15+16+17+19"</formula>
    </cfRule>
    <cfRule type="expression" dxfId="427" priority="66">
      <formula>#REF!="20≠21+22"</formula>
    </cfRule>
  </conditionalFormatting>
  <conditionalFormatting sqref="E32:F32">
    <cfRule type="expression" dxfId="426" priority="45">
      <formula>#REF!="32≠24+25+26+27+28+29+31"</formula>
    </cfRule>
    <cfRule type="expression" dxfId="425" priority="46">
      <formula>#REF!="32≠33+34"</formula>
    </cfRule>
  </conditionalFormatting>
  <conditionalFormatting sqref="E44:F44">
    <cfRule type="expression" dxfId="424" priority="47">
      <formula>#REF!="44≠36+37+38+39+40+41+43"</formula>
    </cfRule>
    <cfRule type="expression" dxfId="423" priority="48">
      <formula>#REF!="44≠45+46"</formula>
    </cfRule>
  </conditionalFormatting>
  <conditionalFormatting sqref="E56:F56">
    <cfRule type="expression" dxfId="422" priority="49">
      <formula>#REF!="56≠48+49+50+51+52+53+55"</formula>
    </cfRule>
    <cfRule type="expression" dxfId="421" priority="50">
      <formula>#REF!="56≠57+58"</formula>
    </cfRule>
  </conditionalFormatting>
  <conditionalFormatting sqref="E68:F68">
    <cfRule type="expression" dxfId="420" priority="51">
      <formula>#REF!="68≠60+61+62+63+64+65+67"</formula>
    </cfRule>
    <cfRule type="expression" dxfId="419" priority="52">
      <formula>#REF!="68≠69+70"</formula>
    </cfRule>
  </conditionalFormatting>
  <conditionalFormatting sqref="E80:F80">
    <cfRule type="expression" dxfId="418" priority="53">
      <formula>#REF!="80≠72+73+74+75+76+77+79"</formula>
    </cfRule>
    <cfRule type="expression" dxfId="417" priority="54">
      <formula>#REF!="80≠81+82"</formula>
    </cfRule>
  </conditionalFormatting>
  <conditionalFormatting sqref="E92:F92">
    <cfRule type="expression" dxfId="416" priority="55">
      <formula>#REF!="92≠84+85+86+87+88+89+91"</formula>
    </cfRule>
    <cfRule type="expression" dxfId="415" priority="56">
      <formula>#REF!="92≠93+94"</formula>
    </cfRule>
  </conditionalFormatting>
  <conditionalFormatting sqref="E104:F104">
    <cfRule type="expression" dxfId="414" priority="58">
      <formula>#REF!="104≠105+106"</formula>
    </cfRule>
    <cfRule type="expression" dxfId="413" priority="57">
      <formula>#REF!="104≠96+97+98+99+100+101+103"</formula>
    </cfRule>
  </conditionalFormatting>
  <conditionalFormatting sqref="E116:F116">
    <cfRule type="expression" dxfId="412" priority="59">
      <formula>#REF!="116≠108+109+110+111+112+113+115"</formula>
    </cfRule>
    <cfRule type="expression" dxfId="411" priority="60">
      <formula>#REF!="116≠117+118"</formula>
    </cfRule>
  </conditionalFormatting>
  <conditionalFormatting sqref="E130:F130">
    <cfRule type="expression" dxfId="410" priority="61">
      <formula>#REF!="130≠122+123+124+125+126+127+129"</formula>
    </cfRule>
    <cfRule type="expression" dxfId="409" priority="62">
      <formula>#REF!="130≠131+132"</formula>
    </cfRule>
  </conditionalFormatting>
  <conditionalFormatting sqref="E142:F142">
    <cfRule type="expression" dxfId="408" priority="63">
      <formula>#REF!="142≠134+135+136+137+138+139+141"</formula>
    </cfRule>
    <cfRule type="expression" dxfId="407" priority="64">
      <formula>#REF!="142≠143+144"</formula>
    </cfRule>
  </conditionalFormatting>
  <conditionalFormatting sqref="H20:I20">
    <cfRule type="expression" dxfId="406" priority="134">
      <formula>#REF!="20≠21+22"</formula>
    </cfRule>
    <cfRule type="expression" dxfId="405" priority="155">
      <formula>#REF!="20≠12+13+14+15+16+17+19"</formula>
    </cfRule>
  </conditionalFormatting>
  <conditionalFormatting sqref="H32:I32">
    <cfRule type="expression" dxfId="404" priority="136">
      <formula>#REF!="32≠33+34"</formula>
    </cfRule>
    <cfRule type="expression" dxfId="403" priority="135">
      <formula>#REF!="32≠24+25+26+27+28+29+31"</formula>
    </cfRule>
  </conditionalFormatting>
  <conditionalFormatting sqref="H44:I44">
    <cfRule type="expression" dxfId="402" priority="138">
      <formula>#REF!="44≠45+46"</formula>
    </cfRule>
    <cfRule type="expression" dxfId="401" priority="137">
      <formula>#REF!="44≠36+37+38+39+40+41+43"</formula>
    </cfRule>
  </conditionalFormatting>
  <conditionalFormatting sqref="H56:I56">
    <cfRule type="expression" dxfId="400" priority="140">
      <formula>#REF!="56≠57+58"</formula>
    </cfRule>
    <cfRule type="expression" dxfId="399" priority="139">
      <formula>#REF!="56≠48+49+50+51+52+53+55"</formula>
    </cfRule>
  </conditionalFormatting>
  <conditionalFormatting sqref="H68:I68">
    <cfRule type="expression" dxfId="398" priority="142">
      <formula>#REF!="68≠69+70"</formula>
    </cfRule>
    <cfRule type="expression" dxfId="397" priority="141">
      <formula>#REF!="68≠60+61+62+63+64+65+67"</formula>
    </cfRule>
  </conditionalFormatting>
  <conditionalFormatting sqref="H80:I80">
    <cfRule type="expression" dxfId="396" priority="144">
      <formula>#REF!="80≠81+82"</formula>
    </cfRule>
    <cfRule type="expression" dxfId="395" priority="143">
      <formula>#REF!="80≠72+73+74+75+76+77+79"</formula>
    </cfRule>
  </conditionalFormatting>
  <conditionalFormatting sqref="H92:I92">
    <cfRule type="expression" dxfId="394" priority="146">
      <formula>#REF!="92≠93+94"</formula>
    </cfRule>
    <cfRule type="expression" dxfId="393" priority="145">
      <formula>#REF!="92≠84+85+86+87+88+89+91"</formula>
    </cfRule>
  </conditionalFormatting>
  <conditionalFormatting sqref="H104:I104">
    <cfRule type="expression" dxfId="392" priority="147">
      <formula>#REF!="104≠96+97+98+99+100+101+103"</formula>
    </cfRule>
    <cfRule type="expression" dxfId="391" priority="148">
      <formula>#REF!="104≠105+106"</formula>
    </cfRule>
  </conditionalFormatting>
  <conditionalFormatting sqref="H116:I116">
    <cfRule type="expression" dxfId="390" priority="150">
      <formula>#REF!="116≠117+118"</formula>
    </cfRule>
    <cfRule type="expression" dxfId="389" priority="149">
      <formula>#REF!="116≠108+109+110+111+112+113+115"</formula>
    </cfRule>
  </conditionalFormatting>
  <conditionalFormatting sqref="H130:I130">
    <cfRule type="expression" dxfId="388" priority="151">
      <formula>#REF!="130≠122+123+124+125+126+127+129"</formula>
    </cfRule>
    <cfRule type="expression" dxfId="387" priority="152">
      <formula>#REF!="130≠131+132"</formula>
    </cfRule>
  </conditionalFormatting>
  <conditionalFormatting sqref="H142:I142">
    <cfRule type="expression" dxfId="386" priority="154">
      <formula>#REF!="142≠143+144"</formula>
    </cfRule>
    <cfRule type="expression" dxfId="385" priority="153">
      <formula>#REF!="142≠134+135+136+137+138+139+141"</formula>
    </cfRule>
  </conditionalFormatting>
  <conditionalFormatting sqref="K20:L20">
    <cfRule type="expression" dxfId="384" priority="266">
      <formula>#REF!="20≠21+22"</formula>
    </cfRule>
    <cfRule type="expression" dxfId="383" priority="287">
      <formula>#REF!="20≠12+13+14+15+16+17+19"</formula>
    </cfRule>
  </conditionalFormatting>
  <conditionalFormatting sqref="K32:L32">
    <cfRule type="expression" dxfId="382" priority="268">
      <formula>#REF!="32≠33+34"</formula>
    </cfRule>
    <cfRule type="expression" dxfId="381" priority="267">
      <formula>#REF!="32≠24+25+26+27+28+29+31"</formula>
    </cfRule>
  </conditionalFormatting>
  <conditionalFormatting sqref="K44:L44">
    <cfRule type="expression" dxfId="380" priority="270">
      <formula>#REF!="44≠45+46"</formula>
    </cfRule>
    <cfRule type="expression" dxfId="379" priority="269">
      <formula>#REF!="44≠36+37+38+39+40+41+43"</formula>
    </cfRule>
  </conditionalFormatting>
  <conditionalFormatting sqref="K56:L56">
    <cfRule type="expression" dxfId="378" priority="272">
      <formula>#REF!="56≠57+58"</formula>
    </cfRule>
    <cfRule type="expression" dxfId="377" priority="271">
      <formula>#REF!="56≠48+49+50+51+52+53+55"</formula>
    </cfRule>
  </conditionalFormatting>
  <conditionalFormatting sqref="K68:L68">
    <cfRule type="expression" dxfId="376" priority="273">
      <formula>#REF!="68≠60+61+62+63+64+65+67"</formula>
    </cfRule>
    <cfRule type="expression" dxfId="375" priority="274">
      <formula>#REF!="68≠69+70"</formula>
    </cfRule>
  </conditionalFormatting>
  <conditionalFormatting sqref="K80:L80">
    <cfRule type="expression" dxfId="374" priority="276">
      <formula>#REF!="80≠81+82"</formula>
    </cfRule>
    <cfRule type="expression" dxfId="373" priority="275">
      <formula>#REF!="80≠72+73+74+75+76+77+79"</formula>
    </cfRule>
  </conditionalFormatting>
  <conditionalFormatting sqref="K92:L92">
    <cfRule type="expression" dxfId="372" priority="277">
      <formula>#REF!="92≠84+85+86+87+88+89+91"</formula>
    </cfRule>
    <cfRule type="expression" dxfId="371" priority="278">
      <formula>#REF!="92≠93+94"</formula>
    </cfRule>
  </conditionalFormatting>
  <conditionalFormatting sqref="K104:L104">
    <cfRule type="expression" dxfId="370" priority="279">
      <formula>#REF!="104≠96+97+98+99+100+101+103"</formula>
    </cfRule>
    <cfRule type="expression" dxfId="369" priority="280">
      <formula>#REF!="104≠105+106"</formula>
    </cfRule>
  </conditionalFormatting>
  <conditionalFormatting sqref="K116:L116">
    <cfRule type="expression" dxfId="368" priority="282">
      <formula>#REF!="116≠117+118"</formula>
    </cfRule>
    <cfRule type="expression" dxfId="367" priority="281">
      <formula>#REF!="116≠108+109+110+111+112+113+115"</formula>
    </cfRule>
  </conditionalFormatting>
  <conditionalFormatting sqref="K130:L130">
    <cfRule type="expression" dxfId="366" priority="283">
      <formula>#REF!="130≠122+123+124+125+126+127+129"</formula>
    </cfRule>
    <cfRule type="expression" dxfId="365" priority="284">
      <formula>#REF!="130≠131+132"</formula>
    </cfRule>
  </conditionalFormatting>
  <conditionalFormatting sqref="K142:L142">
    <cfRule type="expression" dxfId="364" priority="285">
      <formula>#REF!="142≠134+135+136+137+138+139+141"</formula>
    </cfRule>
    <cfRule type="expression" dxfId="363" priority="286">
      <formula>#REF!="142≠143+144"</formula>
    </cfRule>
  </conditionalFormatting>
  <conditionalFormatting sqref="N20:O20">
    <cfRule type="expression" dxfId="362" priority="22">
      <formula>#REF!="20≠12+13+14+15+16+17+19"</formula>
    </cfRule>
    <cfRule type="expression" dxfId="361" priority="1">
      <formula>#REF!="20≠21+22"</formula>
    </cfRule>
  </conditionalFormatting>
  <conditionalFormatting sqref="N32:O32">
    <cfRule type="expression" dxfId="360" priority="3">
      <formula>#REF!="32≠33+34"</formula>
    </cfRule>
    <cfRule type="expression" dxfId="359" priority="2">
      <formula>#REF!="32≠24+25+26+27+28+29+31"</formula>
    </cfRule>
  </conditionalFormatting>
  <conditionalFormatting sqref="N44:O44">
    <cfRule type="expression" dxfId="358" priority="5">
      <formula>#REF!="44≠45+46"</formula>
    </cfRule>
    <cfRule type="expression" dxfId="357" priority="4">
      <formula>#REF!="44≠36+37+38+39+40+41+43"</formula>
    </cfRule>
  </conditionalFormatting>
  <conditionalFormatting sqref="N56:O56">
    <cfRule type="expression" dxfId="356" priority="7">
      <formula>#REF!="56≠57+58"</formula>
    </cfRule>
    <cfRule type="expression" dxfId="355" priority="6">
      <formula>#REF!="56≠48+49+50+51+52+53+55"</formula>
    </cfRule>
  </conditionalFormatting>
  <conditionalFormatting sqref="N68:O68">
    <cfRule type="expression" dxfId="354" priority="9">
      <formula>#REF!="68≠69+70"</formula>
    </cfRule>
    <cfRule type="expression" dxfId="353" priority="8">
      <formula>#REF!="68≠60+61+62+63+64+65+67"</formula>
    </cfRule>
  </conditionalFormatting>
  <conditionalFormatting sqref="N80:O80">
    <cfRule type="expression" dxfId="352" priority="11">
      <formula>#REF!="80≠81+82"</formula>
    </cfRule>
    <cfRule type="expression" dxfId="351" priority="10">
      <formula>#REF!="80≠72+73+74+75+76+77+79"</formula>
    </cfRule>
  </conditionalFormatting>
  <conditionalFormatting sqref="N92:O92">
    <cfRule type="expression" dxfId="350" priority="12">
      <formula>#REF!="92≠84+85+86+87+88+89+91"</formula>
    </cfRule>
    <cfRule type="expression" dxfId="349" priority="13">
      <formula>#REF!="92≠93+94"</formula>
    </cfRule>
  </conditionalFormatting>
  <conditionalFormatting sqref="N104:O104">
    <cfRule type="expression" dxfId="348" priority="14">
      <formula>#REF!="104≠96+97+98+99+100+101+103"</formula>
    </cfRule>
    <cfRule type="expression" dxfId="347" priority="15">
      <formula>#REF!="104≠105+106"</formula>
    </cfRule>
  </conditionalFormatting>
  <conditionalFormatting sqref="N116:O116">
    <cfRule type="expression" dxfId="346" priority="17">
      <formula>#REF!="116≠117+118"</formula>
    </cfRule>
    <cfRule type="expression" dxfId="345" priority="16">
      <formula>#REF!="116≠108+109+110+111+112+113+115"</formula>
    </cfRule>
  </conditionalFormatting>
  <conditionalFormatting sqref="N130:O130">
    <cfRule type="expression" dxfId="344" priority="19">
      <formula>#REF!="130≠131+132"</formula>
    </cfRule>
    <cfRule type="expression" dxfId="343" priority="18">
      <formula>#REF!="130≠122+123+124+125+126+127+129"</formula>
    </cfRule>
  </conditionalFormatting>
  <conditionalFormatting sqref="N142:O142">
    <cfRule type="expression" dxfId="342" priority="21">
      <formula>#REF!="142≠143+144"</formula>
    </cfRule>
    <cfRule type="expression" dxfId="341" priority="20">
      <formula>#REF!="142≠134+135+136+137+138+139+141"</formula>
    </cfRule>
  </conditionalFormatting>
  <conditionalFormatting sqref="Q20:R20">
    <cfRule type="expression" dxfId="340" priority="310">
      <formula>#REF!="20≠21+22"</formula>
    </cfRule>
    <cfRule type="expression" dxfId="339" priority="331">
      <formula>#REF!="20≠12+13+14+15+16+17+19"</formula>
    </cfRule>
  </conditionalFormatting>
  <conditionalFormatting sqref="Q32:R32">
    <cfRule type="expression" dxfId="338" priority="312">
      <formula>#REF!="32≠33+34"</formula>
    </cfRule>
    <cfRule type="expression" dxfId="337" priority="311">
      <formula>#REF!="32≠24+25+26+27+28+29+31"</formula>
    </cfRule>
  </conditionalFormatting>
  <conditionalFormatting sqref="Q44:R44">
    <cfRule type="expression" dxfId="336" priority="314">
      <formula>#REF!="44≠45+46"</formula>
    </cfRule>
    <cfRule type="expression" dxfId="335" priority="313">
      <formula>#REF!="44≠36+37+38+39+40+41+43"</formula>
    </cfRule>
  </conditionalFormatting>
  <conditionalFormatting sqref="Q56:R56">
    <cfRule type="expression" dxfId="334" priority="315">
      <formula>#REF!="56≠48+49+50+51+52+53+55"</formula>
    </cfRule>
    <cfRule type="expression" dxfId="333" priority="316">
      <formula>#REF!="56≠57+58"</formula>
    </cfRule>
  </conditionalFormatting>
  <conditionalFormatting sqref="Q68:R68">
    <cfRule type="expression" dxfId="332" priority="317">
      <formula>#REF!="68≠60+61+62+63+64+65+67"</formula>
    </cfRule>
    <cfRule type="expression" dxfId="331" priority="318">
      <formula>#REF!="68≠69+70"</formula>
    </cfRule>
  </conditionalFormatting>
  <conditionalFormatting sqref="Q80:R80">
    <cfRule type="expression" dxfId="330" priority="319">
      <formula>#REF!="80≠72+73+74+75+76+77+79"</formula>
    </cfRule>
    <cfRule type="expression" dxfId="329" priority="320">
      <formula>#REF!="80≠81+82"</formula>
    </cfRule>
  </conditionalFormatting>
  <conditionalFormatting sqref="Q92:R92">
    <cfRule type="expression" dxfId="328" priority="321">
      <formula>#REF!="92≠84+85+86+87+88+89+91"</formula>
    </cfRule>
    <cfRule type="expression" dxfId="327" priority="322">
      <formula>#REF!="92≠93+94"</formula>
    </cfRule>
  </conditionalFormatting>
  <conditionalFormatting sqref="Q104:R104">
    <cfRule type="expression" dxfId="326" priority="323">
      <formula>#REF!="104≠96+97+98+99+100+101+103"</formula>
    </cfRule>
    <cfRule type="expression" dxfId="325" priority="324">
      <formula>#REF!="104≠105+106"</formula>
    </cfRule>
  </conditionalFormatting>
  <conditionalFormatting sqref="Q116:R116">
    <cfRule type="expression" dxfId="324" priority="325">
      <formula>#REF!="116≠108+109+110+111+112+113+115"</formula>
    </cfRule>
    <cfRule type="expression" dxfId="323" priority="326">
      <formula>#REF!="116≠117+118"</formula>
    </cfRule>
  </conditionalFormatting>
  <conditionalFormatting sqref="Q130:R130">
    <cfRule type="expression" dxfId="322" priority="327">
      <formula>#REF!="130≠122+123+124+125+126+127+129"</formula>
    </cfRule>
    <cfRule type="expression" dxfId="321" priority="328">
      <formula>#REF!="130≠131+132"</formula>
    </cfRule>
  </conditionalFormatting>
  <conditionalFormatting sqref="Q142:R142">
    <cfRule type="expression" dxfId="320" priority="330">
      <formula>#REF!="142≠143+144"</formula>
    </cfRule>
    <cfRule type="expression" dxfId="319" priority="329">
      <formula>#REF!="142≠134+135+136+137+138+139+141"</formula>
    </cfRule>
  </conditionalFormatting>
  <conditionalFormatting sqref="T20:U20">
    <cfRule type="expression" dxfId="318" priority="375">
      <formula>#REF!="20≠12+13+14+15+16+17+19"</formula>
    </cfRule>
    <cfRule type="expression" dxfId="317" priority="354">
      <formula>#REF!="20≠21+22"</formula>
    </cfRule>
  </conditionalFormatting>
  <conditionalFormatting sqref="T32:U32">
    <cfRule type="expression" dxfId="316" priority="356">
      <formula>#REF!="32≠33+34"</formula>
    </cfRule>
    <cfRule type="expression" dxfId="315" priority="355">
      <formula>#REF!="32≠24+25+26+27+28+29+31"</formula>
    </cfRule>
  </conditionalFormatting>
  <conditionalFormatting sqref="T44:U44">
    <cfRule type="expression" dxfId="314" priority="358">
      <formula>#REF!="44≠45+46"</formula>
    </cfRule>
    <cfRule type="expression" dxfId="313" priority="357">
      <formula>#REF!="44≠36+37+38+39+40+41+43"</formula>
    </cfRule>
  </conditionalFormatting>
  <conditionalFormatting sqref="T56:U56">
    <cfRule type="expression" dxfId="312" priority="359">
      <formula>#REF!="56≠48+49+50+51+52+53+55"</formula>
    </cfRule>
    <cfRule type="expression" dxfId="311" priority="360">
      <formula>#REF!="56≠57+58"</formula>
    </cfRule>
  </conditionalFormatting>
  <conditionalFormatting sqref="T68:U68">
    <cfRule type="expression" dxfId="310" priority="362">
      <formula>#REF!="68≠69+70"</formula>
    </cfRule>
    <cfRule type="expression" dxfId="309" priority="361">
      <formula>#REF!="68≠60+61+62+63+64+65+67"</formula>
    </cfRule>
  </conditionalFormatting>
  <conditionalFormatting sqref="T80:U80">
    <cfRule type="expression" dxfId="308" priority="364">
      <formula>#REF!="80≠81+82"</formula>
    </cfRule>
    <cfRule type="expression" dxfId="307" priority="363">
      <formula>#REF!="80≠72+73+74+75+76+77+79"</formula>
    </cfRule>
  </conditionalFormatting>
  <conditionalFormatting sqref="T92:U92">
    <cfRule type="expression" dxfId="306" priority="366">
      <formula>#REF!="92≠93+94"</formula>
    </cfRule>
    <cfRule type="expression" dxfId="305" priority="365">
      <formula>#REF!="92≠84+85+86+87+88+89+91"</formula>
    </cfRule>
  </conditionalFormatting>
  <conditionalFormatting sqref="T104:U104">
    <cfRule type="expression" dxfId="304" priority="368">
      <formula>#REF!="104≠105+106"</formula>
    </cfRule>
    <cfRule type="expression" dxfId="303" priority="367">
      <formula>#REF!="104≠96+97+98+99+100+101+103"</formula>
    </cfRule>
  </conditionalFormatting>
  <conditionalFormatting sqref="T116:U116">
    <cfRule type="expression" dxfId="302" priority="369">
      <formula>#REF!="116≠108+109+110+111+112+113+115"</formula>
    </cfRule>
    <cfRule type="expression" dxfId="301" priority="370">
      <formula>#REF!="116≠117+118"</formula>
    </cfRule>
  </conditionalFormatting>
  <conditionalFormatting sqref="T130:U130">
    <cfRule type="expression" dxfId="300" priority="372">
      <formula>#REF!="130≠131+132"</formula>
    </cfRule>
    <cfRule type="expression" dxfId="299" priority="371">
      <formula>#REF!="130≠122+123+124+125+126+127+129"</formula>
    </cfRule>
  </conditionalFormatting>
  <conditionalFormatting sqref="T142:U142">
    <cfRule type="expression" dxfId="298" priority="374">
      <formula>#REF!="142≠143+144"</formula>
    </cfRule>
    <cfRule type="expression" dxfId="297" priority="373">
      <formula>#REF!="142≠134+135+136+137+138+139+141"</formula>
    </cfRule>
  </conditionalFormatting>
  <conditionalFormatting sqref="W20:X20">
    <cfRule type="expression" dxfId="296" priority="243">
      <formula>#REF!="20≠12+13+14+15+16+17+19"</formula>
    </cfRule>
    <cfRule type="expression" dxfId="295" priority="224">
      <formula>#REF!="20≠21+22"</formula>
    </cfRule>
  </conditionalFormatting>
  <conditionalFormatting sqref="W32:X32">
    <cfRule type="expression" dxfId="294" priority="225">
      <formula>#REF!="32≠24+25+26+27+28+29+31"</formula>
    </cfRule>
    <cfRule type="expression" dxfId="293" priority="226">
      <formula>#REF!="32≠33+34"</formula>
    </cfRule>
  </conditionalFormatting>
  <conditionalFormatting sqref="W44:X44">
    <cfRule type="expression" dxfId="292" priority="227">
      <formula>#REF!="44≠36+37+38+39+40+41+43"</formula>
    </cfRule>
    <cfRule type="expression" dxfId="291" priority="228">
      <formula>#REF!="44≠45+46"</formula>
    </cfRule>
  </conditionalFormatting>
  <conditionalFormatting sqref="W56:X56">
    <cfRule type="expression" dxfId="290" priority="222">
      <formula>#REF!="56≠48+49+50+51+52+53+55"</formula>
    </cfRule>
    <cfRule type="expression" dxfId="289" priority="223">
      <formula>#REF!="56≠57+58"</formula>
    </cfRule>
  </conditionalFormatting>
  <conditionalFormatting sqref="W68:X68">
    <cfRule type="expression" dxfId="288" priority="229">
      <formula>#REF!="68≠60+61+62+63+64+65+67"</formula>
    </cfRule>
    <cfRule type="expression" dxfId="287" priority="230">
      <formula>#REF!="68≠69+70"</formula>
    </cfRule>
  </conditionalFormatting>
  <conditionalFormatting sqref="W80:X80">
    <cfRule type="expression" dxfId="286" priority="231">
      <formula>#REF!="80≠72+73+74+75+76+77+79"</formula>
    </cfRule>
    <cfRule type="expression" dxfId="285" priority="232">
      <formula>#REF!="80≠81+82"</formula>
    </cfRule>
  </conditionalFormatting>
  <conditionalFormatting sqref="W92:X92">
    <cfRule type="expression" dxfId="284" priority="233">
      <formula>#REF!="92≠84+85+86+87+88+89+91"</formula>
    </cfRule>
    <cfRule type="expression" dxfId="283" priority="234">
      <formula>#REF!="92≠93+94"</formula>
    </cfRule>
  </conditionalFormatting>
  <conditionalFormatting sqref="W104:X104">
    <cfRule type="expression" dxfId="282" priority="235">
      <formula>#REF!="104≠96+97+98+99+100+101+103"</formula>
    </cfRule>
    <cfRule type="expression" dxfId="281" priority="236">
      <formula>#REF!="104≠105+106"</formula>
    </cfRule>
  </conditionalFormatting>
  <conditionalFormatting sqref="W116:X116">
    <cfRule type="expression" dxfId="280" priority="237">
      <formula>#REF!="116≠108+109+110+111+112+113+115"</formula>
    </cfRule>
    <cfRule type="expression" dxfId="279" priority="238">
      <formula>#REF!="116≠117+118"</formula>
    </cfRule>
  </conditionalFormatting>
  <conditionalFormatting sqref="W130:X130">
    <cfRule type="expression" dxfId="278" priority="239">
      <formula>#REF!="130≠122+123+124+125+126+127+129"</formula>
    </cfRule>
    <cfRule type="expression" dxfId="277" priority="240">
      <formula>#REF!="130≠131+132"</formula>
    </cfRule>
  </conditionalFormatting>
  <conditionalFormatting sqref="W142:X142">
    <cfRule type="expression" dxfId="276" priority="241">
      <formula>#REF!="142≠134+135+136+137+138+139+141"</formula>
    </cfRule>
    <cfRule type="expression" dxfId="275" priority="242">
      <formula>#REF!="142≠143+144"</formula>
    </cfRule>
  </conditionalFormatting>
  <conditionalFormatting sqref="Z20:AA20">
    <cfRule type="expression" dxfId="274" priority="199">
      <formula>#REF!="20≠12+13+14+15+16+17+19"</formula>
    </cfRule>
    <cfRule type="expression" dxfId="273" priority="178">
      <formula>#REF!="20≠21+22"</formula>
    </cfRule>
  </conditionalFormatting>
  <conditionalFormatting sqref="Z32:AA32">
    <cfRule type="expression" dxfId="272" priority="180">
      <formula>#REF!="32≠33+34"</formula>
    </cfRule>
    <cfRule type="expression" dxfId="271" priority="179">
      <formula>#REF!="32≠24+25+26+27+28+29+31"</formula>
    </cfRule>
  </conditionalFormatting>
  <conditionalFormatting sqref="Z44:AA44">
    <cfRule type="expression" dxfId="270" priority="181">
      <formula>#REF!="44≠36+37+38+39+40+41+43"</formula>
    </cfRule>
    <cfRule type="expression" dxfId="269" priority="182">
      <formula>#REF!="44≠45+46"</formula>
    </cfRule>
  </conditionalFormatting>
  <conditionalFormatting sqref="Z56:AA56">
    <cfRule type="expression" dxfId="268" priority="183">
      <formula>#REF!="56≠48+49+50+51+52+53+55"</formula>
    </cfRule>
    <cfRule type="expression" dxfId="267" priority="184">
      <formula>#REF!="56≠57+58"</formula>
    </cfRule>
  </conditionalFormatting>
  <conditionalFormatting sqref="Z68:AA68">
    <cfRule type="expression" dxfId="266" priority="185">
      <formula>#REF!="68≠60+61+62+63+64+65+67"</formula>
    </cfRule>
    <cfRule type="expression" dxfId="265" priority="186">
      <formula>#REF!="68≠69+70"</formula>
    </cfRule>
  </conditionalFormatting>
  <conditionalFormatting sqref="Z80:AA80">
    <cfRule type="expression" dxfId="264" priority="188">
      <formula>#REF!="80≠81+82"</formula>
    </cfRule>
    <cfRule type="expression" dxfId="263" priority="187">
      <formula>#REF!="80≠72+73+74+75+76+77+79"</formula>
    </cfRule>
  </conditionalFormatting>
  <conditionalFormatting sqref="Z92:AA92">
    <cfRule type="expression" dxfId="262" priority="190">
      <formula>#REF!="92≠93+94"</formula>
    </cfRule>
    <cfRule type="expression" dxfId="261" priority="189">
      <formula>#REF!="92≠84+85+86+87+88+89+91"</formula>
    </cfRule>
  </conditionalFormatting>
  <conditionalFormatting sqref="Z104:AA104">
    <cfRule type="expression" dxfId="260" priority="192">
      <formula>#REF!="104≠105+106"</formula>
    </cfRule>
    <cfRule type="expression" dxfId="259" priority="191">
      <formula>#REF!="104≠96+97+98+99+100+101+103"</formula>
    </cfRule>
  </conditionalFormatting>
  <conditionalFormatting sqref="Z116:AA116">
    <cfRule type="expression" dxfId="258" priority="194">
      <formula>#REF!="116≠117+118"</formula>
    </cfRule>
    <cfRule type="expression" dxfId="257" priority="193">
      <formula>#REF!="116≠108+109+110+111+112+113+115"</formula>
    </cfRule>
  </conditionalFormatting>
  <conditionalFormatting sqref="Z130:AA130">
    <cfRule type="expression" dxfId="256" priority="196">
      <formula>#REF!="130≠131+132"</formula>
    </cfRule>
    <cfRule type="expression" dxfId="255" priority="195">
      <formula>#REF!="130≠122+123+124+125+126+127+129"</formula>
    </cfRule>
  </conditionalFormatting>
  <conditionalFormatting sqref="Z142:AA142">
    <cfRule type="expression" dxfId="254" priority="198">
      <formula>#REF!="142≠143+144"</formula>
    </cfRule>
    <cfRule type="expression" dxfId="253" priority="197">
      <formula>#REF!="142≠134+135+136+137+138+139+141"</formula>
    </cfRule>
  </conditionalFormatting>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2" manualBreakCount="2">
    <brk id="10" min="1" max="108" man="1"/>
    <brk id="25" min="1" max="10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9DF3-3110-45B4-8A8F-53F0E4F4D6B7}">
  <sheetPr codeName="Ark38"/>
  <dimension ref="A1:AO130"/>
  <sheetViews>
    <sheetView showGridLines="0" zoomScale="70" zoomScaleNormal="70" workbookViewId="0">
      <pane xSplit="1" ySplit="9" topLeftCell="B10" activePane="bottomRight" state="frozen"/>
      <selection activeCell="A42" sqref="A42"/>
      <selection pane="topRight" activeCell="A42" sqref="A42"/>
      <selection pane="bottomLeft" activeCell="A42" sqref="A42"/>
      <selection pane="bottomRight" activeCell="A5" sqref="A5"/>
    </sheetView>
  </sheetViews>
  <sheetFormatPr baseColWidth="10" defaultColWidth="12.5703125" defaultRowHeight="15.75" x14ac:dyDescent="0.25"/>
  <cols>
    <col min="1" max="1" width="55.5703125" style="546" customWidth="1"/>
    <col min="2" max="37" width="11.7109375" style="546" customWidth="1"/>
    <col min="38" max="16384" width="12.5703125" style="546"/>
  </cols>
  <sheetData>
    <row r="1" spans="1:41" ht="20.25" customHeight="1" x14ac:dyDescent="0.3">
      <c r="A1" s="391" t="s">
        <v>153</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row>
    <row r="2" spans="1:41" ht="20.100000000000001" customHeight="1" x14ac:dyDescent="0.3">
      <c r="A2" s="547" t="s">
        <v>233</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row>
    <row r="3" spans="1:41" ht="20.100000000000001" customHeight="1" x14ac:dyDescent="0.3">
      <c r="A3" s="548" t="s">
        <v>353</v>
      </c>
      <c r="B3" s="545"/>
      <c r="C3" s="508"/>
      <c r="D3" s="509"/>
      <c r="E3" s="509"/>
      <c r="F3" s="545"/>
      <c r="G3" s="545"/>
      <c r="H3" s="545"/>
      <c r="I3" s="545"/>
      <c r="J3" s="545"/>
      <c r="K3" s="545"/>
      <c r="L3" s="545"/>
      <c r="M3" s="545"/>
      <c r="N3" s="545"/>
      <c r="O3" s="545"/>
      <c r="P3" s="545"/>
      <c r="Q3" s="545"/>
      <c r="R3" s="545"/>
      <c r="S3" s="545"/>
      <c r="T3" s="545"/>
      <c r="U3" s="545"/>
      <c r="V3" s="545"/>
      <c r="W3" s="565"/>
      <c r="X3" s="545"/>
      <c r="Y3" s="545"/>
      <c r="Z3" s="545"/>
      <c r="AA3" s="545"/>
      <c r="AB3" s="545"/>
      <c r="AC3" s="545"/>
      <c r="AD3" s="545"/>
      <c r="AE3" s="545"/>
      <c r="AF3" s="545"/>
      <c r="AG3" s="545"/>
      <c r="AH3" s="545"/>
      <c r="AI3" s="545"/>
      <c r="AJ3" s="545"/>
      <c r="AK3" s="545"/>
      <c r="AL3" s="545"/>
      <c r="AM3" s="545"/>
      <c r="AN3" s="545"/>
      <c r="AO3" s="545"/>
    </row>
    <row r="4" spans="1:41" ht="20.100000000000001" customHeight="1" x14ac:dyDescent="0.3">
      <c r="A4" s="570" t="s">
        <v>354</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row>
    <row r="5" spans="1:41" ht="18.75" customHeight="1" x14ac:dyDescent="0.3">
      <c r="A5" s="571" t="s">
        <v>320</v>
      </c>
      <c r="B5" s="551"/>
      <c r="C5" s="552"/>
      <c r="D5" s="553"/>
      <c r="E5" s="551"/>
      <c r="F5" s="552"/>
      <c r="G5" s="553"/>
      <c r="H5" s="551"/>
      <c r="I5" s="552"/>
      <c r="J5" s="553"/>
      <c r="K5" s="551"/>
      <c r="L5" s="552"/>
      <c r="M5" s="553"/>
      <c r="N5" s="551"/>
      <c r="O5" s="552"/>
      <c r="P5" s="553"/>
      <c r="Q5" s="551"/>
      <c r="R5" s="552"/>
      <c r="S5" s="553"/>
      <c r="T5" s="551"/>
      <c r="U5" s="552"/>
      <c r="V5" s="553"/>
      <c r="W5" s="551"/>
      <c r="X5" s="552"/>
      <c r="Y5" s="553"/>
      <c r="Z5" s="551"/>
      <c r="AA5" s="552"/>
      <c r="AB5" s="553"/>
      <c r="AC5" s="552"/>
      <c r="AD5" s="552"/>
      <c r="AE5" s="552"/>
      <c r="AF5" s="551"/>
      <c r="AG5" s="552"/>
      <c r="AH5" s="553"/>
      <c r="AI5" s="551"/>
      <c r="AJ5" s="552"/>
      <c r="AK5" s="553"/>
      <c r="AL5" s="545"/>
      <c r="AM5" s="545"/>
      <c r="AN5" s="545"/>
      <c r="AO5" s="545"/>
    </row>
    <row r="6" spans="1:41" ht="18.75" customHeight="1" x14ac:dyDescent="0.3">
      <c r="A6" s="554" t="s">
        <v>94</v>
      </c>
      <c r="B6" s="802" t="s">
        <v>156</v>
      </c>
      <c r="C6" s="803"/>
      <c r="D6" s="804"/>
      <c r="E6" s="802"/>
      <c r="F6" s="803"/>
      <c r="G6" s="804"/>
      <c r="H6" s="802" t="s">
        <v>157</v>
      </c>
      <c r="I6" s="803"/>
      <c r="J6" s="804"/>
      <c r="K6" s="802" t="s">
        <v>158</v>
      </c>
      <c r="L6" s="803"/>
      <c r="M6" s="804"/>
      <c r="N6" s="635" t="s">
        <v>159</v>
      </c>
      <c r="O6" s="636"/>
      <c r="P6" s="637"/>
      <c r="Q6" s="635"/>
      <c r="R6" s="636"/>
      <c r="S6" s="637"/>
      <c r="T6" s="802" t="s">
        <v>160</v>
      </c>
      <c r="U6" s="803"/>
      <c r="V6" s="804"/>
      <c r="W6" s="802" t="s">
        <v>65</v>
      </c>
      <c r="X6" s="803"/>
      <c r="Y6" s="804"/>
      <c r="Z6" s="802" t="s">
        <v>68</v>
      </c>
      <c r="AA6" s="803"/>
      <c r="AB6" s="804"/>
      <c r="AC6" s="802" t="s">
        <v>434</v>
      </c>
      <c r="AD6" s="803"/>
      <c r="AE6" s="804"/>
      <c r="AF6" s="802" t="s">
        <v>2</v>
      </c>
      <c r="AG6" s="803"/>
      <c r="AH6" s="804"/>
      <c r="AI6" s="802" t="s">
        <v>2</v>
      </c>
      <c r="AJ6" s="803"/>
      <c r="AK6" s="804"/>
      <c r="AL6" s="545"/>
      <c r="AM6" s="545"/>
      <c r="AN6" s="545"/>
      <c r="AO6" s="545"/>
    </row>
    <row r="7" spans="1:41" ht="18.75" customHeight="1" x14ac:dyDescent="0.3">
      <c r="A7" s="555"/>
      <c r="B7" s="805" t="s">
        <v>162</v>
      </c>
      <c r="C7" s="806"/>
      <c r="D7" s="807"/>
      <c r="E7" s="805" t="s">
        <v>421</v>
      </c>
      <c r="F7" s="806"/>
      <c r="G7" s="807"/>
      <c r="H7" s="805" t="s">
        <v>162</v>
      </c>
      <c r="I7" s="806"/>
      <c r="J7" s="807"/>
      <c r="K7" s="805" t="s">
        <v>163</v>
      </c>
      <c r="L7" s="806"/>
      <c r="M7" s="807"/>
      <c r="N7" s="805" t="s">
        <v>61</v>
      </c>
      <c r="O7" s="806"/>
      <c r="P7" s="807"/>
      <c r="Q7" s="805" t="s">
        <v>63</v>
      </c>
      <c r="R7" s="806"/>
      <c r="S7" s="807"/>
      <c r="T7" s="805" t="s">
        <v>161</v>
      </c>
      <c r="U7" s="806"/>
      <c r="V7" s="807"/>
      <c r="W7" s="805" t="s">
        <v>430</v>
      </c>
      <c r="X7" s="806"/>
      <c r="Y7" s="807"/>
      <c r="Z7" s="805" t="s">
        <v>162</v>
      </c>
      <c r="AA7" s="806"/>
      <c r="AB7" s="807"/>
      <c r="AC7" s="805" t="s">
        <v>162</v>
      </c>
      <c r="AD7" s="806"/>
      <c r="AE7" s="807"/>
      <c r="AF7" s="805" t="s">
        <v>257</v>
      </c>
      <c r="AG7" s="806"/>
      <c r="AH7" s="807"/>
      <c r="AI7" s="808" t="s">
        <v>258</v>
      </c>
      <c r="AJ7" s="809"/>
      <c r="AK7" s="810"/>
      <c r="AL7" s="545"/>
      <c r="AM7" s="545"/>
      <c r="AN7" s="545"/>
      <c r="AO7" s="545"/>
    </row>
    <row r="8" spans="1:41" ht="18.75" customHeight="1" x14ac:dyDescent="0.3">
      <c r="A8" s="555"/>
      <c r="B8" s="402"/>
      <c r="C8" s="402"/>
      <c r="D8" s="403" t="s">
        <v>76</v>
      </c>
      <c r="E8" s="402"/>
      <c r="F8" s="402"/>
      <c r="G8" s="403" t="s">
        <v>76</v>
      </c>
      <c r="H8" s="402"/>
      <c r="I8" s="402"/>
      <c r="J8" s="403" t="s">
        <v>76</v>
      </c>
      <c r="K8" s="402"/>
      <c r="L8" s="402"/>
      <c r="M8" s="403" t="s">
        <v>76</v>
      </c>
      <c r="N8" s="402"/>
      <c r="O8" s="402"/>
      <c r="P8" s="403" t="s">
        <v>76</v>
      </c>
      <c r="Q8" s="402"/>
      <c r="R8" s="402"/>
      <c r="S8" s="403" t="s">
        <v>76</v>
      </c>
      <c r="T8" s="402"/>
      <c r="U8" s="402"/>
      <c r="V8" s="403" t="s">
        <v>76</v>
      </c>
      <c r="W8" s="402"/>
      <c r="X8" s="402"/>
      <c r="Y8" s="403" t="s">
        <v>76</v>
      </c>
      <c r="Z8" s="402"/>
      <c r="AA8" s="402"/>
      <c r="AB8" s="403" t="s">
        <v>76</v>
      </c>
      <c r="AC8" s="402"/>
      <c r="AD8" s="402"/>
      <c r="AE8" s="403" t="s">
        <v>76</v>
      </c>
      <c r="AF8" s="402"/>
      <c r="AG8" s="402"/>
      <c r="AH8" s="403" t="s">
        <v>76</v>
      </c>
      <c r="AI8" s="402"/>
      <c r="AJ8" s="402"/>
      <c r="AK8" s="403" t="s">
        <v>76</v>
      </c>
      <c r="AL8" s="545"/>
      <c r="AM8" s="545"/>
      <c r="AN8" s="545"/>
      <c r="AO8" s="545"/>
    </row>
    <row r="9" spans="1:41" ht="18.75" customHeight="1" x14ac:dyDescent="0.3">
      <c r="A9" s="556" t="s">
        <v>259</v>
      </c>
      <c r="B9" s="405">
        <v>2023</v>
      </c>
      <c r="C9" s="405">
        <v>2024</v>
      </c>
      <c r="D9" s="406" t="s">
        <v>78</v>
      </c>
      <c r="E9" s="405">
        <f>$B$9</f>
        <v>2023</v>
      </c>
      <c r="F9" s="405">
        <f>$C$9</f>
        <v>2024</v>
      </c>
      <c r="G9" s="406" t="s">
        <v>78</v>
      </c>
      <c r="H9" s="405">
        <f>$B$9</f>
        <v>2023</v>
      </c>
      <c r="I9" s="405">
        <f>$C$9</f>
        <v>2024</v>
      </c>
      <c r="J9" s="406" t="s">
        <v>78</v>
      </c>
      <c r="K9" s="405">
        <f>$B$9</f>
        <v>2023</v>
      </c>
      <c r="L9" s="405">
        <f>$C$9</f>
        <v>2024</v>
      </c>
      <c r="M9" s="406" t="s">
        <v>78</v>
      </c>
      <c r="N9" s="405">
        <f>$B$9</f>
        <v>2023</v>
      </c>
      <c r="O9" s="405">
        <f>$C$9</f>
        <v>2024</v>
      </c>
      <c r="P9" s="406" t="s">
        <v>78</v>
      </c>
      <c r="Q9" s="405">
        <f>$B$9</f>
        <v>2023</v>
      </c>
      <c r="R9" s="405">
        <f>$C$9</f>
        <v>2024</v>
      </c>
      <c r="S9" s="406" t="s">
        <v>78</v>
      </c>
      <c r="T9" s="405">
        <f>$B$9</f>
        <v>2023</v>
      </c>
      <c r="U9" s="405">
        <f>$C$9</f>
        <v>2024</v>
      </c>
      <c r="V9" s="406" t="s">
        <v>78</v>
      </c>
      <c r="W9" s="405">
        <f>$B$9</f>
        <v>2023</v>
      </c>
      <c r="X9" s="405">
        <f>$C$9</f>
        <v>2024</v>
      </c>
      <c r="Y9" s="406" t="s">
        <v>78</v>
      </c>
      <c r="Z9" s="405">
        <f>$B$9</f>
        <v>2023</v>
      </c>
      <c r="AA9" s="405">
        <f>$C$9</f>
        <v>2024</v>
      </c>
      <c r="AB9" s="406" t="s">
        <v>78</v>
      </c>
      <c r="AC9" s="405">
        <f t="shared" ref="AC9:AI9" si="0">$B$9</f>
        <v>2023</v>
      </c>
      <c r="AD9" s="405">
        <f t="shared" ref="AD9:AJ9" si="1">$C$9</f>
        <v>2024</v>
      </c>
      <c r="AE9" s="406" t="s">
        <v>78</v>
      </c>
      <c r="AF9" s="405">
        <f t="shared" si="0"/>
        <v>2023</v>
      </c>
      <c r="AG9" s="405">
        <f t="shared" si="1"/>
        <v>2024</v>
      </c>
      <c r="AH9" s="406" t="s">
        <v>78</v>
      </c>
      <c r="AI9" s="405">
        <f t="shared" si="0"/>
        <v>2023</v>
      </c>
      <c r="AJ9" s="405">
        <f t="shared" si="1"/>
        <v>2024</v>
      </c>
      <c r="AK9" s="406" t="s">
        <v>78</v>
      </c>
      <c r="AL9" s="545"/>
      <c r="AM9" s="545"/>
      <c r="AN9" s="545"/>
      <c r="AO9" s="545"/>
    </row>
    <row r="10" spans="1:41" ht="18.75" customHeight="1" x14ac:dyDescent="0.3">
      <c r="A10" s="557"/>
      <c r="B10" s="428"/>
      <c r="C10" s="727"/>
      <c r="D10" s="558"/>
      <c r="E10" s="428"/>
      <c r="F10" s="429"/>
      <c r="G10" s="559"/>
      <c r="H10" s="428"/>
      <c r="I10" s="429"/>
      <c r="J10" s="559"/>
      <c r="K10" s="428"/>
      <c r="L10" s="429"/>
      <c r="M10" s="560"/>
      <c r="N10" s="428"/>
      <c r="O10" s="429"/>
      <c r="P10" s="558"/>
      <c r="Q10" s="428"/>
      <c r="R10" s="429"/>
      <c r="S10" s="558"/>
      <c r="T10" s="572"/>
      <c r="U10" s="429"/>
      <c r="V10" s="558"/>
      <c r="W10" s="428"/>
      <c r="X10" s="429"/>
      <c r="Y10" s="558"/>
      <c r="Z10" s="428"/>
      <c r="AA10" s="429"/>
      <c r="AB10" s="558"/>
      <c r="AC10" s="560"/>
      <c r="AD10" s="560"/>
      <c r="AE10" s="560"/>
      <c r="AF10" s="572"/>
      <c r="AG10" s="572"/>
      <c r="AH10" s="558"/>
      <c r="AI10" s="429"/>
      <c r="AJ10" s="429"/>
      <c r="AK10" s="558"/>
      <c r="AL10" s="545"/>
      <c r="AM10" s="545"/>
      <c r="AN10" s="545"/>
      <c r="AO10" s="545"/>
    </row>
    <row r="11" spans="1:41" ht="18.75" customHeight="1" x14ac:dyDescent="0.3">
      <c r="A11" s="573" t="s">
        <v>355</v>
      </c>
      <c r="B11" s="436"/>
      <c r="C11" s="731"/>
      <c r="D11" s="574"/>
      <c r="E11" s="436"/>
      <c r="F11" s="437"/>
      <c r="G11" s="574"/>
      <c r="H11" s="436"/>
      <c r="I11" s="437"/>
      <c r="J11" s="574"/>
      <c r="K11" s="436"/>
      <c r="L11" s="437"/>
      <c r="M11" s="575"/>
      <c r="N11" s="436"/>
      <c r="O11" s="437"/>
      <c r="P11" s="574"/>
      <c r="Q11" s="436"/>
      <c r="R11" s="437"/>
      <c r="S11" s="574"/>
      <c r="T11" s="436"/>
      <c r="U11" s="437"/>
      <c r="V11" s="574"/>
      <c r="W11" s="436"/>
      <c r="X11" s="437"/>
      <c r="Y11" s="574"/>
      <c r="Z11" s="436"/>
      <c r="AA11" s="437"/>
      <c r="AB11" s="574"/>
      <c r="AC11" s="575"/>
      <c r="AD11" s="575"/>
      <c r="AE11" s="575"/>
      <c r="AF11" s="575"/>
      <c r="AG11" s="575"/>
      <c r="AH11" s="574"/>
      <c r="AI11" s="437"/>
      <c r="AJ11" s="437"/>
      <c r="AK11" s="574"/>
      <c r="AL11" s="545"/>
      <c r="AM11" s="545"/>
      <c r="AN11" s="545"/>
      <c r="AO11" s="545"/>
    </row>
    <row r="12" spans="1:41" ht="18.75" x14ac:dyDescent="0.3">
      <c r="A12" s="760" t="s">
        <v>492</v>
      </c>
      <c r="B12" s="424">
        <v>0</v>
      </c>
      <c r="C12" s="708">
        <v>0.35699999999999998</v>
      </c>
      <c r="D12" s="442" t="str">
        <f>IF(B12=0, "    ---- ", IF(ABS(ROUND(100/B12*C12-100,1))&lt;999,ROUND(100/B12*C12-100,1),IF(ROUND(100/B12*C12-100,1)&gt;999,999,-999)))</f>
        <v xml:space="preserve">    ---- </v>
      </c>
      <c r="E12" s="424">
        <v>87.805846379999977</v>
      </c>
      <c r="F12" s="425">
        <v>185.16755207</v>
      </c>
      <c r="G12" s="442">
        <f>IF(E12=0, "    ---- ", IF(ABS(ROUND(100/E12*F12-100,1))&lt;999,ROUND(100/E12*F12-100,1),IF(ROUND(100/E12*F12-100,1)&gt;999,999,-999)))</f>
        <v>110.9</v>
      </c>
      <c r="H12" s="424">
        <v>4.2480000000000002</v>
      </c>
      <c r="I12" s="425">
        <v>3.5779999999999998</v>
      </c>
      <c r="J12" s="442">
        <f t="shared" ref="J12:J34" si="2">IF(H12=0, "    ---- ", IF(ABS(ROUND(100/H12*I12-100,1))&lt;999,ROUND(100/H12*I12-100,1),IF(ROUND(100/H12*I12-100,1)&gt;999,999,-999)))</f>
        <v>-15.8</v>
      </c>
      <c r="K12" s="424"/>
      <c r="L12" s="425"/>
      <c r="M12" s="431"/>
      <c r="N12" s="424"/>
      <c r="O12" s="425"/>
      <c r="P12" s="442"/>
      <c r="Q12" s="424"/>
      <c r="R12" s="425"/>
      <c r="S12" s="442"/>
      <c r="T12" s="424"/>
      <c r="U12" s="425"/>
      <c r="V12" s="442"/>
      <c r="W12" s="424">
        <v>-1</v>
      </c>
      <c r="X12" s="425">
        <v>2</v>
      </c>
      <c r="Y12" s="442">
        <f t="shared" ref="Y12:Y22" si="3">IF(W12=0, "    ---- ", IF(ABS(ROUND(100/W12*X12-100,1))&lt;999,ROUND(100/W12*X12-100,1),IF(ROUND(100/W12*X12-100,1)&gt;999,999,-999)))</f>
        <v>-300</v>
      </c>
      <c r="Z12" s="424">
        <v>11.338560302857466</v>
      </c>
      <c r="AA12" s="425">
        <v>79.989725959999902</v>
      </c>
      <c r="AB12" s="442">
        <f>IF(Z12=0, "    ---- ", IF(ABS(ROUND(100/Z12*AA12-100,1))&lt;999,ROUND(100/Z12*AA12-100,1),IF(ROUND(100/Z12*AA12-100,1)&gt;999,999,-999)))</f>
        <v>605.5</v>
      </c>
      <c r="AC12" s="431"/>
      <c r="AD12" s="431"/>
      <c r="AE12" s="431"/>
      <c r="AF12" s="431">
        <f>B12+E12+H12+K12+N12+Q12+T12+W12+Z12</f>
        <v>102.39240668285746</v>
      </c>
      <c r="AG12" s="431">
        <f>C12+F12+I12+L12+O12+R12+U12+X12+AA12</f>
        <v>271.09227802999987</v>
      </c>
      <c r="AH12" s="442">
        <f t="shared" ref="AH12:AH22" si="4">IF(AF12=0, "    ---- ", IF(ABS(ROUND(100/AF12*AG12-100,1))&lt;999,ROUND(100/AF12*AG12-100,1),IF(ROUND(100/AF12*AG12-100,1)&gt;999,999,-999)))</f>
        <v>164.8</v>
      </c>
      <c r="AI12" s="425">
        <f>B12+E12+H12+K12+N12+Q12+T12+W12+Z12</f>
        <v>102.39240668285746</v>
      </c>
      <c r="AJ12" s="425">
        <f t="shared" ref="AJ12:AJ22" si="5">C12+F12+I12+L12+O12+R12+U12+X12+AA12</f>
        <v>271.09227802999987</v>
      </c>
      <c r="AK12" s="442">
        <f t="shared" ref="AK12:AK22" si="6">IF(AI12=0, "    ---- ", IF(ABS(ROUND(100/AI12*AJ12-100,1))&lt;999,ROUND(100/AI12*AJ12-100,1),IF(ROUND(100/AI12*AJ12-100,1)&gt;999,999,-999)))</f>
        <v>164.8</v>
      </c>
      <c r="AL12" s="545"/>
      <c r="AM12" s="545"/>
      <c r="AN12" s="545"/>
      <c r="AO12" s="545"/>
    </row>
    <row r="13" spans="1:41" ht="18.75" customHeight="1" x14ac:dyDescent="0.3">
      <c r="A13" s="411" t="s">
        <v>493</v>
      </c>
      <c r="B13" s="424"/>
      <c r="C13" s="714"/>
      <c r="D13" s="442"/>
      <c r="E13" s="424"/>
      <c r="F13" s="390"/>
      <c r="G13" s="442"/>
      <c r="H13" s="424"/>
      <c r="I13" s="390"/>
      <c r="J13" s="442"/>
      <c r="K13" s="424"/>
      <c r="L13" s="425"/>
      <c r="M13" s="431"/>
      <c r="N13" s="424"/>
      <c r="O13" s="425"/>
      <c r="P13" s="442"/>
      <c r="Q13" s="424"/>
      <c r="R13" s="425"/>
      <c r="S13" s="442"/>
      <c r="T13" s="424"/>
      <c r="U13" s="425"/>
      <c r="V13" s="442"/>
      <c r="W13" s="424"/>
      <c r="X13" s="425">
        <v>-1</v>
      </c>
      <c r="Y13" s="442" t="str">
        <f t="shared" si="3"/>
        <v xml:space="preserve">    ---- </v>
      </c>
      <c r="Z13" s="424"/>
      <c r="AA13" s="425"/>
      <c r="AB13" s="442"/>
      <c r="AC13" s="431"/>
      <c r="AD13" s="431"/>
      <c r="AE13" s="431"/>
      <c r="AF13" s="431">
        <f t="shared" ref="AF13:AG22" si="7">B13+E13+H13+K13+N13+Q13+T13+W13+Z13</f>
        <v>0</v>
      </c>
      <c r="AG13" s="431">
        <f t="shared" si="7"/>
        <v>-1</v>
      </c>
      <c r="AH13" s="442" t="str">
        <f t="shared" si="4"/>
        <v xml:space="preserve">    ---- </v>
      </c>
      <c r="AI13" s="425">
        <f t="shared" ref="AI13:AI22" si="8">B13+E13+H13+K13+N13+Q13+T13+W13+Z13</f>
        <v>0</v>
      </c>
      <c r="AJ13" s="425">
        <f t="shared" si="5"/>
        <v>-1</v>
      </c>
      <c r="AK13" s="442" t="str">
        <f t="shared" si="6"/>
        <v xml:space="preserve">    ---- </v>
      </c>
      <c r="AL13" s="545"/>
      <c r="AM13" s="545"/>
      <c r="AN13" s="545"/>
      <c r="AO13" s="545"/>
    </row>
    <row r="14" spans="1:41" ht="18.75" customHeight="1" x14ac:dyDescent="0.3">
      <c r="A14" s="411" t="s">
        <v>324</v>
      </c>
      <c r="B14" s="424">
        <v>15</v>
      </c>
      <c r="C14" s="708">
        <v>17.465</v>
      </c>
      <c r="D14" s="442">
        <f>IF(B14=0, "    ---- ", IF(ABS(ROUND(100/B14*C14-100,1))&lt;999,ROUND(100/B14*C14-100,1),IF(ROUND(100/B14*C14-100,1)&gt;999,999,-999)))</f>
        <v>16.399999999999999</v>
      </c>
      <c r="E14" s="424">
        <v>24.680404149999966</v>
      </c>
      <c r="F14" s="425">
        <v>42.760874539999975</v>
      </c>
      <c r="G14" s="442">
        <f>IF(E14=0, "    ---- ", IF(ABS(ROUND(100/E14*F14-100,1))&lt;999,ROUND(100/E14*F14-100,1),IF(ROUND(100/E14*F14-100,1)&gt;999,999,-999)))</f>
        <v>73.3</v>
      </c>
      <c r="H14" s="424">
        <v>-16.802</v>
      </c>
      <c r="I14" s="425">
        <v>-18.422999999999998</v>
      </c>
      <c r="J14" s="442">
        <f t="shared" si="2"/>
        <v>9.6</v>
      </c>
      <c r="K14" s="424"/>
      <c r="L14" s="425"/>
      <c r="M14" s="431"/>
      <c r="N14" s="424"/>
      <c r="O14" s="425"/>
      <c r="P14" s="442"/>
      <c r="Q14" s="424"/>
      <c r="R14" s="425"/>
      <c r="S14" s="442"/>
      <c r="T14" s="424"/>
      <c r="U14" s="425"/>
      <c r="V14" s="442"/>
      <c r="W14" s="424">
        <v>1</v>
      </c>
      <c r="X14" s="425">
        <v>1</v>
      </c>
      <c r="Y14" s="442">
        <f t="shared" si="3"/>
        <v>0</v>
      </c>
      <c r="Z14" s="424">
        <v>-24.525067710000002</v>
      </c>
      <c r="AA14" s="425">
        <v>-28.00179056</v>
      </c>
      <c r="AB14" s="442">
        <f>IF(Z14=0, "    ---- ", IF(ABS(ROUND(100/Z14*AA14-100,1))&lt;999,ROUND(100/Z14*AA14-100,1),IF(ROUND(100/Z14*AA14-100,1)&gt;999,999,-999)))</f>
        <v>14.2</v>
      </c>
      <c r="AC14" s="431"/>
      <c r="AD14" s="431"/>
      <c r="AE14" s="431"/>
      <c r="AF14" s="431">
        <f t="shared" si="7"/>
        <v>-0.64666356000003589</v>
      </c>
      <c r="AG14" s="431">
        <f t="shared" si="7"/>
        <v>14.801083979999976</v>
      </c>
      <c r="AH14" s="442">
        <f t="shared" si="4"/>
        <v>-999</v>
      </c>
      <c r="AI14" s="425">
        <f t="shared" si="8"/>
        <v>-0.64666356000003589</v>
      </c>
      <c r="AJ14" s="425">
        <f t="shared" si="5"/>
        <v>14.801083979999976</v>
      </c>
      <c r="AK14" s="442">
        <f t="shared" si="6"/>
        <v>-999</v>
      </c>
      <c r="AL14" s="545"/>
      <c r="AM14" s="545"/>
      <c r="AN14" s="545"/>
      <c r="AO14" s="545"/>
    </row>
    <row r="15" spans="1:41" ht="18.75" customHeight="1" x14ac:dyDescent="0.3">
      <c r="A15" s="411" t="s">
        <v>325</v>
      </c>
      <c r="B15" s="424"/>
      <c r="C15" s="708"/>
      <c r="D15" s="442"/>
      <c r="E15" s="424"/>
      <c r="F15" s="425"/>
      <c r="G15" s="442"/>
      <c r="H15" s="424"/>
      <c r="I15" s="425"/>
      <c r="J15" s="442"/>
      <c r="K15" s="424"/>
      <c r="L15" s="425"/>
      <c r="M15" s="431"/>
      <c r="N15" s="424"/>
      <c r="O15" s="425"/>
      <c r="P15" s="442"/>
      <c r="Q15" s="424"/>
      <c r="R15" s="425"/>
      <c r="S15" s="442"/>
      <c r="T15" s="424"/>
      <c r="U15" s="425"/>
      <c r="V15" s="442"/>
      <c r="W15" s="424"/>
      <c r="X15" s="425"/>
      <c r="Y15" s="442"/>
      <c r="Z15" s="424"/>
      <c r="AA15" s="425"/>
      <c r="AB15" s="442"/>
      <c r="AC15" s="431"/>
      <c r="AD15" s="431"/>
      <c r="AE15" s="431"/>
      <c r="AF15" s="431">
        <f t="shared" si="7"/>
        <v>0</v>
      </c>
      <c r="AG15" s="431">
        <f t="shared" si="7"/>
        <v>0</v>
      </c>
      <c r="AH15" s="442" t="str">
        <f t="shared" si="4"/>
        <v xml:space="preserve">    ---- </v>
      </c>
      <c r="AI15" s="425">
        <f t="shared" si="8"/>
        <v>0</v>
      </c>
      <c r="AJ15" s="425">
        <f t="shared" si="5"/>
        <v>0</v>
      </c>
      <c r="AK15" s="442" t="str">
        <f t="shared" si="6"/>
        <v xml:space="preserve">    ---- </v>
      </c>
      <c r="AL15" s="545"/>
      <c r="AM15" s="545"/>
      <c r="AN15" s="545"/>
      <c r="AO15" s="545"/>
    </row>
    <row r="16" spans="1:41" ht="18.75" customHeight="1" x14ac:dyDescent="0.3">
      <c r="A16" s="411" t="s">
        <v>326</v>
      </c>
      <c r="B16" s="424"/>
      <c r="C16" s="708"/>
      <c r="D16" s="442"/>
      <c r="E16" s="424"/>
      <c r="F16" s="425"/>
      <c r="G16" s="442"/>
      <c r="H16" s="424"/>
      <c r="I16" s="425"/>
      <c r="J16" s="442"/>
      <c r="K16" s="424"/>
      <c r="L16" s="425"/>
      <c r="M16" s="431"/>
      <c r="N16" s="424"/>
      <c r="O16" s="425"/>
      <c r="P16" s="442"/>
      <c r="Q16" s="424"/>
      <c r="R16" s="425"/>
      <c r="S16" s="442"/>
      <c r="T16" s="424"/>
      <c r="U16" s="425"/>
      <c r="V16" s="442"/>
      <c r="W16" s="424"/>
      <c r="X16" s="425"/>
      <c r="Y16" s="442"/>
      <c r="Z16" s="424"/>
      <c r="AA16" s="425"/>
      <c r="AB16" s="442"/>
      <c r="AC16" s="431"/>
      <c r="AD16" s="431"/>
      <c r="AE16" s="431"/>
      <c r="AF16" s="431">
        <f t="shared" si="7"/>
        <v>0</v>
      </c>
      <c r="AG16" s="431">
        <f t="shared" si="7"/>
        <v>0</v>
      </c>
      <c r="AH16" s="442" t="str">
        <f t="shared" si="4"/>
        <v xml:space="preserve">    ---- </v>
      </c>
      <c r="AI16" s="425">
        <f t="shared" si="8"/>
        <v>0</v>
      </c>
      <c r="AJ16" s="425">
        <f t="shared" si="5"/>
        <v>0</v>
      </c>
      <c r="AK16" s="442" t="str">
        <f t="shared" si="6"/>
        <v xml:space="preserve">    ---- </v>
      </c>
      <c r="AL16" s="545"/>
      <c r="AM16" s="545"/>
      <c r="AN16" s="545"/>
      <c r="AO16" s="545"/>
    </row>
    <row r="17" spans="1:41" ht="18.75" customHeight="1" x14ac:dyDescent="0.3">
      <c r="A17" s="411" t="s">
        <v>327</v>
      </c>
      <c r="B17" s="424">
        <v>-3</v>
      </c>
      <c r="C17" s="708">
        <v>7.367</v>
      </c>
      <c r="D17" s="442">
        <f>IF(B17=0, "    ---- ", IF(ABS(ROUND(100/B17*C17-100,1))&lt;999,ROUND(100/B17*C17-100,1),IF(ROUND(100/B17*C17-100,1)&gt;999,999,-999)))</f>
        <v>-345.6</v>
      </c>
      <c r="E17" s="424">
        <v>157.96856865000007</v>
      </c>
      <c r="F17" s="425">
        <v>112.60479724999996</v>
      </c>
      <c r="G17" s="442">
        <f>IF(E17=0, "    ---- ", IF(ABS(ROUND(100/E17*F17-100,1))&lt;999,ROUND(100/E17*F17-100,1),IF(ROUND(100/E17*F17-100,1)&gt;999,999,-999)))</f>
        <v>-28.7</v>
      </c>
      <c r="H17" s="424">
        <v>14.273</v>
      </c>
      <c r="I17" s="425">
        <v>-1.306</v>
      </c>
      <c r="J17" s="442">
        <f t="shared" si="2"/>
        <v>-109.2</v>
      </c>
      <c r="K17" s="424"/>
      <c r="L17" s="425"/>
      <c r="M17" s="431"/>
      <c r="N17" s="424">
        <v>0.5</v>
      </c>
      <c r="O17" s="425">
        <v>1</v>
      </c>
      <c r="P17" s="442">
        <f t="shared" ref="P17:P22" si="9">IF(N17=0, "    ---- ", IF(ABS(ROUND(100/N17*O17-100,1))&lt;999,ROUND(100/N17*O17-100,1),IF(ROUND(100/N17*O17-100,1)&gt;999,999,-999)))</f>
        <v>100</v>
      </c>
      <c r="Q17" s="424"/>
      <c r="R17" s="425"/>
      <c r="S17" s="442"/>
      <c r="T17" s="424"/>
      <c r="U17" s="425"/>
      <c r="V17" s="442"/>
      <c r="W17" s="424">
        <v>2</v>
      </c>
      <c r="X17" s="425">
        <v>2</v>
      </c>
      <c r="Y17" s="442">
        <f t="shared" si="3"/>
        <v>0</v>
      </c>
      <c r="Z17" s="424">
        <v>-187.83045800000005</v>
      </c>
      <c r="AA17" s="425">
        <v>25.355905109999899</v>
      </c>
      <c r="AB17" s="442">
        <f>IF(Z17=0, "    ---- ", IF(ABS(ROUND(100/Z17*AA17-100,1))&lt;999,ROUND(100/Z17*AA17-100,1),IF(ROUND(100/Z17*AA17-100,1)&gt;999,999,-999)))</f>
        <v>-113.5</v>
      </c>
      <c r="AC17" s="431"/>
      <c r="AD17" s="431"/>
      <c r="AE17" s="431"/>
      <c r="AF17" s="431">
        <f t="shared" si="7"/>
        <v>-16.088889349999988</v>
      </c>
      <c r="AG17" s="431">
        <f t="shared" si="7"/>
        <v>147.02170235999986</v>
      </c>
      <c r="AH17" s="442">
        <f t="shared" si="4"/>
        <v>-999</v>
      </c>
      <c r="AI17" s="425">
        <f t="shared" si="8"/>
        <v>-16.088889349999988</v>
      </c>
      <c r="AJ17" s="425">
        <f t="shared" si="5"/>
        <v>147.02170235999986</v>
      </c>
      <c r="AK17" s="442">
        <f t="shared" si="6"/>
        <v>-999</v>
      </c>
      <c r="AL17" s="545"/>
      <c r="AM17" s="545"/>
      <c r="AN17" s="545"/>
      <c r="AO17" s="545"/>
    </row>
    <row r="18" spans="1:41" ht="18.75" customHeight="1" x14ac:dyDescent="0.3">
      <c r="A18" s="411" t="s">
        <v>328</v>
      </c>
      <c r="B18" s="424"/>
      <c r="C18" s="708"/>
      <c r="D18" s="442"/>
      <c r="E18" s="424"/>
      <c r="F18" s="425"/>
      <c r="G18" s="442"/>
      <c r="H18" s="424"/>
      <c r="I18" s="425"/>
      <c r="J18" s="442"/>
      <c r="K18" s="424"/>
      <c r="L18" s="425"/>
      <c r="M18" s="431"/>
      <c r="N18" s="424"/>
      <c r="O18" s="425"/>
      <c r="P18" s="442"/>
      <c r="Q18" s="424"/>
      <c r="R18" s="425"/>
      <c r="S18" s="442"/>
      <c r="T18" s="424"/>
      <c r="U18" s="425"/>
      <c r="V18" s="442"/>
      <c r="W18" s="424"/>
      <c r="X18" s="425"/>
      <c r="Y18" s="442"/>
      <c r="Z18" s="424"/>
      <c r="AA18" s="425"/>
      <c r="AB18" s="442"/>
      <c r="AC18" s="431"/>
      <c r="AD18" s="431"/>
      <c r="AE18" s="431"/>
      <c r="AF18" s="431">
        <f t="shared" si="7"/>
        <v>0</v>
      </c>
      <c r="AG18" s="431">
        <f t="shared" si="7"/>
        <v>0</v>
      </c>
      <c r="AH18" s="442" t="str">
        <f t="shared" si="4"/>
        <v xml:space="preserve">    ---- </v>
      </c>
      <c r="AI18" s="425">
        <f t="shared" si="8"/>
        <v>0</v>
      </c>
      <c r="AJ18" s="425">
        <f t="shared" si="5"/>
        <v>0</v>
      </c>
      <c r="AK18" s="442" t="str">
        <f t="shared" si="6"/>
        <v xml:space="preserve">    ---- </v>
      </c>
      <c r="AL18" s="545"/>
      <c r="AM18" s="545"/>
      <c r="AN18" s="545"/>
      <c r="AO18" s="545"/>
    </row>
    <row r="19" spans="1:41" ht="18.75" customHeight="1" x14ac:dyDescent="0.3">
      <c r="A19" s="411" t="s">
        <v>329</v>
      </c>
      <c r="B19" s="424"/>
      <c r="C19" s="708"/>
      <c r="D19" s="442"/>
      <c r="E19" s="424"/>
      <c r="F19" s="425"/>
      <c r="G19" s="442"/>
      <c r="H19" s="424">
        <v>0.02</v>
      </c>
      <c r="I19" s="425"/>
      <c r="J19" s="442">
        <f t="shared" si="2"/>
        <v>-100</v>
      </c>
      <c r="K19" s="424"/>
      <c r="L19" s="425"/>
      <c r="M19" s="431"/>
      <c r="N19" s="424"/>
      <c r="O19" s="425"/>
      <c r="P19" s="442"/>
      <c r="Q19" s="424"/>
      <c r="R19" s="425"/>
      <c r="S19" s="442"/>
      <c r="T19" s="424"/>
      <c r="U19" s="425"/>
      <c r="V19" s="442"/>
      <c r="W19" s="424"/>
      <c r="X19" s="425"/>
      <c r="Y19" s="442"/>
      <c r="Z19" s="424"/>
      <c r="AA19" s="425"/>
      <c r="AB19" s="442"/>
      <c r="AC19" s="431"/>
      <c r="AD19" s="431"/>
      <c r="AE19" s="431"/>
      <c r="AF19" s="431">
        <f t="shared" si="7"/>
        <v>0.02</v>
      </c>
      <c r="AG19" s="431">
        <f t="shared" si="7"/>
        <v>0</v>
      </c>
      <c r="AH19" s="442">
        <f t="shared" si="4"/>
        <v>-100</v>
      </c>
      <c r="AI19" s="425">
        <f t="shared" si="8"/>
        <v>0.02</v>
      </c>
      <c r="AJ19" s="425">
        <f t="shared" si="5"/>
        <v>0</v>
      </c>
      <c r="AK19" s="442">
        <f t="shared" si="6"/>
        <v>-100</v>
      </c>
      <c r="AL19" s="545"/>
      <c r="AM19" s="545"/>
      <c r="AN19" s="545"/>
      <c r="AO19" s="545"/>
    </row>
    <row r="20" spans="1:41" s="561" customFormat="1" ht="18.75" customHeight="1" x14ac:dyDescent="0.3">
      <c r="A20" s="528" t="s">
        <v>330</v>
      </c>
      <c r="B20" s="422">
        <f>SUM(B12:B17)+B19</f>
        <v>12</v>
      </c>
      <c r="C20" s="723">
        <f>SUM(C12:C17)+C19</f>
        <v>25.189</v>
      </c>
      <c r="D20" s="443">
        <f>IF(B20=0, "    ---- ", IF(ABS(ROUND(100/B20*C20-100,1))&lt;999,ROUND(100/B20*C20-100,1),IF(ROUND(100/B20*C20-100,1)&gt;999,999,-999)))</f>
        <v>109.9</v>
      </c>
      <c r="E20" s="422">
        <f>SUM(E12:E17)+E19</f>
        <v>270.45481918000002</v>
      </c>
      <c r="F20" s="423">
        <f>SUM(F12:F17)+F19</f>
        <v>340.53322385999991</v>
      </c>
      <c r="G20" s="443">
        <f>IF(E20=0, "    ---- ", IF(ABS(ROUND(100/E20*F20-100,1))&lt;999,ROUND(100/E20*F20-100,1),IF(ROUND(100/E20*F20-100,1)&gt;999,999,-999)))</f>
        <v>25.9</v>
      </c>
      <c r="H20" s="422">
        <f>SUM(H12:H17)+H19</f>
        <v>1.7390000000000012</v>
      </c>
      <c r="I20" s="423">
        <f>SUM(I12:I17)+I19</f>
        <v>-16.151</v>
      </c>
      <c r="J20" s="443">
        <f t="shared" si="2"/>
        <v>-999</v>
      </c>
      <c r="K20" s="422"/>
      <c r="L20" s="423"/>
      <c r="M20" s="433"/>
      <c r="N20" s="422">
        <v>0.5</v>
      </c>
      <c r="O20" s="423">
        <f>SUM(O12:O17)+O19</f>
        <v>1</v>
      </c>
      <c r="P20" s="443">
        <f t="shared" si="9"/>
        <v>100</v>
      </c>
      <c r="Q20" s="422"/>
      <c r="R20" s="423"/>
      <c r="S20" s="443"/>
      <c r="T20" s="422"/>
      <c r="U20" s="423"/>
      <c r="V20" s="443"/>
      <c r="W20" s="422">
        <f>SUM(W12:W17)+W19</f>
        <v>2</v>
      </c>
      <c r="X20" s="423">
        <f>SUM(X12:X17)+X19</f>
        <v>4</v>
      </c>
      <c r="Y20" s="443">
        <f t="shared" si="3"/>
        <v>100</v>
      </c>
      <c r="Z20" s="422">
        <f>SUM(Z12:Z17)+Z19</f>
        <v>-201.01696540714258</v>
      </c>
      <c r="AA20" s="423">
        <f>SUM(AA12:AA17)+AA19</f>
        <v>77.343840509999794</v>
      </c>
      <c r="AB20" s="443">
        <f>IF(Z20=0, "    ---- ", IF(ABS(ROUND(100/Z20*AA20-100,1))&lt;999,ROUND(100/Z20*AA20-100,1),IF(ROUND(100/Z20*AA20-100,1)&gt;999,999,-999)))</f>
        <v>-138.5</v>
      </c>
      <c r="AC20" s="433"/>
      <c r="AD20" s="433"/>
      <c r="AE20" s="433"/>
      <c r="AF20" s="433">
        <f t="shared" si="7"/>
        <v>85.676853772857413</v>
      </c>
      <c r="AG20" s="433">
        <f t="shared" si="7"/>
        <v>431.9150643699997</v>
      </c>
      <c r="AH20" s="443">
        <f t="shared" si="4"/>
        <v>404.1</v>
      </c>
      <c r="AI20" s="423">
        <f t="shared" si="8"/>
        <v>85.676853772857413</v>
      </c>
      <c r="AJ20" s="423">
        <f t="shared" si="5"/>
        <v>431.9150643699997</v>
      </c>
      <c r="AK20" s="443">
        <f t="shared" si="6"/>
        <v>404.1</v>
      </c>
      <c r="AL20" s="548"/>
      <c r="AM20" s="548"/>
      <c r="AN20" s="548"/>
      <c r="AO20" s="548"/>
    </row>
    <row r="21" spans="1:41" ht="18.75" customHeight="1" x14ac:dyDescent="0.3">
      <c r="A21" s="411" t="s">
        <v>331</v>
      </c>
      <c r="B21" s="424"/>
      <c r="C21" s="708"/>
      <c r="D21" s="442"/>
      <c r="E21" s="424"/>
      <c r="F21" s="425"/>
      <c r="G21" s="442"/>
      <c r="H21" s="424"/>
      <c r="I21" s="425"/>
      <c r="J21" s="442"/>
      <c r="K21" s="424"/>
      <c r="L21" s="425"/>
      <c r="M21" s="431"/>
      <c r="N21" s="424"/>
      <c r="O21" s="425"/>
      <c r="P21" s="442"/>
      <c r="Q21" s="424"/>
      <c r="R21" s="425"/>
      <c r="S21" s="442"/>
      <c r="T21" s="424"/>
      <c r="U21" s="425"/>
      <c r="V21" s="442"/>
      <c r="W21" s="424"/>
      <c r="X21" s="425"/>
      <c r="Y21" s="442"/>
      <c r="Z21" s="424"/>
      <c r="AA21" s="425"/>
      <c r="AB21" s="442"/>
      <c r="AC21" s="431"/>
      <c r="AD21" s="431"/>
      <c r="AE21" s="431"/>
      <c r="AF21" s="431">
        <f t="shared" si="7"/>
        <v>0</v>
      </c>
      <c r="AG21" s="431">
        <f t="shared" si="7"/>
        <v>0</v>
      </c>
      <c r="AH21" s="442" t="str">
        <f t="shared" si="4"/>
        <v xml:space="preserve">    ---- </v>
      </c>
      <c r="AI21" s="425">
        <f t="shared" si="8"/>
        <v>0</v>
      </c>
      <c r="AJ21" s="425">
        <f t="shared" si="5"/>
        <v>0</v>
      </c>
      <c r="AK21" s="442" t="str">
        <f t="shared" si="6"/>
        <v xml:space="preserve">    ---- </v>
      </c>
      <c r="AL21" s="545"/>
      <c r="AM21" s="545"/>
      <c r="AN21" s="545"/>
      <c r="AO21" s="545"/>
    </row>
    <row r="22" spans="1:41" ht="18.75" customHeight="1" x14ac:dyDescent="0.3">
      <c r="A22" s="411" t="s">
        <v>332</v>
      </c>
      <c r="B22" s="424">
        <v>12</v>
      </c>
      <c r="C22" s="708">
        <v>25</v>
      </c>
      <c r="D22" s="442">
        <f>IF(B22=0, "    ---- ", IF(ABS(ROUND(100/B22*C22-100,1))&lt;999,ROUND(100/B22*C22-100,1),IF(ROUND(100/B22*C22-100,1)&gt;999,999,-999)))</f>
        <v>108.3</v>
      </c>
      <c r="E22" s="424">
        <v>270.45481918000002</v>
      </c>
      <c r="F22" s="425">
        <v>340.53322385999991</v>
      </c>
      <c r="G22" s="442">
        <f>IF(E22=0, "    ---- ", IF(ABS(ROUND(100/E22*F22-100,1))&lt;999,ROUND(100/E22*F22-100,1),IF(ROUND(100/E22*F22-100,1)&gt;999,999,-999)))</f>
        <v>25.9</v>
      </c>
      <c r="H22" s="424">
        <v>1.742</v>
      </c>
      <c r="I22" s="425">
        <v>-16.152000000000001</v>
      </c>
      <c r="J22" s="442">
        <f t="shared" si="2"/>
        <v>-999</v>
      </c>
      <c r="K22" s="424"/>
      <c r="L22" s="425"/>
      <c r="M22" s="431"/>
      <c r="N22" s="424">
        <v>0.5</v>
      </c>
      <c r="O22" s="425">
        <v>1</v>
      </c>
      <c r="P22" s="442">
        <f t="shared" si="9"/>
        <v>100</v>
      </c>
      <c r="Q22" s="424"/>
      <c r="R22" s="425"/>
      <c r="S22" s="442"/>
      <c r="T22" s="424"/>
      <c r="U22" s="425"/>
      <c r="V22" s="442"/>
      <c r="W22" s="424">
        <v>2</v>
      </c>
      <c r="X22" s="425">
        <v>4</v>
      </c>
      <c r="Y22" s="442">
        <f t="shared" si="3"/>
        <v>100</v>
      </c>
      <c r="Z22" s="424">
        <v>-201.01696540714258</v>
      </c>
      <c r="AA22" s="425">
        <v>77.343840509999794</v>
      </c>
      <c r="AB22" s="442">
        <f>IF(Z22=0, "    ---- ", IF(ABS(ROUND(100/Z22*AA22-100,1))&lt;999,ROUND(100/Z22*AA22-100,1),IF(ROUND(100/Z22*AA22-100,1)&gt;999,999,-999)))</f>
        <v>-138.5</v>
      </c>
      <c r="AC22" s="431"/>
      <c r="AD22" s="431"/>
      <c r="AE22" s="431"/>
      <c r="AF22" s="431">
        <f t="shared" si="7"/>
        <v>85.679853772857456</v>
      </c>
      <c r="AG22" s="431">
        <f t="shared" si="7"/>
        <v>431.7250643699997</v>
      </c>
      <c r="AH22" s="442">
        <f t="shared" si="4"/>
        <v>403.9</v>
      </c>
      <c r="AI22" s="425">
        <f t="shared" si="8"/>
        <v>85.679853772857456</v>
      </c>
      <c r="AJ22" s="425">
        <f t="shared" si="5"/>
        <v>431.7250643699997</v>
      </c>
      <c r="AK22" s="442">
        <f t="shared" si="6"/>
        <v>403.9</v>
      </c>
      <c r="AL22" s="545"/>
      <c r="AM22" s="545"/>
      <c r="AN22" s="545"/>
      <c r="AO22" s="545"/>
    </row>
    <row r="23" spans="1:41" ht="18.75" customHeight="1" x14ac:dyDescent="0.3">
      <c r="A23" s="528" t="s">
        <v>356</v>
      </c>
      <c r="B23" s="432"/>
      <c r="C23" s="729"/>
      <c r="D23" s="442"/>
      <c r="E23" s="432"/>
      <c r="F23" s="433"/>
      <c r="G23" s="442"/>
      <c r="H23" s="432"/>
      <c r="I23" s="433"/>
      <c r="J23" s="442"/>
      <c r="K23" s="432"/>
      <c r="L23" s="433"/>
      <c r="M23" s="431"/>
      <c r="N23" s="432"/>
      <c r="O23" s="433"/>
      <c r="P23" s="442"/>
      <c r="Q23" s="432"/>
      <c r="R23" s="433"/>
      <c r="S23" s="442"/>
      <c r="T23" s="432"/>
      <c r="U23" s="433"/>
      <c r="V23" s="442"/>
      <c r="W23" s="432"/>
      <c r="X23" s="433"/>
      <c r="Y23" s="442"/>
      <c r="Z23" s="432"/>
      <c r="AA23" s="433"/>
      <c r="AB23" s="442"/>
      <c r="AC23" s="431"/>
      <c r="AD23" s="431"/>
      <c r="AE23" s="431"/>
      <c r="AF23" s="431"/>
      <c r="AG23" s="431"/>
      <c r="AH23" s="442"/>
      <c r="AI23" s="425"/>
      <c r="AJ23" s="425"/>
      <c r="AK23" s="442"/>
      <c r="AL23" s="545"/>
      <c r="AM23" s="545"/>
      <c r="AN23" s="545"/>
      <c r="AO23" s="545"/>
    </row>
    <row r="24" spans="1:41" ht="18.75" x14ac:dyDescent="0.3">
      <c r="A24" s="760" t="s">
        <v>492</v>
      </c>
      <c r="B24" s="430">
        <v>32</v>
      </c>
      <c r="C24" s="728">
        <v>62.81</v>
      </c>
      <c r="D24" s="442">
        <f>IF(B24=0, "    ---- ", IF(ABS(ROUND(100/B24*C24-100,1))&lt;999,ROUND(100/B24*C24-100,1),IF(ROUND(100/B24*C24-100,1)&gt;999,999,-999)))</f>
        <v>96.3</v>
      </c>
      <c r="E24" s="430">
        <v>20.637426349999998</v>
      </c>
      <c r="F24" s="431">
        <v>46.291074960000003</v>
      </c>
      <c r="G24" s="442">
        <f>IF(E24=0, "    ---- ", IF(ABS(ROUND(100/E24*F24-100,1))&lt;999,ROUND(100/E24*F24-100,1),IF(ROUND(100/E24*F24-100,1)&gt;999,999,-999)))</f>
        <v>124.3</v>
      </c>
      <c r="H24" s="430">
        <v>14.18</v>
      </c>
      <c r="I24" s="431">
        <v>8.6359999999999992</v>
      </c>
      <c r="J24" s="442">
        <f t="shared" si="2"/>
        <v>-39.1</v>
      </c>
      <c r="K24" s="430"/>
      <c r="L24" s="431"/>
      <c r="M24" s="442"/>
      <c r="N24" s="430"/>
      <c r="O24" s="431"/>
      <c r="P24" s="442"/>
      <c r="Q24" s="430">
        <v>1.0608474708887246</v>
      </c>
      <c r="R24" s="431">
        <v>1.7156307104021589</v>
      </c>
      <c r="S24" s="442">
        <f t="shared" ref="S24:S34" si="10">IF(Q24=0, "    ---- ", IF(ABS(ROUND(100/Q24*R24-100,1))&lt;999,ROUND(100/Q24*R24-100,1),IF(ROUND(100/Q24*R24-100,1)&gt;999,999,-999)))</f>
        <v>61.7</v>
      </c>
      <c r="T24" s="430"/>
      <c r="U24" s="431"/>
      <c r="V24" s="442"/>
      <c r="W24" s="430"/>
      <c r="X24" s="431"/>
      <c r="Y24" s="442"/>
      <c r="Z24" s="430">
        <v>13.060190321863724</v>
      </c>
      <c r="AA24" s="431">
        <v>28.545264039999999</v>
      </c>
      <c r="AB24" s="442">
        <f>IF(Z24=0, "    ---- ", IF(ABS(ROUND(100/Z24*AA24-100,1))&lt;999,ROUND(100/Z24*AA24-100,1),IF(ROUND(100/Z24*AA24-100,1)&gt;999,999,-999)))</f>
        <v>118.6</v>
      </c>
      <c r="AC24" s="431"/>
      <c r="AD24" s="431"/>
      <c r="AE24" s="431"/>
      <c r="AF24" s="431">
        <f t="shared" ref="AF24:AG34" si="11">B24+E24+H24+K24+N24+Q24+T24+W24+Z24</f>
        <v>80.938464142752466</v>
      </c>
      <c r="AG24" s="431">
        <f t="shared" si="11"/>
        <v>147.99796971040215</v>
      </c>
      <c r="AH24" s="442">
        <f>IF(AF24=0, "    ---- ", IF(ABS(ROUND(100/AF24*AG24-100,1))&lt;999,ROUND(100/AF24*AG24-100,1),IF(ROUND(100/AF24*AG24-100,1)&gt;999,999,-999)))</f>
        <v>82.9</v>
      </c>
      <c r="AI24" s="425">
        <f t="shared" ref="AI24:AJ34" si="12">B24+E24+H24+K24+N24+Q24+T24+W24+Z24</f>
        <v>80.938464142752466</v>
      </c>
      <c r="AJ24" s="425">
        <f t="shared" si="12"/>
        <v>147.99796971040215</v>
      </c>
      <c r="AK24" s="442">
        <f>IF(AI24=0, "    ---- ", IF(ABS(ROUND(100/AI24*AJ24-100,1))&lt;999,ROUND(100/AI24*AJ24-100,1),IF(ROUND(100/AI24*AJ24-100,1)&gt;999,999,-999)))</f>
        <v>82.9</v>
      </c>
      <c r="AL24" s="545"/>
      <c r="AM24" s="545"/>
      <c r="AN24" s="545"/>
      <c r="AO24" s="545"/>
    </row>
    <row r="25" spans="1:41" ht="18.75" customHeight="1" x14ac:dyDescent="0.3">
      <c r="A25" s="411" t="s">
        <v>493</v>
      </c>
      <c r="B25" s="430"/>
      <c r="C25" s="714"/>
      <c r="D25" s="442"/>
      <c r="E25" s="430"/>
      <c r="F25" s="431"/>
      <c r="G25" s="442"/>
      <c r="H25" s="430"/>
      <c r="I25" s="431"/>
      <c r="J25" s="442"/>
      <c r="K25" s="430"/>
      <c r="L25" s="431"/>
      <c r="M25" s="431"/>
      <c r="N25" s="430"/>
      <c r="O25" s="431"/>
      <c r="P25" s="442"/>
      <c r="Q25" s="430"/>
      <c r="R25" s="431"/>
      <c r="S25" s="442"/>
      <c r="T25" s="430"/>
      <c r="U25" s="431"/>
      <c r="V25" s="442"/>
      <c r="W25" s="430"/>
      <c r="X25" s="431"/>
      <c r="Y25" s="442"/>
      <c r="Z25" s="430"/>
      <c r="AA25" s="431"/>
      <c r="AB25" s="442"/>
      <c r="AC25" s="431"/>
      <c r="AD25" s="431"/>
      <c r="AE25" s="431"/>
      <c r="AF25" s="431">
        <f t="shared" si="11"/>
        <v>0</v>
      </c>
      <c r="AG25" s="431">
        <f t="shared" si="11"/>
        <v>0</v>
      </c>
      <c r="AH25" s="442" t="str">
        <f t="shared" ref="AH25:AH34" si="13">IF(AF25=0, "    ---- ", IF(ABS(ROUND(100/AF25*AG25-100,1))&lt;999,ROUND(100/AF25*AG25-100,1),IF(ROUND(100/AF25*AG25-100,1)&gt;999,999,-999)))</f>
        <v xml:space="preserve">    ---- </v>
      </c>
      <c r="AI25" s="425">
        <f t="shared" si="12"/>
        <v>0</v>
      </c>
      <c r="AJ25" s="425">
        <f t="shared" si="12"/>
        <v>0</v>
      </c>
      <c r="AK25" s="442" t="str">
        <f t="shared" ref="AK25:AK34" si="14">IF(AI25=0, "    ---- ", IF(ABS(ROUND(100/AI25*AJ25-100,1))&lt;999,ROUND(100/AI25*AJ25-100,1),IF(ROUND(100/AI25*AJ25-100,1)&gt;999,999,-999)))</f>
        <v xml:space="preserve">    ---- </v>
      </c>
      <c r="AL25" s="545"/>
      <c r="AM25" s="545"/>
      <c r="AN25" s="545"/>
      <c r="AO25" s="545"/>
    </row>
    <row r="26" spans="1:41" ht="18.75" customHeight="1" x14ac:dyDescent="0.3">
      <c r="A26" s="411" t="s">
        <v>324</v>
      </c>
      <c r="B26" s="430">
        <v>-16</v>
      </c>
      <c r="C26" s="728">
        <v>-25.92</v>
      </c>
      <c r="D26" s="442">
        <f>IF(B26=0, "    ---- ", IF(ABS(ROUND(100/B26*C26-100,1))&lt;999,ROUND(100/B26*C26-100,1),IF(ROUND(100/B26*C26-100,1)&gt;999,999,-999)))</f>
        <v>62</v>
      </c>
      <c r="E26" s="430">
        <v>-6.8745140500000392</v>
      </c>
      <c r="F26" s="431">
        <v>-4.286727679999923</v>
      </c>
      <c r="G26" s="442">
        <f>IF(E26=0, "    ---- ", IF(ABS(ROUND(100/E26*F26-100,1))&lt;999,ROUND(100/E26*F26-100,1),IF(ROUND(100/E26*F26-100,1)&gt;999,999,-999)))</f>
        <v>-37.6</v>
      </c>
      <c r="H26" s="430">
        <v>-4.1459999999999999</v>
      </c>
      <c r="I26" s="431">
        <v>-3.6789999999999998</v>
      </c>
      <c r="J26" s="442">
        <f t="shared" si="2"/>
        <v>-11.3</v>
      </c>
      <c r="K26" s="430"/>
      <c r="L26" s="431"/>
      <c r="M26" s="431"/>
      <c r="N26" s="430"/>
      <c r="O26" s="431"/>
      <c r="P26" s="442"/>
      <c r="Q26" s="430">
        <v>27.419630115528651</v>
      </c>
      <c r="R26" s="431">
        <v>29.619991903306932</v>
      </c>
      <c r="S26" s="442">
        <f t="shared" si="10"/>
        <v>8</v>
      </c>
      <c r="T26" s="430"/>
      <c r="U26" s="431"/>
      <c r="V26" s="442"/>
      <c r="W26" s="430"/>
      <c r="X26" s="431"/>
      <c r="Y26" s="442"/>
      <c r="Z26" s="430">
        <v>-39.308616110000017</v>
      </c>
      <c r="AA26" s="431">
        <v>0.767756859999977</v>
      </c>
      <c r="AB26" s="442">
        <f>IF(Z26=0, "    ---- ", IF(ABS(ROUND(100/Z26*AA26-100,1))&lt;999,ROUND(100/Z26*AA26-100,1),IF(ROUND(100/Z26*AA26-100,1)&gt;999,999,-999)))</f>
        <v>-102</v>
      </c>
      <c r="AC26" s="431"/>
      <c r="AD26" s="431"/>
      <c r="AE26" s="431"/>
      <c r="AF26" s="431">
        <f t="shared" si="11"/>
        <v>-38.9095000444714</v>
      </c>
      <c r="AG26" s="431">
        <f t="shared" si="11"/>
        <v>-3.4979789166930151</v>
      </c>
      <c r="AH26" s="442">
        <f t="shared" si="13"/>
        <v>-91</v>
      </c>
      <c r="AI26" s="425">
        <f t="shared" si="12"/>
        <v>-38.9095000444714</v>
      </c>
      <c r="AJ26" s="425">
        <f t="shared" si="12"/>
        <v>-3.4979789166930151</v>
      </c>
      <c r="AK26" s="442">
        <f t="shared" si="14"/>
        <v>-91</v>
      </c>
      <c r="AL26" s="545"/>
      <c r="AM26" s="545"/>
      <c r="AN26" s="545"/>
      <c r="AO26" s="545"/>
    </row>
    <row r="27" spans="1:41" ht="18.75" customHeight="1" x14ac:dyDescent="0.3">
      <c r="A27" s="411" t="s">
        <v>325</v>
      </c>
      <c r="B27" s="430"/>
      <c r="C27" s="728"/>
      <c r="D27" s="442"/>
      <c r="E27" s="430"/>
      <c r="F27" s="431"/>
      <c r="G27" s="442"/>
      <c r="H27" s="430"/>
      <c r="I27" s="431"/>
      <c r="J27" s="442"/>
      <c r="K27" s="430"/>
      <c r="L27" s="431"/>
      <c r="M27" s="431"/>
      <c r="N27" s="430"/>
      <c r="O27" s="431"/>
      <c r="P27" s="442"/>
      <c r="Q27" s="430"/>
      <c r="R27" s="431"/>
      <c r="S27" s="442"/>
      <c r="T27" s="430"/>
      <c r="U27" s="431"/>
      <c r="V27" s="442"/>
      <c r="W27" s="430"/>
      <c r="X27" s="431"/>
      <c r="Y27" s="442"/>
      <c r="Z27" s="430"/>
      <c r="AA27" s="431"/>
      <c r="AB27" s="442"/>
      <c r="AC27" s="431"/>
      <c r="AD27" s="431"/>
      <c r="AE27" s="431"/>
      <c r="AF27" s="431">
        <f t="shared" si="11"/>
        <v>0</v>
      </c>
      <c r="AG27" s="431">
        <f t="shared" si="11"/>
        <v>0</v>
      </c>
      <c r="AH27" s="442" t="str">
        <f t="shared" si="13"/>
        <v xml:space="preserve">    ---- </v>
      </c>
      <c r="AI27" s="425">
        <f t="shared" si="12"/>
        <v>0</v>
      </c>
      <c r="AJ27" s="425">
        <f t="shared" si="12"/>
        <v>0</v>
      </c>
      <c r="AK27" s="442" t="str">
        <f t="shared" si="14"/>
        <v xml:space="preserve">    ---- </v>
      </c>
      <c r="AL27" s="545"/>
      <c r="AM27" s="545"/>
      <c r="AN27" s="545"/>
      <c r="AO27" s="545"/>
    </row>
    <row r="28" spans="1:41" ht="18.75" customHeight="1" x14ac:dyDescent="0.3">
      <c r="A28" s="411" t="s">
        <v>326</v>
      </c>
      <c r="B28" s="430"/>
      <c r="C28" s="728"/>
      <c r="D28" s="442"/>
      <c r="E28" s="430"/>
      <c r="F28" s="431"/>
      <c r="G28" s="442"/>
      <c r="H28" s="430"/>
      <c r="I28" s="431"/>
      <c r="J28" s="442"/>
      <c r="K28" s="430"/>
      <c r="L28" s="431"/>
      <c r="M28" s="431"/>
      <c r="N28" s="430"/>
      <c r="O28" s="431"/>
      <c r="P28" s="442"/>
      <c r="Q28" s="430"/>
      <c r="R28" s="431"/>
      <c r="S28" s="442"/>
      <c r="T28" s="430"/>
      <c r="U28" s="431"/>
      <c r="V28" s="442"/>
      <c r="W28" s="430"/>
      <c r="X28" s="431"/>
      <c r="Y28" s="442"/>
      <c r="Z28" s="430"/>
      <c r="AA28" s="431"/>
      <c r="AB28" s="442"/>
      <c r="AC28" s="431"/>
      <c r="AD28" s="431"/>
      <c r="AE28" s="431"/>
      <c r="AF28" s="431">
        <f t="shared" si="11"/>
        <v>0</v>
      </c>
      <c r="AG28" s="431">
        <f t="shared" si="11"/>
        <v>0</v>
      </c>
      <c r="AH28" s="442" t="str">
        <f t="shared" si="13"/>
        <v xml:space="preserve">    ---- </v>
      </c>
      <c r="AI28" s="425">
        <f t="shared" si="12"/>
        <v>0</v>
      </c>
      <c r="AJ28" s="425">
        <f t="shared" si="12"/>
        <v>0</v>
      </c>
      <c r="AK28" s="442" t="str">
        <f t="shared" si="14"/>
        <v xml:space="preserve">    ---- </v>
      </c>
      <c r="AL28" s="545"/>
      <c r="AM28" s="545"/>
      <c r="AN28" s="545"/>
      <c r="AO28" s="545"/>
    </row>
    <row r="29" spans="1:41" ht="18.75" customHeight="1" x14ac:dyDescent="0.3">
      <c r="A29" s="411" t="s">
        <v>327</v>
      </c>
      <c r="B29" s="430">
        <v>11</v>
      </c>
      <c r="C29" s="728">
        <v>68.569999999999993</v>
      </c>
      <c r="D29" s="442">
        <f>IF(B29=0, "    ---- ", IF(ABS(ROUND(100/B29*C29-100,1))&lt;999,ROUND(100/B29*C29-100,1),IF(ROUND(100/B29*C29-100,1)&gt;999,999,-999)))</f>
        <v>523.4</v>
      </c>
      <c r="E29" s="430">
        <v>51.574731120000024</v>
      </c>
      <c r="F29" s="431">
        <v>-17.347246110000032</v>
      </c>
      <c r="G29" s="442">
        <f>IF(E29=0, "    ---- ", IF(ABS(ROUND(100/E29*F29-100,1))&lt;999,ROUND(100/E29*F29-100,1),IF(ROUND(100/E29*F29-100,1)&gt;999,999,-999)))</f>
        <v>-133.6</v>
      </c>
      <c r="H29" s="430">
        <v>25.731000000000002</v>
      </c>
      <c r="I29" s="431">
        <v>39.222999999999999</v>
      </c>
      <c r="J29" s="442">
        <f t="shared" si="2"/>
        <v>52.4</v>
      </c>
      <c r="K29" s="430"/>
      <c r="L29" s="431"/>
      <c r="M29" s="442"/>
      <c r="N29" s="430"/>
      <c r="O29" s="431"/>
      <c r="P29" s="442"/>
      <c r="Q29" s="430">
        <v>51.666379383472673</v>
      </c>
      <c r="R29" s="431">
        <v>61.999821020244703</v>
      </c>
      <c r="S29" s="442">
        <f t="shared" si="10"/>
        <v>20</v>
      </c>
      <c r="T29" s="430"/>
      <c r="U29" s="431"/>
      <c r="V29" s="442"/>
      <c r="W29" s="430"/>
      <c r="X29" s="431"/>
      <c r="Y29" s="442"/>
      <c r="Z29" s="430">
        <v>43.643376739999965</v>
      </c>
      <c r="AA29" s="431">
        <v>39.111516859999902</v>
      </c>
      <c r="AB29" s="442">
        <f>IF(Z29=0, "    ---- ", IF(ABS(ROUND(100/Z29*AA29-100,1))&lt;999,ROUND(100/Z29*AA29-100,1),IF(ROUND(100/Z29*AA29-100,1)&gt;999,999,-999)))</f>
        <v>-10.4</v>
      </c>
      <c r="AC29" s="431"/>
      <c r="AD29" s="431"/>
      <c r="AE29" s="431"/>
      <c r="AF29" s="431">
        <f t="shared" si="11"/>
        <v>183.61548724347267</v>
      </c>
      <c r="AG29" s="431">
        <f t="shared" si="11"/>
        <v>191.55709177024457</v>
      </c>
      <c r="AH29" s="442">
        <f t="shared" si="13"/>
        <v>4.3</v>
      </c>
      <c r="AI29" s="425">
        <f t="shared" si="12"/>
        <v>183.61548724347267</v>
      </c>
      <c r="AJ29" s="425">
        <f t="shared" si="12"/>
        <v>191.55709177024457</v>
      </c>
      <c r="AK29" s="442">
        <f t="shared" si="14"/>
        <v>4.3</v>
      </c>
      <c r="AL29" s="545"/>
      <c r="AM29" s="545"/>
      <c r="AN29" s="545"/>
      <c r="AO29" s="545"/>
    </row>
    <row r="30" spans="1:41" ht="18.75" customHeight="1" x14ac:dyDescent="0.3">
      <c r="A30" s="411" t="s">
        <v>328</v>
      </c>
      <c r="B30" s="430"/>
      <c r="C30" s="728"/>
      <c r="D30" s="442"/>
      <c r="E30" s="430"/>
      <c r="F30" s="431"/>
      <c r="G30" s="442"/>
      <c r="H30" s="430"/>
      <c r="I30" s="431"/>
      <c r="J30" s="442"/>
      <c r="K30" s="430"/>
      <c r="L30" s="431"/>
      <c r="M30" s="431"/>
      <c r="N30" s="430"/>
      <c r="O30" s="431"/>
      <c r="P30" s="442"/>
      <c r="Q30" s="430"/>
      <c r="R30" s="431"/>
      <c r="S30" s="442"/>
      <c r="T30" s="430"/>
      <c r="U30" s="431"/>
      <c r="V30" s="442"/>
      <c r="W30" s="430"/>
      <c r="X30" s="431"/>
      <c r="Y30" s="442"/>
      <c r="Z30" s="430"/>
      <c r="AA30" s="431"/>
      <c r="AB30" s="442"/>
      <c r="AC30" s="431"/>
      <c r="AD30" s="431"/>
      <c r="AE30" s="431"/>
      <c r="AF30" s="431">
        <f t="shared" si="11"/>
        <v>0</v>
      </c>
      <c r="AG30" s="431">
        <f t="shared" si="11"/>
        <v>0</v>
      </c>
      <c r="AH30" s="442" t="str">
        <f t="shared" si="13"/>
        <v xml:space="preserve">    ---- </v>
      </c>
      <c r="AI30" s="425">
        <f t="shared" si="12"/>
        <v>0</v>
      </c>
      <c r="AJ30" s="425">
        <f t="shared" si="12"/>
        <v>0</v>
      </c>
      <c r="AK30" s="442" t="str">
        <f t="shared" si="14"/>
        <v xml:space="preserve">    ---- </v>
      </c>
      <c r="AL30" s="545"/>
      <c r="AM30" s="545"/>
      <c r="AN30" s="545"/>
      <c r="AO30" s="545"/>
    </row>
    <row r="31" spans="1:41" ht="18.75" customHeight="1" x14ac:dyDescent="0.3">
      <c r="A31" s="411" t="s">
        <v>329</v>
      </c>
      <c r="B31" s="430"/>
      <c r="C31" s="728"/>
      <c r="D31" s="442"/>
      <c r="E31" s="430"/>
      <c r="F31" s="431"/>
      <c r="G31" s="442"/>
      <c r="H31" s="430"/>
      <c r="I31" s="431"/>
      <c r="J31" s="442"/>
      <c r="K31" s="430"/>
      <c r="L31" s="431"/>
      <c r="M31" s="431"/>
      <c r="N31" s="430"/>
      <c r="O31" s="431"/>
      <c r="P31" s="442"/>
      <c r="Q31" s="430"/>
      <c r="R31" s="431"/>
      <c r="S31" s="442"/>
      <c r="T31" s="430"/>
      <c r="U31" s="431"/>
      <c r="V31" s="442"/>
      <c r="W31" s="430"/>
      <c r="X31" s="431"/>
      <c r="Y31" s="442"/>
      <c r="Z31" s="430"/>
      <c r="AA31" s="431"/>
      <c r="AB31" s="442"/>
      <c r="AC31" s="431"/>
      <c r="AD31" s="431"/>
      <c r="AE31" s="431"/>
      <c r="AF31" s="431">
        <f t="shared" si="11"/>
        <v>0</v>
      </c>
      <c r="AG31" s="431">
        <f t="shared" si="11"/>
        <v>0</v>
      </c>
      <c r="AH31" s="442" t="str">
        <f t="shared" si="13"/>
        <v xml:space="preserve">    ---- </v>
      </c>
      <c r="AI31" s="425">
        <f t="shared" si="12"/>
        <v>0</v>
      </c>
      <c r="AJ31" s="425">
        <f t="shared" si="12"/>
        <v>0</v>
      </c>
      <c r="AK31" s="442" t="str">
        <f t="shared" si="14"/>
        <v xml:space="preserve">    ---- </v>
      </c>
      <c r="AL31" s="545"/>
      <c r="AM31" s="545"/>
      <c r="AN31" s="545"/>
      <c r="AO31" s="545"/>
    </row>
    <row r="32" spans="1:41" s="561" customFormat="1" ht="18.75" customHeight="1" x14ac:dyDescent="0.3">
      <c r="A32" s="528" t="s">
        <v>330</v>
      </c>
      <c r="B32" s="432">
        <f>SUM(B24:B29)+B31</f>
        <v>27</v>
      </c>
      <c r="C32" s="729">
        <f>SUM(C24:C29)+C31</f>
        <v>105.46</v>
      </c>
      <c r="D32" s="443">
        <f>IF(B32=0, "    ---- ", IF(ABS(ROUND(100/B32*C32-100,1))&lt;999,ROUND(100/B32*C32-100,1),IF(ROUND(100/B32*C32-100,1)&gt;999,999,-999)))</f>
        <v>290.60000000000002</v>
      </c>
      <c r="E32" s="432">
        <f>SUM(E24:E29)+E31</f>
        <v>65.337643419999978</v>
      </c>
      <c r="F32" s="433">
        <f>SUM(F24:F29)+F31</f>
        <v>24.65710117000005</v>
      </c>
      <c r="G32" s="443">
        <f>IF(E32=0, "    ---- ", IF(ABS(ROUND(100/E32*F32-100,1))&lt;999,ROUND(100/E32*F32-100,1),IF(ROUND(100/E32*F32-100,1)&gt;999,999,-999)))</f>
        <v>-62.3</v>
      </c>
      <c r="H32" s="432">
        <f>SUM(H24:H29)+H31</f>
        <v>35.765000000000001</v>
      </c>
      <c r="I32" s="433">
        <f>SUM(I24:I29)+I31</f>
        <v>44.18</v>
      </c>
      <c r="J32" s="443">
        <f t="shared" si="2"/>
        <v>23.5</v>
      </c>
      <c r="K32" s="432"/>
      <c r="L32" s="433"/>
      <c r="M32" s="433"/>
      <c r="N32" s="432"/>
      <c r="O32" s="433"/>
      <c r="P32" s="443"/>
      <c r="Q32" s="432">
        <f>SUM(Q24:Q29)+Q31</f>
        <v>80.146856969890052</v>
      </c>
      <c r="R32" s="433">
        <f>SUM(R24:R29)+R31</f>
        <v>93.335443633953787</v>
      </c>
      <c r="S32" s="443">
        <f t="shared" si="10"/>
        <v>16.5</v>
      </c>
      <c r="T32" s="432"/>
      <c r="U32" s="433"/>
      <c r="V32" s="443"/>
      <c r="W32" s="432"/>
      <c r="X32" s="433"/>
      <c r="Y32" s="443"/>
      <c r="Z32" s="432">
        <f>SUM(Z24:Z29)+Z31</f>
        <v>17.39495095186367</v>
      </c>
      <c r="AA32" s="433">
        <f>SUM(AA24:AA29)+AA31</f>
        <v>68.424537759999879</v>
      </c>
      <c r="AB32" s="443">
        <f>IF(Z32=0, "    ---- ", IF(ABS(ROUND(100/Z32*AA32-100,1))&lt;999,ROUND(100/Z32*AA32-100,1),IF(ROUND(100/Z32*AA32-100,1)&gt;999,999,-999)))</f>
        <v>293.39999999999998</v>
      </c>
      <c r="AC32" s="433"/>
      <c r="AD32" s="433"/>
      <c r="AE32" s="433"/>
      <c r="AF32" s="433">
        <f t="shared" si="11"/>
        <v>225.64445134175372</v>
      </c>
      <c r="AG32" s="433">
        <f t="shared" si="11"/>
        <v>336.05708256395371</v>
      </c>
      <c r="AH32" s="443">
        <f t="shared" si="13"/>
        <v>48.9</v>
      </c>
      <c r="AI32" s="423">
        <f t="shared" si="12"/>
        <v>225.64445134175372</v>
      </c>
      <c r="AJ32" s="423">
        <f t="shared" si="12"/>
        <v>336.05708256395371</v>
      </c>
      <c r="AK32" s="443">
        <f t="shared" si="14"/>
        <v>48.9</v>
      </c>
      <c r="AL32" s="548"/>
      <c r="AM32" s="548"/>
      <c r="AN32" s="548"/>
      <c r="AO32" s="548"/>
    </row>
    <row r="33" spans="1:41" ht="18.75" customHeight="1" x14ac:dyDescent="0.3">
      <c r="A33" s="411" t="s">
        <v>331</v>
      </c>
      <c r="B33" s="430"/>
      <c r="C33" s="728"/>
      <c r="D33" s="442"/>
      <c r="E33" s="430"/>
      <c r="F33" s="431"/>
      <c r="G33" s="442"/>
      <c r="H33" s="430"/>
      <c r="I33" s="431"/>
      <c r="J33" s="442"/>
      <c r="K33" s="430"/>
      <c r="L33" s="431"/>
      <c r="M33" s="431"/>
      <c r="N33" s="430"/>
      <c r="O33" s="431"/>
      <c r="P33" s="442"/>
      <c r="Q33" s="430"/>
      <c r="R33" s="431"/>
      <c r="S33" s="442"/>
      <c r="T33" s="430"/>
      <c r="U33" s="431"/>
      <c r="V33" s="442"/>
      <c r="W33" s="430"/>
      <c r="X33" s="431"/>
      <c r="Y33" s="442"/>
      <c r="Z33" s="430"/>
      <c r="AA33" s="431"/>
      <c r="AB33" s="442"/>
      <c r="AC33" s="431"/>
      <c r="AD33" s="431"/>
      <c r="AE33" s="431"/>
      <c r="AF33" s="431">
        <f t="shared" si="11"/>
        <v>0</v>
      </c>
      <c r="AG33" s="431">
        <f t="shared" si="11"/>
        <v>0</v>
      </c>
      <c r="AH33" s="442" t="str">
        <f t="shared" si="13"/>
        <v xml:space="preserve">    ---- </v>
      </c>
      <c r="AI33" s="425">
        <f t="shared" si="12"/>
        <v>0</v>
      </c>
      <c r="AJ33" s="425">
        <f t="shared" si="12"/>
        <v>0</v>
      </c>
      <c r="AK33" s="442" t="str">
        <f t="shared" si="14"/>
        <v xml:space="preserve">    ---- </v>
      </c>
      <c r="AL33" s="545"/>
      <c r="AM33" s="545"/>
      <c r="AN33" s="545"/>
      <c r="AO33" s="545"/>
    </row>
    <row r="34" spans="1:41" ht="18.75" customHeight="1" x14ac:dyDescent="0.3">
      <c r="A34" s="411" t="s">
        <v>332</v>
      </c>
      <c r="B34" s="430">
        <v>27</v>
      </c>
      <c r="C34" s="728">
        <v>105.46</v>
      </c>
      <c r="D34" s="442">
        <f>IF(B34=0, "    ---- ", IF(ABS(ROUND(100/B34*C34-100,1))&lt;999,ROUND(100/B34*C34-100,1),IF(ROUND(100/B34*C34-100,1)&gt;999,999,-999)))</f>
        <v>290.60000000000002</v>
      </c>
      <c r="E34" s="430">
        <v>65.337643419999978</v>
      </c>
      <c r="F34" s="431">
        <v>24.65710117000005</v>
      </c>
      <c r="G34" s="442">
        <f>IF(E34=0, "    ---- ", IF(ABS(ROUND(100/E34*F34-100,1))&lt;999,ROUND(100/E34*F34-100,1),IF(ROUND(100/E34*F34-100,1)&gt;999,999,-999)))</f>
        <v>-62.3</v>
      </c>
      <c r="H34" s="430">
        <v>35.843000000000004</v>
      </c>
      <c r="I34" s="431">
        <v>44.18</v>
      </c>
      <c r="J34" s="442">
        <f t="shared" si="2"/>
        <v>23.3</v>
      </c>
      <c r="K34" s="430"/>
      <c r="L34" s="431"/>
      <c r="M34" s="431"/>
      <c r="N34" s="430"/>
      <c r="O34" s="431"/>
      <c r="P34" s="442"/>
      <c r="Q34" s="430">
        <v>80.146856969890052</v>
      </c>
      <c r="R34" s="431">
        <v>93.335443633953787</v>
      </c>
      <c r="S34" s="442">
        <f t="shared" si="10"/>
        <v>16.5</v>
      </c>
      <c r="T34" s="430"/>
      <c r="U34" s="431"/>
      <c r="V34" s="442"/>
      <c r="W34" s="430"/>
      <c r="X34" s="431"/>
      <c r="Y34" s="442"/>
      <c r="Z34" s="430">
        <v>17.39495095186367</v>
      </c>
      <c r="AA34" s="431">
        <v>68.424537759999893</v>
      </c>
      <c r="AB34" s="442">
        <f>IF(Z34=0, "    ---- ", IF(ABS(ROUND(100/Z34*AA34-100,1))&lt;999,ROUND(100/Z34*AA34-100,1),IF(ROUND(100/Z34*AA34-100,1)&gt;999,999,-999)))</f>
        <v>293.39999999999998</v>
      </c>
      <c r="AC34" s="431"/>
      <c r="AD34" s="431"/>
      <c r="AE34" s="431"/>
      <c r="AF34" s="431">
        <f t="shared" si="11"/>
        <v>225.7224513417537</v>
      </c>
      <c r="AG34" s="431">
        <f t="shared" si="11"/>
        <v>336.05708256395371</v>
      </c>
      <c r="AH34" s="442">
        <f t="shared" si="13"/>
        <v>48.9</v>
      </c>
      <c r="AI34" s="425">
        <f t="shared" si="12"/>
        <v>225.7224513417537</v>
      </c>
      <c r="AJ34" s="425">
        <f t="shared" si="12"/>
        <v>336.05708256395371</v>
      </c>
      <c r="AK34" s="442">
        <f t="shared" si="14"/>
        <v>48.9</v>
      </c>
      <c r="AL34" s="545"/>
      <c r="AM34" s="545"/>
      <c r="AN34" s="545"/>
      <c r="AO34" s="545"/>
    </row>
    <row r="35" spans="1:41" ht="18.75" customHeight="1" x14ac:dyDescent="0.3">
      <c r="A35" s="413"/>
      <c r="B35" s="434"/>
      <c r="C35" s="730"/>
      <c r="D35" s="438"/>
      <c r="E35" s="434"/>
      <c r="F35" s="435"/>
      <c r="G35" s="438"/>
      <c r="H35" s="434"/>
      <c r="I35" s="435"/>
      <c r="J35" s="438"/>
      <c r="K35" s="434"/>
      <c r="L35" s="435"/>
      <c r="M35" s="435"/>
      <c r="N35" s="434"/>
      <c r="O35" s="435"/>
      <c r="P35" s="438"/>
      <c r="Q35" s="434"/>
      <c r="R35" s="435"/>
      <c r="S35" s="438"/>
      <c r="T35" s="434"/>
      <c r="U35" s="435"/>
      <c r="V35" s="438"/>
      <c r="W35" s="434"/>
      <c r="X35" s="435"/>
      <c r="Y35" s="438"/>
      <c r="Z35" s="434"/>
      <c r="AA35" s="435"/>
      <c r="AB35" s="438"/>
      <c r="AC35" s="435"/>
      <c r="AD35" s="435"/>
      <c r="AE35" s="435"/>
      <c r="AF35" s="435"/>
      <c r="AG35" s="435"/>
      <c r="AH35" s="438"/>
      <c r="AI35" s="435"/>
      <c r="AJ35" s="435"/>
      <c r="AK35" s="438"/>
      <c r="AL35" s="545"/>
      <c r="AM35" s="545"/>
      <c r="AN35" s="545"/>
      <c r="AO35" s="545"/>
    </row>
    <row r="36" spans="1:41" ht="18.75" customHeight="1" x14ac:dyDescent="0.3">
      <c r="A36" s="540"/>
      <c r="B36" s="430"/>
      <c r="C36" s="430"/>
      <c r="D36" s="442"/>
      <c r="E36" s="430"/>
      <c r="F36" s="430"/>
      <c r="G36" s="442"/>
      <c r="H36" s="430"/>
      <c r="I36" s="430"/>
      <c r="J36" s="442"/>
      <c r="K36" s="430"/>
      <c r="L36" s="430"/>
      <c r="M36" s="431"/>
      <c r="N36" s="430"/>
      <c r="O36" s="430"/>
      <c r="P36" s="442"/>
      <c r="Q36" s="430"/>
      <c r="R36" s="430"/>
      <c r="S36" s="442"/>
      <c r="T36" s="430"/>
      <c r="U36" s="430"/>
      <c r="V36" s="442"/>
      <c r="W36" s="430"/>
      <c r="X36" s="430"/>
      <c r="Y36" s="442"/>
      <c r="Z36" s="430"/>
      <c r="AA36" s="430"/>
      <c r="AB36" s="442"/>
      <c r="AC36" s="431"/>
      <c r="AD36" s="431"/>
      <c r="AE36" s="431"/>
      <c r="AF36" s="431"/>
      <c r="AG36" s="431"/>
      <c r="AH36" s="442"/>
      <c r="AI36" s="431"/>
      <c r="AJ36" s="431"/>
      <c r="AK36" s="442"/>
      <c r="AL36" s="545"/>
      <c r="AM36" s="545"/>
      <c r="AN36" s="545"/>
      <c r="AO36" s="545"/>
    </row>
    <row r="37" spans="1:41" ht="18.75" customHeight="1" x14ac:dyDescent="0.3">
      <c r="A37" s="528" t="s">
        <v>357</v>
      </c>
      <c r="B37" s="430"/>
      <c r="C37" s="430"/>
      <c r="D37" s="442"/>
      <c r="E37" s="430"/>
      <c r="F37" s="430"/>
      <c r="G37" s="442"/>
      <c r="H37" s="430"/>
      <c r="I37" s="430"/>
      <c r="J37" s="442"/>
      <c r="K37" s="430"/>
      <c r="L37" s="430"/>
      <c r="M37" s="431"/>
      <c r="N37" s="430"/>
      <c r="O37" s="430"/>
      <c r="P37" s="442"/>
      <c r="Q37" s="430"/>
      <c r="R37" s="430"/>
      <c r="S37" s="442"/>
      <c r="T37" s="430"/>
      <c r="U37" s="430"/>
      <c r="V37" s="442"/>
      <c r="W37" s="430"/>
      <c r="X37" s="430"/>
      <c r="Y37" s="442"/>
      <c r="Z37" s="430"/>
      <c r="AA37" s="430"/>
      <c r="AB37" s="442"/>
      <c r="AC37" s="431"/>
      <c r="AD37" s="431"/>
      <c r="AE37" s="431"/>
      <c r="AF37" s="431"/>
      <c r="AG37" s="431"/>
      <c r="AH37" s="442"/>
      <c r="AI37" s="431"/>
      <c r="AJ37" s="431"/>
      <c r="AK37" s="442"/>
      <c r="AL37" s="545"/>
      <c r="AM37" s="545"/>
      <c r="AN37" s="545"/>
      <c r="AO37" s="545"/>
    </row>
    <row r="38" spans="1:41" ht="18.75" x14ac:dyDescent="0.3">
      <c r="A38" s="760" t="s">
        <v>492</v>
      </c>
      <c r="B38" s="431">
        <f>'Tabell 5.1'!B12+'Tabell 5.1'!B24+'Tabell 5.1'!B36+'Tabell 5.1'!B48+'Tabell 5.1'!B62+'Tabell 5.1'!B74+'Tabell 5.1'!B86+'Tabell 5.1'!B98+'Tabell 5.2'!B12+'Tabell 5.2'!B24+'Tabell 5.2'!B48+'Tabell 5.2'!B60+'Tabell 5.2'!B72+B12+B24+'Tabell 5.2'!B84+'Tabell 5.2'!B108+'Tabell 5.2'!B134+'Tabell 5.2'!B36+'Tabell 5.2'!B96+'Tabell 5.2'!B122</f>
        <v>17985</v>
      </c>
      <c r="C38" s="431">
        <f>'Tabell 5.1'!C12+'Tabell 5.1'!C24+'Tabell 5.1'!C36+'Tabell 5.1'!C48+'Tabell 5.1'!C62+'Tabell 5.1'!C74+'Tabell 5.1'!C86+'Tabell 5.1'!C98+'Tabell 5.2'!C12+'Tabell 5.2'!C24+'Tabell 5.2'!C48+'Tabell 5.2'!C60+'Tabell 5.2'!C72+C12+C24+'Tabell 5.2'!C84+'Tabell 5.2'!C108+'Tabell 5.2'!C134+'Tabell 5.2'!C36+'Tabell 5.2'!C96+'Tabell 5.2'!C122</f>
        <v>27248.658670000001</v>
      </c>
      <c r="D38" s="442">
        <f t="shared" ref="D38:D48" si="15">IF(B38=0, "    ---- ", IF(ABS(ROUND(100/B38*C38-100,1))&lt;999,ROUND(100/B38*C38-100,1),IF(ROUND(100/B38*C38-100,1)&gt;999,999,-999)))</f>
        <v>51.5</v>
      </c>
      <c r="E38" s="431">
        <f>'Tabell 5.1'!E12+'Tabell 5.1'!E24+'Tabell 5.1'!E36+'Tabell 5.1'!E48+'Tabell 5.1'!E62+'Tabell 5.1'!E74+'Tabell 5.1'!E86+'Tabell 5.1'!E98+'Tabell 5.2'!E12+'Tabell 5.2'!E24+'Tabell 5.2'!E48+'Tabell 5.2'!E60+'Tabell 5.2'!E72+E12+E24+'Tabell 5.2'!E84+'Tabell 5.2'!E108+'Tabell 5.2'!E134+'Tabell 5.2'!E36+'Tabell 5.2'!E96+'Tabell 5.2'!E122</f>
        <v>131.52001096999999</v>
      </c>
      <c r="F38" s="431">
        <f>'Tabell 5.1'!F12+'Tabell 5.1'!F24+'Tabell 5.1'!F36+'Tabell 5.1'!F48+'Tabell 5.1'!F62+'Tabell 5.1'!F74+'Tabell 5.1'!F86+'Tabell 5.1'!F98+'Tabell 5.2'!F12+'Tabell 5.2'!F24+'Tabell 5.2'!F48+'Tabell 5.2'!F60+'Tabell 5.2'!F72+F12+F24+'Tabell 5.2'!F84+'Tabell 5.2'!F108+'Tabell 5.2'!F134+'Tabell 5.2'!F36+'Tabell 5.2'!F96+'Tabell 5.2'!F122</f>
        <v>282.05706376000001</v>
      </c>
      <c r="G38" s="431">
        <f t="shared" ref="G38:G44" si="16">IF(E38=0, "    ---- ", IF(ABS(ROUND(100/E38*F38-100,1))&lt;999,ROUND(100/E38*F38-100,1),IF(ROUND(100/E38*F38-100,1)&gt;999,999,-999)))</f>
        <v>114.5</v>
      </c>
      <c r="H38" s="431">
        <f>'Tabell 5.1'!H12+'Tabell 5.1'!H24+'Tabell 5.1'!H36+'Tabell 5.1'!H48+'Tabell 5.1'!H62+'Tabell 5.1'!H74+'Tabell 5.1'!H86+'Tabell 5.1'!H98+'Tabell 5.2'!H12+'Tabell 5.2'!H24+'Tabell 5.2'!H48+'Tabell 5.2'!H60+'Tabell 5.2'!H72+H12+H24+'Tabell 5.2'!H84+'Tabell 5.2'!H108+'Tabell 5.2'!H134+'Tabell 5.2'!H36+'Tabell 5.2'!H96+'Tabell 5.2'!H122</f>
        <v>83.242000000000019</v>
      </c>
      <c r="I38" s="431">
        <f>'Tabell 5.1'!I12+'Tabell 5.1'!I24+'Tabell 5.1'!I36+'Tabell 5.1'!I48+'Tabell 5.1'!I62+'Tabell 5.1'!I74+'Tabell 5.1'!I86+'Tabell 5.1'!I98+'Tabell 5.2'!I12+'Tabell 5.2'!I24+'Tabell 5.2'!I48+'Tabell 5.2'!I60+'Tabell 5.2'!I72+I12+I24+'Tabell 5.2'!I84+'Tabell 5.2'!I108+'Tabell 5.2'!I134+'Tabell 5.2'!I36+'Tabell 5.2'!I96+'Tabell 5.2'!I122</f>
        <v>76.713999999999999</v>
      </c>
      <c r="J38" s="431">
        <f t="shared" ref="J38:J45" si="17">IF(H38=0, "    ---- ", IF(ABS(ROUND(100/H38*I38-100,1))&lt;999,ROUND(100/H38*I38-100,1),IF(ROUND(100/H38*I38-100,1)&gt;999,999,-999)))</f>
        <v>-7.8</v>
      </c>
      <c r="K38" s="431">
        <f>'Tabell 5.1'!K12+'Tabell 5.1'!K24+'Tabell 5.1'!K36+'Tabell 5.1'!K48+'Tabell 5.1'!K62+'Tabell 5.1'!K74+'Tabell 5.1'!K86+'Tabell 5.1'!K98+'Tabell 5.2'!K12+'Tabell 5.2'!K24+'Tabell 5.2'!K48+'Tabell 5.2'!K60+'Tabell 5.2'!K72+K12+K24+'Tabell 5.2'!K84+'Tabell 5.2'!K108+'Tabell 5.2'!K134+'Tabell 5.2'!K36+'Tabell 5.2'!K96+'Tabell 5.2'!K122</f>
        <v>-10</v>
      </c>
      <c r="L38" s="431">
        <f>'Tabell 5.1'!L12+'Tabell 5.1'!L24+'Tabell 5.1'!L36+'Tabell 5.1'!L48+'Tabell 5.1'!L62+'Tabell 5.1'!L74+'Tabell 5.1'!L86+'Tabell 5.1'!L98+'Tabell 5.2'!L12+'Tabell 5.2'!L24+'Tabell 5.2'!L48+'Tabell 5.2'!L60+'Tabell 5.2'!L72+L12+L24+'Tabell 5.2'!L84+'Tabell 5.2'!L108+'Tabell 5.2'!L134+'Tabell 5.2'!L36+'Tabell 5.2'!L96+'Tabell 5.2'!L122</f>
        <v>117</v>
      </c>
      <c r="M38" s="442">
        <f t="shared" ref="M38:M48" si="18">IF(K38=0, "    ---- ", IF(ABS(ROUND(100/K38*L38-100,1))&lt;999,ROUND(100/K38*L38-100,1),IF(ROUND(100/K38*L38-100,1)&gt;999,999,-999)))</f>
        <v>-999</v>
      </c>
      <c r="N38" s="431">
        <f>'Tabell 5.1'!N12+'Tabell 5.1'!N24+'Tabell 5.1'!N36+'Tabell 5.1'!N48+'Tabell 5.1'!N62+'Tabell 5.1'!N74+'Tabell 5.1'!N86+'Tabell 5.1'!N98+'Tabell 5.2'!N12+'Tabell 5.2'!N24+'Tabell 5.2'!N48+'Tabell 5.2'!N60+'Tabell 5.2'!N72+N12+N24+'Tabell 5.2'!N84+'Tabell 5.2'!N108+'Tabell 5.2'!N134+'Tabell 5.2'!N36+'Tabell 5.2'!N96+'Tabell 5.2'!N122</f>
        <v>29462.697861614477</v>
      </c>
      <c r="O38" s="431">
        <f>'Tabell 5.1'!O12+'Tabell 5.1'!O24+'Tabell 5.1'!O36+'Tabell 5.1'!O48+'Tabell 5.1'!O62+'Tabell 5.1'!O74+'Tabell 5.1'!O86+'Tabell 5.1'!O98+'Tabell 5.2'!O12+'Tabell 5.2'!O24+'Tabell 5.2'!O48+'Tabell 5.2'!O60+'Tabell 5.2'!O72+O12+O24+'Tabell 5.2'!O84+'Tabell 5.2'!O108+'Tabell 5.2'!O134+'Tabell 5.2'!O36+'Tabell 5.2'!O96+'Tabell 5.2'!O122</f>
        <v>51090.194876898255</v>
      </c>
      <c r="P38" s="442">
        <f t="shared" ref="P38:P48" si="19">IF(N38=0, "    ---- ", IF(ABS(ROUND(100/N38*O38-100,1))&lt;999,ROUND(100/N38*O38-100,1),IF(ROUND(100/N38*O38-100,1)&gt;999,999,-999)))</f>
        <v>73.400000000000006</v>
      </c>
      <c r="Q38" s="431">
        <f>'Tabell 5.1'!Q12+'Tabell 5.1'!Q24+'Tabell 5.1'!Q36+'Tabell 5.1'!Q48+'Tabell 5.1'!Q62+'Tabell 5.1'!Q74+'Tabell 5.1'!Q86+'Tabell 5.1'!Q98+'Tabell 5.2'!Q12+'Tabell 5.2'!Q24+'Tabell 5.2'!Q48+'Tabell 5.2'!Q60+'Tabell 5.2'!Q72+Q12+Q24+'Tabell 5.2'!Q84+'Tabell 5.2'!Q108+'Tabell 5.2'!Q134+'Tabell 5.2'!Q36+'Tabell 5.2'!Q96+'Tabell 5.2'!Q122</f>
        <v>-109.69987609291709</v>
      </c>
      <c r="R38" s="431">
        <f>'Tabell 5.1'!R12+'Tabell 5.1'!R24+'Tabell 5.1'!R36+'Tabell 5.1'!R48+'Tabell 5.1'!R62+'Tabell 5.1'!R74+'Tabell 5.1'!R86+'Tabell 5.1'!R98+'Tabell 5.2'!R12+'Tabell 5.2'!R24+'Tabell 5.2'!R48+'Tabell 5.2'!R60+'Tabell 5.2'!R72+R12+R24+'Tabell 5.2'!R84+'Tabell 5.2'!R108+'Tabell 5.2'!R134+'Tabell 5.2'!R36+'Tabell 5.2'!R96+'Tabell 5.2'!R122</f>
        <v>948.38982113812085</v>
      </c>
      <c r="S38" s="442">
        <f t="shared" ref="S38:S48" si="20">IF(Q38=0, "    ---- ", IF(ABS(ROUND(100/Q38*R38-100,1))&lt;999,ROUND(100/Q38*R38-100,1),IF(ROUND(100/Q38*R38-100,1)&gt;999,999,-999)))</f>
        <v>-964.5</v>
      </c>
      <c r="T38" s="431">
        <f>'Tabell 5.1'!T12+'Tabell 5.1'!T24+'Tabell 5.1'!T36+'Tabell 5.1'!T48+'Tabell 5.1'!T62+'Tabell 5.1'!T74+'Tabell 5.1'!T86+'Tabell 5.1'!T98+'Tabell 5.2'!T12+'Tabell 5.2'!T24+'Tabell 5.2'!T48+'Tabell 5.2'!T60+'Tabell 5.2'!T72+T12+T24+'Tabell 5.2'!T84+'Tabell 5.2'!T108+'Tabell 5.2'!T134+'Tabell 5.2'!T36+'Tabell 5.2'!T96+'Tabell 5.2'!T122</f>
        <v>543</v>
      </c>
      <c r="U38" s="431">
        <f>'Tabell 5.1'!U12+'Tabell 5.1'!U24+'Tabell 5.1'!U36+'Tabell 5.1'!U48+'Tabell 5.1'!U62+'Tabell 5.1'!U74+'Tabell 5.1'!U86+'Tabell 5.1'!U98+'Tabell 5.2'!U12+'Tabell 5.2'!U24+'Tabell 5.2'!U48+'Tabell 5.2'!U60+'Tabell 5.2'!U72+U12+U24+'Tabell 5.2'!U84+'Tabell 5.2'!U108+'Tabell 5.2'!U134+'Tabell 5.2'!U36+'Tabell 5.2'!U96+'Tabell 5.2'!U122</f>
        <v>899</v>
      </c>
      <c r="V38" s="431">
        <f t="shared" ref="V38:V48" si="21">IF(T38=0, "    ---- ", IF(ABS(ROUND(100/T38*U38-100,1))&lt;999,ROUND(100/T38*U38-100,1),IF(ROUND(100/T38*U38-100,1)&gt;999,999,-999)))</f>
        <v>65.599999999999994</v>
      </c>
      <c r="W38" s="431">
        <f>'Tabell 5.1'!W12+'Tabell 5.1'!W24+'Tabell 5.1'!W36+'Tabell 5.1'!W48+'Tabell 5.1'!W62+'Tabell 5.1'!W74+'Tabell 5.1'!W86+'Tabell 5.1'!W98+'Tabell 5.2'!W12+'Tabell 5.2'!W24+'Tabell 5.2'!W48+'Tabell 5.2'!W60+'Tabell 5.2'!W72+W12+W24+'Tabell 5.2'!W84+'Tabell 5.2'!W108+'Tabell 5.2'!W134+'Tabell 5.2'!W36+'Tabell 5.2'!W96+'Tabell 5.2'!W122</f>
        <v>-353</v>
      </c>
      <c r="X38" s="431">
        <f>'Tabell 5.1'!X12+'Tabell 5.1'!X24+'Tabell 5.1'!X36+'Tabell 5.1'!X48+'Tabell 5.1'!X62+'Tabell 5.1'!X74+'Tabell 5.1'!X86+'Tabell 5.1'!X98+'Tabell 5.2'!X12+'Tabell 5.2'!X24+'Tabell 5.2'!X48+'Tabell 5.2'!X60+'Tabell 5.2'!X72+X12+X24+'Tabell 5.2'!X84+'Tabell 5.2'!X108+'Tabell 5.2'!X134+'Tabell 5.2'!X36+'Tabell 5.2'!X96+'Tabell 5.2'!X122</f>
        <v>802</v>
      </c>
      <c r="Y38" s="442">
        <f t="shared" ref="Y38:Y48" si="22">IF(W38=0, "    ---- ", IF(ABS(ROUND(100/W38*X38-100,1))&lt;999,ROUND(100/W38*X38-100,1),IF(ROUND(100/W38*X38-100,1)&gt;999,999,-999)))</f>
        <v>-327.2</v>
      </c>
      <c r="Z38" s="431">
        <f>'Tabell 5.1'!Z12+'Tabell 5.1'!Z24+'Tabell 5.1'!Z36+'Tabell 5.1'!Z48+'Tabell 5.1'!Z62+'Tabell 5.1'!Z74+'Tabell 5.1'!Z86+'Tabell 5.1'!Z98+'Tabell 5.2'!Z12+'Tabell 5.2'!Z24+'Tabell 5.2'!Z48+'Tabell 5.2'!Z60+'Tabell 5.2'!Z72+Z12+Z24+'Tabell 5.2'!Z84+'Tabell 5.2'!Z108+'Tabell 5.2'!Z134+'Tabell 5.2'!Z36+'Tabell 5.2'!Z96+'Tabell 5.2'!Z122</f>
        <v>-1705.2942825221824</v>
      </c>
      <c r="AA38" s="431">
        <f>'Tabell 5.1'!AA12+'Tabell 5.1'!AA24+'Tabell 5.1'!AA36+'Tabell 5.1'!AA48+'Tabell 5.1'!AA62+'Tabell 5.1'!AA74+'Tabell 5.1'!AA86+'Tabell 5.1'!AA98+'Tabell 5.2'!AA12+'Tabell 5.2'!AA24+'Tabell 5.2'!AA48+'Tabell 5.2'!AA60+'Tabell 5.2'!AA72+AA12+AA24+'Tabell 5.2'!AA84+'Tabell 5.2'!AA108+'Tabell 5.2'!AA134+'Tabell 5.2'!AA36+'Tabell 5.2'!AA96+'Tabell 5.2'!AA122</f>
        <v>4689.9756847200133</v>
      </c>
      <c r="AB38" s="431">
        <f t="shared" ref="AB38:AB48" si="23">IF(Z38=0, "    ---- ", IF(ABS(ROUND(100/Z38*AA38-100,1))&lt;999,ROUND(100/Z38*AA38-100,1),IF(ROUND(100/Z38*AA38-100,1)&gt;999,999,-999)))</f>
        <v>-375</v>
      </c>
      <c r="AC38" s="431"/>
      <c r="AD38" s="431"/>
      <c r="AE38" s="431"/>
      <c r="AF38" s="431">
        <f t="shared" ref="AF38:AG48" si="24">B38+E38+H38+K38+N38+Q38+T38+W38+Z38</f>
        <v>46027.465713969374</v>
      </c>
      <c r="AG38" s="431">
        <f t="shared" si="24"/>
        <v>86153.99011651639</v>
      </c>
      <c r="AH38" s="442">
        <f t="shared" ref="AH38:AH48" si="25">IF(AF38=0, "    ---- ", IF(ABS(ROUND(100/AF38*AG38-100,1))&lt;999,ROUND(100/AF38*AG38-100,1),IF(ROUND(100/AF38*AG38-100,1)&gt;999,999,-999)))</f>
        <v>87.2</v>
      </c>
      <c r="AI38" s="431">
        <f>B38+E38+H38+K38+N38+Q38+T38+W38+Z38+AC38</f>
        <v>46027.465713969374</v>
      </c>
      <c r="AJ38" s="431">
        <f>C38+F38+I38+L38+O38+R38+U38+X38+AA38+AD38</f>
        <v>86153.99011651639</v>
      </c>
      <c r="AK38" s="442">
        <f>IF(AI38=0, "    ---- ", IF(ABS(ROUND(100/AI38*AJ38-100,1))&lt;999,ROUND(100/AI38*AJ38-100,1),IF(ROUND(100/AI38*AJ38-100,1)&gt;999,999,-999)))</f>
        <v>87.2</v>
      </c>
      <c r="AL38" s="576"/>
      <c r="AM38" s="545"/>
      <c r="AN38" s="545"/>
      <c r="AO38" s="545"/>
    </row>
    <row r="39" spans="1:41" ht="18.75" customHeight="1" x14ac:dyDescent="0.3">
      <c r="A39" s="411" t="s">
        <v>493</v>
      </c>
      <c r="B39" s="431">
        <f>'Tabell 5.1'!B13+'Tabell 5.1'!B25+'Tabell 5.1'!B37+'Tabell 5.1'!B49+'Tabell 5.1'!B63+'Tabell 5.1'!B75+'Tabell 5.1'!B87+'Tabell 5.1'!B99+'Tabell 5.2'!B13+'Tabell 5.2'!B25+'Tabell 5.2'!B49+'Tabell 5.2'!B61+'Tabell 5.2'!B73+B13+B25+'Tabell 5.2'!B85+'Tabell 5.2'!B109+'Tabell 5.2'!B135+'Tabell 5.2'!B37+'Tabell 5.2'!B97+'Tabell 5.2'!B123</f>
        <v>134</v>
      </c>
      <c r="C39" s="431">
        <f>'Tabell 5.1'!C13+'Tabell 5.1'!C25+'Tabell 5.1'!C37+'Tabell 5.1'!C49+'Tabell 5.1'!C63+'Tabell 5.1'!C75+'Tabell 5.1'!C87+'Tabell 5.1'!C99+'Tabell 5.2'!C13+'Tabell 5.2'!C25+'Tabell 5.2'!C49+'Tabell 5.2'!C61+'Tabell 5.2'!C73+C13+C25+'Tabell 5.2'!C85+'Tabell 5.2'!C109+'Tabell 5.2'!C135+'Tabell 5.2'!C37+'Tabell 5.2'!C97+'Tabell 5.2'!C123</f>
        <v>-1837.107</v>
      </c>
      <c r="D39" s="442">
        <f t="shared" si="15"/>
        <v>-999</v>
      </c>
      <c r="E39" s="431">
        <f>'Tabell 5.1'!E13+'Tabell 5.1'!E25+'Tabell 5.1'!E37+'Tabell 5.1'!E49+'Tabell 5.1'!E63+'Tabell 5.1'!E75+'Tabell 5.1'!E87+'Tabell 5.1'!E99+'Tabell 5.2'!E13+'Tabell 5.2'!E25+'Tabell 5.2'!E49+'Tabell 5.2'!E61+'Tabell 5.2'!E73+E13+E25+'Tabell 5.2'!E85+'Tabell 5.2'!E109+'Tabell 5.2'!E135+'Tabell 5.2'!E37+'Tabell 5.2'!E97+'Tabell 5.2'!E123</f>
        <v>0</v>
      </c>
      <c r="F39" s="431">
        <f>'Tabell 5.1'!F13+'Tabell 5.1'!F25+'Tabell 5.1'!F37+'Tabell 5.1'!F49+'Tabell 5.1'!F63+'Tabell 5.1'!F75+'Tabell 5.1'!F87+'Tabell 5.1'!F99+'Tabell 5.2'!F13+'Tabell 5.2'!F25+'Tabell 5.2'!F49+'Tabell 5.2'!F61+'Tabell 5.2'!F73+F13+F25+'Tabell 5.2'!F85+'Tabell 5.2'!F109+'Tabell 5.2'!F135+'Tabell 5.2'!F37+'Tabell 5.2'!F97+'Tabell 5.2'!F123</f>
        <v>0</v>
      </c>
      <c r="G39" s="442" t="str">
        <f t="shared" si="16"/>
        <v xml:space="preserve">    ---- </v>
      </c>
      <c r="H39" s="431">
        <f>'Tabell 5.1'!H13+'Tabell 5.1'!H25+'Tabell 5.1'!H37+'Tabell 5.1'!H49+'Tabell 5.1'!H63+'Tabell 5.1'!H75+'Tabell 5.1'!H87+'Tabell 5.1'!H99+'Tabell 5.2'!H13+'Tabell 5.2'!H25+'Tabell 5.2'!H49+'Tabell 5.2'!H61+'Tabell 5.2'!H73+H13+H25+'Tabell 5.2'!H85+'Tabell 5.2'!H109+'Tabell 5.2'!H135+'Tabell 5.2'!H37+'Tabell 5.2'!H97+'Tabell 5.2'!H123</f>
        <v>0</v>
      </c>
      <c r="I39" s="431">
        <f>'Tabell 5.1'!I13+'Tabell 5.1'!I25+'Tabell 5.1'!I37+'Tabell 5.1'!I49+'Tabell 5.1'!I63+'Tabell 5.1'!I75+'Tabell 5.1'!I87+'Tabell 5.1'!I99+'Tabell 5.2'!I13+'Tabell 5.2'!I25+'Tabell 5.2'!I49+'Tabell 5.2'!I61+'Tabell 5.2'!I73+I13+I25+'Tabell 5.2'!I85+'Tabell 5.2'!I109+'Tabell 5.2'!I135+'Tabell 5.2'!I37+'Tabell 5.2'!I97+'Tabell 5.2'!I123</f>
        <v>0</v>
      </c>
      <c r="J39" s="442" t="str">
        <f t="shared" si="17"/>
        <v xml:space="preserve">    ---- </v>
      </c>
      <c r="K39" s="431">
        <f>'Tabell 5.1'!K13+'Tabell 5.1'!K25+'Tabell 5.1'!K37+'Tabell 5.1'!K49+'Tabell 5.1'!K63+'Tabell 5.1'!K75+'Tabell 5.1'!K87+'Tabell 5.1'!K99+'Tabell 5.2'!K13+'Tabell 5.2'!K25+'Tabell 5.2'!K49+'Tabell 5.2'!K61+'Tabell 5.2'!K73+K13+K25+'Tabell 5.2'!K85+'Tabell 5.2'!K109+'Tabell 5.2'!K135+'Tabell 5.2'!K37+'Tabell 5.2'!K97+'Tabell 5.2'!K123</f>
        <v>0</v>
      </c>
      <c r="L39" s="431">
        <f>'Tabell 5.1'!L13+'Tabell 5.1'!L25+'Tabell 5.1'!L37+'Tabell 5.1'!L49+'Tabell 5.1'!L63+'Tabell 5.1'!L75+'Tabell 5.1'!L87+'Tabell 5.1'!L99+'Tabell 5.2'!L13+'Tabell 5.2'!L25+'Tabell 5.2'!L49+'Tabell 5.2'!L61+'Tabell 5.2'!L73+L13+L25+'Tabell 5.2'!L85+'Tabell 5.2'!L109+'Tabell 5.2'!L135+'Tabell 5.2'!L37+'Tabell 5.2'!L97+'Tabell 5.2'!L123</f>
        <v>0</v>
      </c>
      <c r="M39" s="442" t="str">
        <f t="shared" si="18"/>
        <v xml:space="preserve">    ---- </v>
      </c>
      <c r="N39" s="431">
        <f>'Tabell 5.1'!N13+'Tabell 5.1'!N25+'Tabell 5.1'!N37+'Tabell 5.1'!N49+'Tabell 5.1'!N63+'Tabell 5.1'!N75+'Tabell 5.1'!N87+'Tabell 5.1'!N99+'Tabell 5.2'!N13+'Tabell 5.2'!N25+'Tabell 5.2'!N49+'Tabell 5.2'!N61+'Tabell 5.2'!N73+N13+N25+'Tabell 5.2'!N85+'Tabell 5.2'!N109+'Tabell 5.2'!N135+'Tabell 5.2'!N37+'Tabell 5.2'!N97+'Tabell 5.2'!N123</f>
        <v>0</v>
      </c>
      <c r="O39" s="431">
        <f>'Tabell 5.1'!O13+'Tabell 5.1'!O25+'Tabell 5.1'!O37+'Tabell 5.1'!O49+'Tabell 5.1'!O63+'Tabell 5.1'!O75+'Tabell 5.1'!O87+'Tabell 5.1'!O99+'Tabell 5.2'!O13+'Tabell 5.2'!O25+'Tabell 5.2'!O49+'Tabell 5.2'!O61+'Tabell 5.2'!O73+O13+O25+'Tabell 5.2'!O85+'Tabell 5.2'!O109+'Tabell 5.2'!O135+'Tabell 5.2'!O37+'Tabell 5.2'!O97+'Tabell 5.2'!O123</f>
        <v>0</v>
      </c>
      <c r="P39" s="442" t="str">
        <f t="shared" si="19"/>
        <v xml:space="preserve">    ---- </v>
      </c>
      <c r="Q39" s="431">
        <f>'Tabell 5.1'!Q13+'Tabell 5.1'!Q25+'Tabell 5.1'!Q37+'Tabell 5.1'!Q49+'Tabell 5.1'!Q63+'Tabell 5.1'!Q75+'Tabell 5.1'!Q87+'Tabell 5.1'!Q99+'Tabell 5.2'!Q13+'Tabell 5.2'!Q25+'Tabell 5.2'!Q49+'Tabell 5.2'!Q61+'Tabell 5.2'!Q73+Q13+Q25+'Tabell 5.2'!Q85+'Tabell 5.2'!Q109+'Tabell 5.2'!Q135+'Tabell 5.2'!Q37+'Tabell 5.2'!Q97+'Tabell 5.2'!Q123</f>
        <v>184.46997793121528</v>
      </c>
      <c r="R39" s="431">
        <f>'Tabell 5.1'!R13+'Tabell 5.1'!R25+'Tabell 5.1'!R37+'Tabell 5.1'!R49+'Tabell 5.1'!R63+'Tabell 5.1'!R75+'Tabell 5.1'!R87+'Tabell 5.1'!R99+'Tabell 5.2'!R13+'Tabell 5.2'!R25+'Tabell 5.2'!R49+'Tabell 5.2'!R61+'Tabell 5.2'!R73+R13+R25+'Tabell 5.2'!R85+'Tabell 5.2'!R109+'Tabell 5.2'!R135+'Tabell 5.2'!R37+'Tabell 5.2'!R97+'Tabell 5.2'!R123</f>
        <v>-342.95208249457664</v>
      </c>
      <c r="S39" s="442">
        <f t="shared" si="20"/>
        <v>-285.89999999999998</v>
      </c>
      <c r="T39" s="431">
        <f>'Tabell 5.1'!T13+'Tabell 5.1'!T25+'Tabell 5.1'!T37+'Tabell 5.1'!T49+'Tabell 5.1'!T63+'Tabell 5.1'!T75+'Tabell 5.1'!T87+'Tabell 5.1'!T99+'Tabell 5.2'!T13+'Tabell 5.2'!T25+'Tabell 5.2'!T49+'Tabell 5.2'!T61+'Tabell 5.2'!T73+T13+T25+'Tabell 5.2'!T85+'Tabell 5.2'!T109+'Tabell 5.2'!T135+'Tabell 5.2'!T37+'Tabell 5.2'!T97+'Tabell 5.2'!T123</f>
        <v>0</v>
      </c>
      <c r="U39" s="431">
        <f>'Tabell 5.1'!U13+'Tabell 5.1'!U25+'Tabell 5.1'!U37+'Tabell 5.1'!U49+'Tabell 5.1'!U63+'Tabell 5.1'!U75+'Tabell 5.1'!U87+'Tabell 5.1'!U99+'Tabell 5.2'!U13+'Tabell 5.2'!U25+'Tabell 5.2'!U49+'Tabell 5.2'!U61+'Tabell 5.2'!U73+U13+U25+'Tabell 5.2'!U85+'Tabell 5.2'!U109+'Tabell 5.2'!U135+'Tabell 5.2'!U37+'Tabell 5.2'!U97+'Tabell 5.2'!U123</f>
        <v>0</v>
      </c>
      <c r="V39" s="442" t="str">
        <f t="shared" si="21"/>
        <v xml:space="preserve">    ---- </v>
      </c>
      <c r="W39" s="431">
        <f>'Tabell 5.1'!W13+'Tabell 5.1'!W25+'Tabell 5.1'!W37+'Tabell 5.1'!W49+'Tabell 5.1'!W63+'Tabell 5.1'!W75+'Tabell 5.1'!W87+'Tabell 5.1'!W99+'Tabell 5.2'!W13+'Tabell 5.2'!W25+'Tabell 5.2'!W49+'Tabell 5.2'!W61+'Tabell 5.2'!W73+W13+W25+'Tabell 5.2'!W85+'Tabell 5.2'!W109+'Tabell 5.2'!W135+'Tabell 5.2'!W37+'Tabell 5.2'!W97+'Tabell 5.2'!W123</f>
        <v>334</v>
      </c>
      <c r="X39" s="431">
        <f>'Tabell 5.1'!X13+'Tabell 5.1'!X25+'Tabell 5.1'!X37+'Tabell 5.1'!X49+'Tabell 5.1'!X63+'Tabell 5.1'!X75+'Tabell 5.1'!X87+'Tabell 5.1'!X99+'Tabell 5.2'!X13+'Tabell 5.2'!X25+'Tabell 5.2'!X49+'Tabell 5.2'!X61+'Tabell 5.2'!X73+X13+X25+'Tabell 5.2'!X85+'Tabell 5.2'!X109+'Tabell 5.2'!X135+'Tabell 5.2'!X37+'Tabell 5.2'!X97+'Tabell 5.2'!X123</f>
        <v>-410</v>
      </c>
      <c r="Y39" s="442">
        <f t="shared" si="22"/>
        <v>-222.8</v>
      </c>
      <c r="Z39" s="431">
        <f>'Tabell 5.1'!Z13+'Tabell 5.1'!Z25+'Tabell 5.1'!Z37+'Tabell 5.1'!Z49+'Tabell 5.1'!Z63+'Tabell 5.1'!Z75+'Tabell 5.1'!Z87+'Tabell 5.1'!Z99+'Tabell 5.2'!Z13+'Tabell 5.2'!Z25+'Tabell 5.2'!Z49+'Tabell 5.2'!Z61+'Tabell 5.2'!Z73+Z13+Z25+'Tabell 5.2'!Z85+'Tabell 5.2'!Z109+'Tabell 5.2'!Z135+'Tabell 5.2'!Z37+'Tabell 5.2'!Z97+'Tabell 5.2'!Z123</f>
        <v>1865.0465010000003</v>
      </c>
      <c r="AA39" s="431">
        <f>'Tabell 5.1'!AA13+'Tabell 5.1'!AA25+'Tabell 5.1'!AA37+'Tabell 5.1'!AA49+'Tabell 5.1'!AA63+'Tabell 5.1'!AA75+'Tabell 5.1'!AA87+'Tabell 5.1'!AA99+'Tabell 5.2'!AA13+'Tabell 5.2'!AA25+'Tabell 5.2'!AA49+'Tabell 5.2'!AA61+'Tabell 5.2'!AA73+AA13+AA25+'Tabell 5.2'!AA85+'Tabell 5.2'!AA109+'Tabell 5.2'!AA135+'Tabell 5.2'!AA37+'Tabell 5.2'!AA97+'Tabell 5.2'!AA123</f>
        <v>-2908.3144570000004</v>
      </c>
      <c r="AB39" s="442">
        <f t="shared" si="23"/>
        <v>-255.9</v>
      </c>
      <c r="AC39" s="431"/>
      <c r="AD39" s="431"/>
      <c r="AE39" s="442"/>
      <c r="AF39" s="431">
        <f t="shared" si="24"/>
        <v>2517.5164789312157</v>
      </c>
      <c r="AG39" s="431">
        <f t="shared" si="24"/>
        <v>-5498.373539494577</v>
      </c>
      <c r="AH39" s="442">
        <f t="shared" si="25"/>
        <v>-318.39999999999998</v>
      </c>
      <c r="AI39" s="431">
        <f t="shared" ref="AI39:AI48" si="26">B39+E39+H39+K39+N39+Q39+T39+W39+Z39+AC39</f>
        <v>2517.5164789312157</v>
      </c>
      <c r="AJ39" s="431">
        <f t="shared" ref="AJ39:AJ48" si="27">C39+F39+I39+L39+O39+R39+U39+X39+AA39+AD39</f>
        <v>-5498.373539494577</v>
      </c>
      <c r="AK39" s="442">
        <f t="shared" ref="AK39" si="28">IF(AI39=0, "    ---- ", IF(ABS(ROUND(100/AI39*AJ39-100,1))&lt;999,ROUND(100/AI39*AJ39-100,1),IF(ROUND(100/AI39*AJ39-100,1)&gt;999,999,-999)))</f>
        <v>-318.39999999999998</v>
      </c>
      <c r="AL39" s="576"/>
      <c r="AM39" s="545"/>
      <c r="AN39" s="545"/>
      <c r="AO39" s="545"/>
    </row>
    <row r="40" spans="1:41" ht="18.75" customHeight="1" x14ac:dyDescent="0.3">
      <c r="A40" s="411" t="s">
        <v>324</v>
      </c>
      <c r="B40" s="431">
        <f>'Tabell 5.1'!B14+'Tabell 5.1'!B26+'Tabell 5.1'!B38+'Tabell 5.1'!B50+'Tabell 5.1'!B64+'Tabell 5.1'!B76+'Tabell 5.1'!B88+'Tabell 5.1'!B100+'Tabell 5.2'!B14+'Tabell 5.2'!B26+'Tabell 5.2'!B50+'Tabell 5.2'!B62+'Tabell 5.2'!B74+B14+B26+'Tabell 5.2'!B86+'Tabell 5.2'!B110+'Tabell 5.2'!B136+'Tabell 5.2'!B38+'Tabell 5.2'!B98+'Tabell 5.2'!B124</f>
        <v>540</v>
      </c>
      <c r="C40" s="431">
        <f>'Tabell 5.1'!C14+'Tabell 5.1'!C26+'Tabell 5.1'!C38+'Tabell 5.1'!C50+'Tabell 5.1'!C64+'Tabell 5.1'!C76+'Tabell 5.1'!C88+'Tabell 5.1'!C100+'Tabell 5.2'!C14+'Tabell 5.2'!C26+'Tabell 5.2'!C50+'Tabell 5.2'!C62+'Tabell 5.2'!C74+C14+C26+'Tabell 5.2'!C86+'Tabell 5.2'!C110+'Tabell 5.2'!C136+'Tabell 5.2'!C38+'Tabell 5.2'!C98+'Tabell 5.2'!C124</f>
        <v>547.80251999999996</v>
      </c>
      <c r="D40" s="442">
        <f t="shared" si="15"/>
        <v>1.4</v>
      </c>
      <c r="E40" s="431">
        <f>'Tabell 5.1'!E14+'Tabell 5.1'!E26+'Tabell 5.1'!E38+'Tabell 5.1'!E50+'Tabell 5.1'!E64+'Tabell 5.1'!E76+'Tabell 5.1'!E88+'Tabell 5.1'!E100+'Tabell 5.2'!E14+'Tabell 5.2'!E26+'Tabell 5.2'!E50+'Tabell 5.2'!E62+'Tabell 5.2'!E74+E14+E26+'Tabell 5.2'!E86+'Tabell 5.2'!E110+'Tabell 5.2'!E136+'Tabell 5.2'!E38+'Tabell 5.2'!E98+'Tabell 5.2'!E124</f>
        <v>80.364824279999809</v>
      </c>
      <c r="F40" s="431">
        <f>'Tabell 5.1'!F14+'Tabell 5.1'!F26+'Tabell 5.1'!F38+'Tabell 5.1'!F50+'Tabell 5.1'!F64+'Tabell 5.1'!F76+'Tabell 5.1'!F88+'Tabell 5.1'!F100+'Tabell 5.2'!F14+'Tabell 5.2'!F26+'Tabell 5.2'!F50+'Tabell 5.2'!F62+'Tabell 5.2'!F74+F14+F26+'Tabell 5.2'!F86+'Tabell 5.2'!F110+'Tabell 5.2'!F136+'Tabell 5.2'!F38+'Tabell 5.2'!F98+'Tabell 5.2'!F124</f>
        <v>107.8983411799998</v>
      </c>
      <c r="G40" s="431">
        <f t="shared" si="16"/>
        <v>34.299999999999997</v>
      </c>
      <c r="H40" s="431">
        <f>'Tabell 5.1'!H14+'Tabell 5.1'!H26+'Tabell 5.1'!H38+'Tabell 5.1'!H50+'Tabell 5.1'!H64+'Tabell 5.1'!H76+'Tabell 5.1'!H88+'Tabell 5.1'!H100+'Tabell 5.2'!H14+'Tabell 5.2'!H26+'Tabell 5.2'!H50+'Tabell 5.2'!H62+'Tabell 5.2'!H74+H14+H26+'Tabell 5.2'!H86+'Tabell 5.2'!H110+'Tabell 5.2'!H136+'Tabell 5.2'!H38+'Tabell 5.2'!H98+'Tabell 5.2'!H124</f>
        <v>-51.283000000000001</v>
      </c>
      <c r="I40" s="431">
        <f>'Tabell 5.1'!I14+'Tabell 5.1'!I26+'Tabell 5.1'!I38+'Tabell 5.1'!I50+'Tabell 5.1'!I64+'Tabell 5.1'!I76+'Tabell 5.1'!I88+'Tabell 5.1'!I100+'Tabell 5.2'!I14+'Tabell 5.2'!I26+'Tabell 5.2'!I50+'Tabell 5.2'!I62+'Tabell 5.2'!I74+I14+I26+'Tabell 5.2'!I86+'Tabell 5.2'!I110+'Tabell 5.2'!I136+'Tabell 5.2'!I38+'Tabell 5.2'!I98+'Tabell 5.2'!I124</f>
        <v>-54.879000000000005</v>
      </c>
      <c r="J40" s="431">
        <f t="shared" si="17"/>
        <v>7</v>
      </c>
      <c r="K40" s="431">
        <f>'Tabell 5.1'!K14+'Tabell 5.1'!K26+'Tabell 5.1'!K38+'Tabell 5.1'!K50+'Tabell 5.1'!K64+'Tabell 5.1'!K76+'Tabell 5.1'!K88+'Tabell 5.1'!K100+'Tabell 5.2'!K14+'Tabell 5.2'!K26+'Tabell 5.2'!K50+'Tabell 5.2'!K62+'Tabell 5.2'!K74+K14+K26+'Tabell 5.2'!K86+'Tabell 5.2'!K110+'Tabell 5.2'!K136+'Tabell 5.2'!K38+'Tabell 5.2'!K98+'Tabell 5.2'!K124</f>
        <v>85</v>
      </c>
      <c r="L40" s="431">
        <f>'Tabell 5.1'!L14+'Tabell 5.1'!L26+'Tabell 5.1'!L38+'Tabell 5.1'!L50+'Tabell 5.1'!L64+'Tabell 5.1'!L76+'Tabell 5.1'!L88+'Tabell 5.1'!L100+'Tabell 5.2'!L14+'Tabell 5.2'!L26+'Tabell 5.2'!L50+'Tabell 5.2'!L62+'Tabell 5.2'!L74+L14+L26+'Tabell 5.2'!L86+'Tabell 5.2'!L110+'Tabell 5.2'!L136+'Tabell 5.2'!L38+'Tabell 5.2'!L98+'Tabell 5.2'!L124</f>
        <v>193</v>
      </c>
      <c r="M40" s="442">
        <f t="shared" si="18"/>
        <v>127.1</v>
      </c>
      <c r="N40" s="431">
        <f>'Tabell 5.1'!N14+'Tabell 5.1'!N26+'Tabell 5.1'!N38+'Tabell 5.1'!N50+'Tabell 5.1'!N64+'Tabell 5.1'!N76+'Tabell 5.1'!N88+'Tabell 5.1'!N100+'Tabell 5.2'!N14+'Tabell 5.2'!N26+'Tabell 5.2'!N50+'Tabell 5.2'!N62+'Tabell 5.2'!N74+N14+N26+'Tabell 5.2'!N86+'Tabell 5.2'!N110+'Tabell 5.2'!N136+'Tabell 5.2'!N38+'Tabell 5.2'!N98+'Tabell 5.2'!N124</f>
        <v>143.58459909999974</v>
      </c>
      <c r="O40" s="431">
        <f>'Tabell 5.1'!O14+'Tabell 5.1'!O26+'Tabell 5.1'!O38+'Tabell 5.1'!O50+'Tabell 5.1'!O64+'Tabell 5.1'!O76+'Tabell 5.1'!O88+'Tabell 5.1'!O100+'Tabell 5.2'!O14+'Tabell 5.2'!O26+'Tabell 5.2'!O50+'Tabell 5.2'!O62+'Tabell 5.2'!O74+O14+O26+'Tabell 5.2'!O86+'Tabell 5.2'!O110+'Tabell 5.2'!O136+'Tabell 5.2'!O38+'Tabell 5.2'!O98+'Tabell 5.2'!O124</f>
        <v>77.407267999999988</v>
      </c>
      <c r="P40" s="442">
        <f t="shared" si="19"/>
        <v>-46.1</v>
      </c>
      <c r="Q40" s="431">
        <f>'Tabell 5.1'!Q14+'Tabell 5.1'!Q26+'Tabell 5.1'!Q38+'Tabell 5.1'!Q50+'Tabell 5.1'!Q64+'Tabell 5.1'!Q76+'Tabell 5.1'!Q88+'Tabell 5.1'!Q100+'Tabell 5.2'!Q14+'Tabell 5.2'!Q26+'Tabell 5.2'!Q50+'Tabell 5.2'!Q62+'Tabell 5.2'!Q74+Q14+Q26+'Tabell 5.2'!Q86+'Tabell 5.2'!Q110+'Tabell 5.2'!Q136+'Tabell 5.2'!Q38+'Tabell 5.2'!Q98+'Tabell 5.2'!Q124</f>
        <v>612.48084400465223</v>
      </c>
      <c r="R40" s="431">
        <f>'Tabell 5.1'!R14+'Tabell 5.1'!R26+'Tabell 5.1'!R38+'Tabell 5.1'!R50+'Tabell 5.1'!R64+'Tabell 5.1'!R76+'Tabell 5.1'!R88+'Tabell 5.1'!R100+'Tabell 5.2'!R14+'Tabell 5.2'!R26+'Tabell 5.2'!R50+'Tabell 5.2'!R62+'Tabell 5.2'!R74+R14+R26+'Tabell 5.2'!R86+'Tabell 5.2'!R110+'Tabell 5.2'!R136+'Tabell 5.2'!R38+'Tabell 5.2'!R98+'Tabell 5.2'!R124</f>
        <v>859.01855467029998</v>
      </c>
      <c r="S40" s="442">
        <f t="shared" si="20"/>
        <v>40.299999999999997</v>
      </c>
      <c r="T40" s="431">
        <f>'Tabell 5.1'!T14+'Tabell 5.1'!T26+'Tabell 5.1'!T38+'Tabell 5.1'!T50+'Tabell 5.1'!T64+'Tabell 5.1'!T76+'Tabell 5.1'!T88+'Tabell 5.1'!T100+'Tabell 5.2'!T14+'Tabell 5.2'!T26+'Tabell 5.2'!T50+'Tabell 5.2'!T62+'Tabell 5.2'!T74+T14+T26+'Tabell 5.2'!T86+'Tabell 5.2'!T110+'Tabell 5.2'!T136+'Tabell 5.2'!T38+'Tabell 5.2'!T98+'Tabell 5.2'!T124</f>
        <v>-48</v>
      </c>
      <c r="U40" s="431">
        <f>'Tabell 5.1'!U14+'Tabell 5.1'!U26+'Tabell 5.1'!U38+'Tabell 5.1'!U50+'Tabell 5.1'!U64+'Tabell 5.1'!U76+'Tabell 5.1'!U88+'Tabell 5.1'!U100+'Tabell 5.2'!U14+'Tabell 5.2'!U26+'Tabell 5.2'!U50+'Tabell 5.2'!U62+'Tabell 5.2'!U74+U14+U26+'Tabell 5.2'!U86+'Tabell 5.2'!U110+'Tabell 5.2'!U136+'Tabell 5.2'!U38+'Tabell 5.2'!U98+'Tabell 5.2'!U124</f>
        <v>12</v>
      </c>
      <c r="V40" s="431">
        <f t="shared" si="21"/>
        <v>-125</v>
      </c>
      <c r="W40" s="431">
        <f>'Tabell 5.1'!W14+'Tabell 5.1'!W26+'Tabell 5.1'!W38+'Tabell 5.1'!W50+'Tabell 5.1'!W64+'Tabell 5.1'!W76+'Tabell 5.1'!W88+'Tabell 5.1'!W100+'Tabell 5.2'!W14+'Tabell 5.2'!W26+'Tabell 5.2'!W50+'Tabell 5.2'!W62+'Tabell 5.2'!W74+W14+W26+'Tabell 5.2'!W86+'Tabell 5.2'!W110+'Tabell 5.2'!W136+'Tabell 5.2'!W38+'Tabell 5.2'!W98+'Tabell 5.2'!W124</f>
        <v>-107</v>
      </c>
      <c r="X40" s="431">
        <f>'Tabell 5.1'!X14+'Tabell 5.1'!X26+'Tabell 5.1'!X38+'Tabell 5.1'!X50+'Tabell 5.1'!X64+'Tabell 5.1'!X76+'Tabell 5.1'!X88+'Tabell 5.1'!X100+'Tabell 5.2'!X14+'Tabell 5.2'!X26+'Tabell 5.2'!X50+'Tabell 5.2'!X62+'Tabell 5.2'!X74+X14+X26+'Tabell 5.2'!X86+'Tabell 5.2'!X110+'Tabell 5.2'!X136+'Tabell 5.2'!X38+'Tabell 5.2'!X98+'Tabell 5.2'!X124</f>
        <v>-71</v>
      </c>
      <c r="Y40" s="442">
        <f t="shared" si="22"/>
        <v>-33.6</v>
      </c>
      <c r="Z40" s="431">
        <f>'Tabell 5.1'!Z14+'Tabell 5.1'!Z26+'Tabell 5.1'!Z38+'Tabell 5.1'!Z50+'Tabell 5.1'!Z64+'Tabell 5.1'!Z76+'Tabell 5.1'!Z88+'Tabell 5.1'!Z100+'Tabell 5.2'!Z14+'Tabell 5.2'!Z26+'Tabell 5.2'!Z50+'Tabell 5.2'!Z62+'Tabell 5.2'!Z74+Z14+Z26+'Tabell 5.2'!Z86+'Tabell 5.2'!Z110+'Tabell 5.2'!Z136+'Tabell 5.2'!Z38+'Tabell 5.2'!Z98+'Tabell 5.2'!Z124</f>
        <v>449.43805229366183</v>
      </c>
      <c r="AA40" s="431">
        <f>'Tabell 5.1'!AA14+'Tabell 5.1'!AA26+'Tabell 5.1'!AA38+'Tabell 5.1'!AA50+'Tabell 5.1'!AA64+'Tabell 5.1'!AA76+'Tabell 5.1'!AA88+'Tabell 5.1'!AA100+'Tabell 5.2'!AA14+'Tabell 5.2'!AA26+'Tabell 5.2'!AA50+'Tabell 5.2'!AA62+'Tabell 5.2'!AA74+AA14+AA26+'Tabell 5.2'!AA86+'Tabell 5.2'!AA110+'Tabell 5.2'!AA136+'Tabell 5.2'!AA38+'Tabell 5.2'!AA98+'Tabell 5.2'!AA124</f>
        <v>686.06175942999994</v>
      </c>
      <c r="AB40" s="431">
        <f t="shared" si="23"/>
        <v>52.6</v>
      </c>
      <c r="AC40" s="431"/>
      <c r="AD40" s="431"/>
      <c r="AE40" s="431"/>
      <c r="AF40" s="431">
        <f t="shared" si="24"/>
        <v>1704.5853196783137</v>
      </c>
      <c r="AG40" s="431">
        <f t="shared" si="24"/>
        <v>2357.3094432803</v>
      </c>
      <c r="AH40" s="442">
        <f t="shared" si="25"/>
        <v>38.299999999999997</v>
      </c>
      <c r="AI40" s="431">
        <f t="shared" si="26"/>
        <v>1704.5853196783137</v>
      </c>
      <c r="AJ40" s="431">
        <f t="shared" si="27"/>
        <v>2357.3094432803</v>
      </c>
      <c r="AK40" s="442">
        <f>IF(AI40=0, "    ---- ", IF(ABS(ROUND(100/AI40*AJ40-100,1))&lt;999,ROUND(100/AI40*AJ40-100,1),IF(ROUND(100/AI40*AJ40-100,1)&gt;999,999,-999)))</f>
        <v>38.299999999999997</v>
      </c>
      <c r="AL40" s="576"/>
      <c r="AM40" s="545"/>
      <c r="AN40" s="545"/>
      <c r="AO40" s="545"/>
    </row>
    <row r="41" spans="1:41" ht="18.75" customHeight="1" x14ac:dyDescent="0.3">
      <c r="A41" s="411" t="s">
        <v>325</v>
      </c>
      <c r="B41" s="431">
        <f>'Tabell 5.1'!B15+'Tabell 5.1'!B27+'Tabell 5.1'!B39+'Tabell 5.1'!B51+'Tabell 5.1'!B65+'Tabell 5.1'!B77+'Tabell 5.1'!B89+'Tabell 5.1'!B101+'Tabell 5.2'!B15+'Tabell 5.2'!B27+'Tabell 5.2'!B51+'Tabell 5.2'!B63+'Tabell 5.2'!B75+B15+B27+'Tabell 5.2'!B87+'Tabell 5.2'!B111+'Tabell 5.2'!B137+'Tabell 5.2'!B39+'Tabell 5.2'!B99+'Tabell 5.2'!B125</f>
        <v>19</v>
      </c>
      <c r="C41" s="431">
        <f>'Tabell 5.1'!C15+'Tabell 5.1'!C27+'Tabell 5.1'!C39+'Tabell 5.1'!C51+'Tabell 5.1'!C65+'Tabell 5.1'!C77+'Tabell 5.1'!C89+'Tabell 5.1'!C101+'Tabell 5.2'!C15+'Tabell 5.2'!C27+'Tabell 5.2'!C51+'Tabell 5.2'!C63+'Tabell 5.2'!C75+C15+C27+'Tabell 5.2'!C87+'Tabell 5.2'!C111+'Tabell 5.2'!C137+'Tabell 5.2'!C39+'Tabell 5.2'!C99+'Tabell 5.2'!C125</f>
        <v>19</v>
      </c>
      <c r="D41" s="442">
        <f t="shared" si="15"/>
        <v>0</v>
      </c>
      <c r="E41" s="431">
        <f>'Tabell 5.1'!E15+'Tabell 5.1'!E27+'Tabell 5.1'!E39+'Tabell 5.1'!E51+'Tabell 5.1'!E65+'Tabell 5.1'!E77+'Tabell 5.1'!E89+'Tabell 5.1'!E101+'Tabell 5.2'!E15+'Tabell 5.2'!E27+'Tabell 5.2'!E51+'Tabell 5.2'!E63+'Tabell 5.2'!E75+E15+E27+'Tabell 5.2'!E87+'Tabell 5.2'!E111+'Tabell 5.2'!E137+'Tabell 5.2'!E39+'Tabell 5.2'!E99+'Tabell 5.2'!E125</f>
        <v>0</v>
      </c>
      <c r="F41" s="431">
        <f>'Tabell 5.1'!F15+'Tabell 5.1'!F27+'Tabell 5.1'!F39+'Tabell 5.1'!F51+'Tabell 5.1'!F65+'Tabell 5.1'!F77+'Tabell 5.1'!F89+'Tabell 5.1'!F101+'Tabell 5.2'!F15+'Tabell 5.2'!F27+'Tabell 5.2'!F51+'Tabell 5.2'!F63+'Tabell 5.2'!F75+F15+F27+'Tabell 5.2'!F87+'Tabell 5.2'!F111+'Tabell 5.2'!F137+'Tabell 5.2'!F39+'Tabell 5.2'!F99+'Tabell 5.2'!F125</f>
        <v>0</v>
      </c>
      <c r="G41" s="431" t="str">
        <f t="shared" si="16"/>
        <v xml:space="preserve">    ---- </v>
      </c>
      <c r="H41" s="431">
        <f>'Tabell 5.1'!H15+'Tabell 5.1'!H27+'Tabell 5.1'!H39+'Tabell 5.1'!H51+'Tabell 5.1'!H65+'Tabell 5.1'!H77+'Tabell 5.1'!H89+'Tabell 5.1'!H101+'Tabell 5.2'!H15+'Tabell 5.2'!H27+'Tabell 5.2'!H51+'Tabell 5.2'!H63+'Tabell 5.2'!H75+H15+H27+'Tabell 5.2'!H87+'Tabell 5.2'!H111+'Tabell 5.2'!H137+'Tabell 5.2'!H39+'Tabell 5.2'!H99+'Tabell 5.2'!H125</f>
        <v>0</v>
      </c>
      <c r="I41" s="431">
        <f>'Tabell 5.1'!I15+'Tabell 5.1'!I27+'Tabell 5.1'!I39+'Tabell 5.1'!I51+'Tabell 5.1'!I65+'Tabell 5.1'!I77+'Tabell 5.1'!I89+'Tabell 5.1'!I101+'Tabell 5.2'!I15+'Tabell 5.2'!I27+'Tabell 5.2'!I51+'Tabell 5.2'!I63+'Tabell 5.2'!I75+I15+I27+'Tabell 5.2'!I87+'Tabell 5.2'!I111+'Tabell 5.2'!I137+'Tabell 5.2'!I39+'Tabell 5.2'!I99+'Tabell 5.2'!I125</f>
        <v>0</v>
      </c>
      <c r="J41" s="431" t="str">
        <f t="shared" si="17"/>
        <v xml:space="preserve">    ---- </v>
      </c>
      <c r="K41" s="431">
        <f>'Tabell 5.1'!K15+'Tabell 5.1'!K27+'Tabell 5.1'!K39+'Tabell 5.1'!K51+'Tabell 5.1'!K65+'Tabell 5.1'!K77+'Tabell 5.1'!K89+'Tabell 5.1'!K101+'Tabell 5.2'!K15+'Tabell 5.2'!K27+'Tabell 5.2'!K51+'Tabell 5.2'!K63+'Tabell 5.2'!K75+K15+K27+'Tabell 5.2'!K87+'Tabell 5.2'!K111+'Tabell 5.2'!K137+'Tabell 5.2'!K39+'Tabell 5.2'!K99+'Tabell 5.2'!K125</f>
        <v>4</v>
      </c>
      <c r="L41" s="431">
        <f>'Tabell 5.1'!L15+'Tabell 5.1'!L27+'Tabell 5.1'!L39+'Tabell 5.1'!L51+'Tabell 5.1'!L65+'Tabell 5.1'!L77+'Tabell 5.1'!L89+'Tabell 5.1'!L101+'Tabell 5.2'!L15+'Tabell 5.2'!L27+'Tabell 5.2'!L51+'Tabell 5.2'!L63+'Tabell 5.2'!L75+L15+L27+'Tabell 5.2'!L87+'Tabell 5.2'!L111+'Tabell 5.2'!L137+'Tabell 5.2'!L39+'Tabell 5.2'!L99+'Tabell 5.2'!L125</f>
        <v>4</v>
      </c>
      <c r="M41" s="442">
        <f t="shared" si="18"/>
        <v>0</v>
      </c>
      <c r="N41" s="431">
        <f>'Tabell 5.1'!N15+'Tabell 5.1'!N27+'Tabell 5.1'!N39+'Tabell 5.1'!N51+'Tabell 5.1'!N65+'Tabell 5.1'!N77+'Tabell 5.1'!N89+'Tabell 5.1'!N101+'Tabell 5.2'!N15+'Tabell 5.2'!N27+'Tabell 5.2'!N51+'Tabell 5.2'!N63+'Tabell 5.2'!N75+N15+N27+'Tabell 5.2'!N87+'Tabell 5.2'!N111+'Tabell 5.2'!N137+'Tabell 5.2'!N39+'Tabell 5.2'!N99+'Tabell 5.2'!N125</f>
        <v>0</v>
      </c>
      <c r="O41" s="431">
        <f>'Tabell 5.1'!O15+'Tabell 5.1'!O27+'Tabell 5.1'!O39+'Tabell 5.1'!O51+'Tabell 5.1'!O65+'Tabell 5.1'!O77+'Tabell 5.1'!O89+'Tabell 5.1'!O101+'Tabell 5.2'!O15+'Tabell 5.2'!O27+'Tabell 5.2'!O51+'Tabell 5.2'!O63+'Tabell 5.2'!O75+O15+O27+'Tabell 5.2'!O87+'Tabell 5.2'!O111+'Tabell 5.2'!O137+'Tabell 5.2'!O39+'Tabell 5.2'!O99+'Tabell 5.2'!O125</f>
        <v>0</v>
      </c>
      <c r="P41" s="442" t="str">
        <f t="shared" si="19"/>
        <v xml:space="preserve">    ---- </v>
      </c>
      <c r="Q41" s="431">
        <f>'Tabell 5.1'!Q15+'Tabell 5.1'!Q27+'Tabell 5.1'!Q39+'Tabell 5.1'!Q51+'Tabell 5.1'!Q65+'Tabell 5.1'!Q77+'Tabell 5.1'!Q89+'Tabell 5.1'!Q101+'Tabell 5.2'!Q15+'Tabell 5.2'!Q27+'Tabell 5.2'!Q51+'Tabell 5.2'!Q63+'Tabell 5.2'!Q75+Q15+Q27+'Tabell 5.2'!Q87+'Tabell 5.2'!Q111+'Tabell 5.2'!Q137+'Tabell 5.2'!Q39+'Tabell 5.2'!Q99+'Tabell 5.2'!Q125</f>
        <v>0.46169620000000006</v>
      </c>
      <c r="R41" s="431">
        <f>'Tabell 5.1'!R15+'Tabell 5.1'!R27+'Tabell 5.1'!R39+'Tabell 5.1'!R51+'Tabell 5.1'!R65+'Tabell 5.1'!R77+'Tabell 5.1'!R89+'Tabell 5.1'!R101+'Tabell 5.2'!R15+'Tabell 5.2'!R27+'Tabell 5.2'!R51+'Tabell 5.2'!R63+'Tabell 5.2'!R75+R15+R27+'Tabell 5.2'!R87+'Tabell 5.2'!R111+'Tabell 5.2'!R137+'Tabell 5.2'!R39+'Tabell 5.2'!R99+'Tabell 5.2'!R125</f>
        <v>0.37310280000000007</v>
      </c>
      <c r="S41" s="442">
        <f t="shared" si="20"/>
        <v>-19.2</v>
      </c>
      <c r="T41" s="431">
        <f>'Tabell 5.1'!T15+'Tabell 5.1'!T27+'Tabell 5.1'!T39+'Tabell 5.1'!T51+'Tabell 5.1'!T65+'Tabell 5.1'!T77+'Tabell 5.1'!T89+'Tabell 5.1'!T101+'Tabell 5.2'!T15+'Tabell 5.2'!T27+'Tabell 5.2'!T51+'Tabell 5.2'!T63+'Tabell 5.2'!T75+T15+T27+'Tabell 5.2'!T87+'Tabell 5.2'!T111+'Tabell 5.2'!T137+'Tabell 5.2'!T39+'Tabell 5.2'!T99+'Tabell 5.2'!T125</f>
        <v>0</v>
      </c>
      <c r="U41" s="431">
        <f>'Tabell 5.1'!U15+'Tabell 5.1'!U27+'Tabell 5.1'!U39+'Tabell 5.1'!U51+'Tabell 5.1'!U65+'Tabell 5.1'!U77+'Tabell 5.1'!U89+'Tabell 5.1'!U101+'Tabell 5.2'!U15+'Tabell 5.2'!U27+'Tabell 5.2'!U51+'Tabell 5.2'!U63+'Tabell 5.2'!U75+U15+U27+'Tabell 5.2'!U87+'Tabell 5.2'!U111+'Tabell 5.2'!U137+'Tabell 5.2'!U39+'Tabell 5.2'!U99+'Tabell 5.2'!U125</f>
        <v>0</v>
      </c>
      <c r="V41" s="431" t="str">
        <f t="shared" si="21"/>
        <v xml:space="preserve">    ---- </v>
      </c>
      <c r="W41" s="431">
        <f>'Tabell 5.1'!W15+'Tabell 5.1'!W27+'Tabell 5.1'!W39+'Tabell 5.1'!W51+'Tabell 5.1'!W65+'Tabell 5.1'!W77+'Tabell 5.1'!W89+'Tabell 5.1'!W101+'Tabell 5.2'!W15+'Tabell 5.2'!W27+'Tabell 5.2'!W51+'Tabell 5.2'!W63+'Tabell 5.2'!W75+W15+W27+'Tabell 5.2'!W87+'Tabell 5.2'!W111+'Tabell 5.2'!W137+'Tabell 5.2'!W39+'Tabell 5.2'!W99+'Tabell 5.2'!W125</f>
        <v>0</v>
      </c>
      <c r="X41" s="431">
        <f>'Tabell 5.1'!X15+'Tabell 5.1'!X27+'Tabell 5.1'!X39+'Tabell 5.1'!X51+'Tabell 5.1'!X65+'Tabell 5.1'!X77+'Tabell 5.1'!X89+'Tabell 5.1'!X101+'Tabell 5.2'!X15+'Tabell 5.2'!X27+'Tabell 5.2'!X51+'Tabell 5.2'!X63+'Tabell 5.2'!X75+X15+X27+'Tabell 5.2'!X87+'Tabell 5.2'!X111+'Tabell 5.2'!X137+'Tabell 5.2'!X39+'Tabell 5.2'!X99+'Tabell 5.2'!X125</f>
        <v>0</v>
      </c>
      <c r="Y41" s="442" t="str">
        <f t="shared" si="22"/>
        <v xml:space="preserve">    ---- </v>
      </c>
      <c r="Z41" s="431">
        <f>'Tabell 5.1'!Z15+'Tabell 5.1'!Z27+'Tabell 5.1'!Z39+'Tabell 5.1'!Z51+'Tabell 5.1'!Z65+'Tabell 5.1'!Z77+'Tabell 5.1'!Z89+'Tabell 5.1'!Z101+'Tabell 5.2'!Z15+'Tabell 5.2'!Z27+'Tabell 5.2'!Z51+'Tabell 5.2'!Z63+'Tabell 5.2'!Z75+Z15+Z27+'Tabell 5.2'!Z87+'Tabell 5.2'!Z111+'Tabell 5.2'!Z137+'Tabell 5.2'!Z39+'Tabell 5.2'!Z99+'Tabell 5.2'!Z125</f>
        <v>48.941294570000004</v>
      </c>
      <c r="AA41" s="431">
        <f>'Tabell 5.1'!AA15+'Tabell 5.1'!AA27+'Tabell 5.1'!AA39+'Tabell 5.1'!AA51+'Tabell 5.1'!AA65+'Tabell 5.1'!AA77+'Tabell 5.1'!AA89+'Tabell 5.1'!AA101+'Tabell 5.2'!AA15+'Tabell 5.2'!AA27+'Tabell 5.2'!AA51+'Tabell 5.2'!AA63+'Tabell 5.2'!AA75+AA15+AA27+'Tabell 5.2'!AA87+'Tabell 5.2'!AA111+'Tabell 5.2'!AA137+'Tabell 5.2'!AA39+'Tabell 5.2'!AA99+'Tabell 5.2'!AA125</f>
        <v>52.141342000000002</v>
      </c>
      <c r="AB41" s="431">
        <f t="shared" si="23"/>
        <v>6.5</v>
      </c>
      <c r="AC41" s="431"/>
      <c r="AD41" s="431"/>
      <c r="AE41" s="431"/>
      <c r="AF41" s="431">
        <f t="shared" si="24"/>
        <v>72.402990770000002</v>
      </c>
      <c r="AG41" s="431">
        <f t="shared" si="24"/>
        <v>75.514444800000007</v>
      </c>
      <c r="AH41" s="442">
        <f t="shared" si="25"/>
        <v>4.3</v>
      </c>
      <c r="AI41" s="431">
        <f t="shared" si="26"/>
        <v>72.402990770000002</v>
      </c>
      <c r="AJ41" s="431">
        <f t="shared" si="27"/>
        <v>75.514444800000007</v>
      </c>
      <c r="AK41" s="442"/>
      <c r="AL41" s="576"/>
      <c r="AM41" s="545"/>
      <c r="AN41" s="545"/>
      <c r="AO41" s="545"/>
    </row>
    <row r="42" spans="1:41" ht="18.75" customHeight="1" x14ac:dyDescent="0.3">
      <c r="A42" s="411" t="s">
        <v>326</v>
      </c>
      <c r="B42" s="431">
        <f>'Tabell 5.1'!B16+'Tabell 5.1'!B28+'Tabell 5.1'!B40+'Tabell 5.1'!B52+'Tabell 5.1'!B66+'Tabell 5.1'!B78+'Tabell 5.1'!B90+'Tabell 5.1'!B102+'Tabell 5.2'!B16+'Tabell 5.2'!B28+'Tabell 5.2'!B52+'Tabell 5.2'!B64+'Tabell 5.2'!B76+B16+B28+'Tabell 5.2'!B88+'Tabell 5.2'!B112+'Tabell 5.2'!B138+'Tabell 5.2'!B40+'Tabell 5.2'!B100+'Tabell 5.2'!B126</f>
        <v>155</v>
      </c>
      <c r="C42" s="431">
        <f>'Tabell 5.1'!C16+'Tabell 5.1'!C28+'Tabell 5.1'!C40+'Tabell 5.1'!C52+'Tabell 5.1'!C66+'Tabell 5.1'!C78+'Tabell 5.1'!C90+'Tabell 5.1'!C102+'Tabell 5.2'!C16+'Tabell 5.2'!C28+'Tabell 5.2'!C52+'Tabell 5.2'!C64+'Tabell 5.2'!C76+C16+C28+'Tabell 5.2'!C88+'Tabell 5.2'!C112+'Tabell 5.2'!C138+'Tabell 5.2'!C40+'Tabell 5.2'!C100+'Tabell 5.2'!C126</f>
        <v>151</v>
      </c>
      <c r="D42" s="442">
        <f t="shared" si="15"/>
        <v>-2.6</v>
      </c>
      <c r="E42" s="431">
        <f>'Tabell 5.1'!E16+'Tabell 5.1'!E28+'Tabell 5.1'!E40+'Tabell 5.1'!E52+'Tabell 5.1'!E66+'Tabell 5.1'!E78+'Tabell 5.1'!E90+'Tabell 5.1'!E102+'Tabell 5.2'!E16+'Tabell 5.2'!E28+'Tabell 5.2'!E52+'Tabell 5.2'!E64+'Tabell 5.2'!E76+E16+E28+'Tabell 5.2'!E88+'Tabell 5.2'!E112+'Tabell 5.2'!E138+'Tabell 5.2'!E40+'Tabell 5.2'!E100+'Tabell 5.2'!E126</f>
        <v>0</v>
      </c>
      <c r="F42" s="431">
        <f>'Tabell 5.1'!F16+'Tabell 5.1'!F28+'Tabell 5.1'!F40+'Tabell 5.1'!F52+'Tabell 5.1'!F66+'Tabell 5.1'!F78+'Tabell 5.1'!F90+'Tabell 5.1'!F102+'Tabell 5.2'!F16+'Tabell 5.2'!F28+'Tabell 5.2'!F52+'Tabell 5.2'!F64+'Tabell 5.2'!F76+F16+F28+'Tabell 5.2'!F88+'Tabell 5.2'!F112+'Tabell 5.2'!F138+'Tabell 5.2'!F40+'Tabell 5.2'!F100+'Tabell 5.2'!F126</f>
        <v>0</v>
      </c>
      <c r="G42" s="431" t="str">
        <f t="shared" si="16"/>
        <v xml:space="preserve">    ---- </v>
      </c>
      <c r="H42" s="431">
        <f>'Tabell 5.1'!H16+'Tabell 5.1'!H28+'Tabell 5.1'!H40+'Tabell 5.1'!H52+'Tabell 5.1'!H66+'Tabell 5.1'!H78+'Tabell 5.1'!H90+'Tabell 5.1'!H102+'Tabell 5.2'!H16+'Tabell 5.2'!H28+'Tabell 5.2'!H52+'Tabell 5.2'!H64+'Tabell 5.2'!H76+H16+H28+'Tabell 5.2'!H88+'Tabell 5.2'!H112+'Tabell 5.2'!H138+'Tabell 5.2'!H40+'Tabell 5.2'!H100+'Tabell 5.2'!H126</f>
        <v>0</v>
      </c>
      <c r="I42" s="431">
        <f>'Tabell 5.1'!I16+'Tabell 5.1'!I28+'Tabell 5.1'!I40+'Tabell 5.1'!I52+'Tabell 5.1'!I66+'Tabell 5.1'!I78+'Tabell 5.1'!I90+'Tabell 5.1'!I102+'Tabell 5.2'!I16+'Tabell 5.2'!I28+'Tabell 5.2'!I52+'Tabell 5.2'!I64+'Tabell 5.2'!I76+I16+I28+'Tabell 5.2'!I88+'Tabell 5.2'!I112+'Tabell 5.2'!I138+'Tabell 5.2'!I40+'Tabell 5.2'!I100+'Tabell 5.2'!I126</f>
        <v>0</v>
      </c>
      <c r="J42" s="431" t="str">
        <f t="shared" si="17"/>
        <v xml:space="preserve">    ---- </v>
      </c>
      <c r="K42" s="431">
        <f>'Tabell 5.1'!K16+'Tabell 5.1'!K28+'Tabell 5.1'!K40+'Tabell 5.1'!K52+'Tabell 5.1'!K66+'Tabell 5.1'!K78+'Tabell 5.1'!K90+'Tabell 5.1'!K102+'Tabell 5.2'!K16+'Tabell 5.2'!K28+'Tabell 5.2'!K52+'Tabell 5.2'!K64+'Tabell 5.2'!K76+K16+K28+'Tabell 5.2'!K88+'Tabell 5.2'!K112+'Tabell 5.2'!K138+'Tabell 5.2'!K40+'Tabell 5.2'!K100+'Tabell 5.2'!K126</f>
        <v>11</v>
      </c>
      <c r="L42" s="431">
        <f>'Tabell 5.1'!L16+'Tabell 5.1'!L28+'Tabell 5.1'!L40+'Tabell 5.1'!L52+'Tabell 5.1'!L66+'Tabell 5.1'!L78+'Tabell 5.1'!L90+'Tabell 5.1'!L102+'Tabell 5.2'!L16+'Tabell 5.2'!L28+'Tabell 5.2'!L52+'Tabell 5.2'!L64+'Tabell 5.2'!L76+L16+L28+'Tabell 5.2'!L88+'Tabell 5.2'!L112+'Tabell 5.2'!L138+'Tabell 5.2'!L40+'Tabell 5.2'!L100+'Tabell 5.2'!L126</f>
        <v>14</v>
      </c>
      <c r="M42" s="442">
        <f t="shared" si="18"/>
        <v>27.3</v>
      </c>
      <c r="N42" s="431">
        <f>'Tabell 5.1'!N16+'Tabell 5.1'!N28+'Tabell 5.1'!N40+'Tabell 5.1'!N52+'Tabell 5.1'!N66+'Tabell 5.1'!N78+'Tabell 5.1'!N90+'Tabell 5.1'!N102+'Tabell 5.2'!N16+'Tabell 5.2'!N28+'Tabell 5.2'!N52+'Tabell 5.2'!N64+'Tabell 5.2'!N76+N16+N28+'Tabell 5.2'!N88+'Tabell 5.2'!N112+'Tabell 5.2'!N138+'Tabell 5.2'!N40+'Tabell 5.2'!N100+'Tabell 5.2'!N126</f>
        <v>290.95858199999998</v>
      </c>
      <c r="O42" s="431">
        <f>'Tabell 5.1'!O16+'Tabell 5.1'!O28+'Tabell 5.1'!O40+'Tabell 5.1'!O52+'Tabell 5.1'!O66+'Tabell 5.1'!O78+'Tabell 5.1'!O90+'Tabell 5.1'!O102+'Tabell 5.2'!O16+'Tabell 5.2'!O28+'Tabell 5.2'!O52+'Tabell 5.2'!O64+'Tabell 5.2'!O76+O16+O28+'Tabell 5.2'!O88+'Tabell 5.2'!O112+'Tabell 5.2'!O138+'Tabell 5.2'!O40+'Tabell 5.2'!O100+'Tabell 5.2'!O126</f>
        <v>13.700982999999999</v>
      </c>
      <c r="P42" s="442">
        <f t="shared" si="19"/>
        <v>-95.3</v>
      </c>
      <c r="Q42" s="431">
        <f>'Tabell 5.1'!Q16+'Tabell 5.1'!Q28+'Tabell 5.1'!Q40+'Tabell 5.1'!Q52+'Tabell 5.1'!Q66+'Tabell 5.1'!Q78+'Tabell 5.1'!Q90+'Tabell 5.1'!Q102+'Tabell 5.2'!Q16+'Tabell 5.2'!Q28+'Tabell 5.2'!Q52+'Tabell 5.2'!Q64+'Tabell 5.2'!Q76+Q16+Q28+'Tabell 5.2'!Q88+'Tabell 5.2'!Q112+'Tabell 5.2'!Q138+'Tabell 5.2'!Q40+'Tabell 5.2'!Q100+'Tabell 5.2'!Q126</f>
        <v>65.480577843333336</v>
      </c>
      <c r="R42" s="431">
        <f>'Tabell 5.1'!R16+'Tabell 5.1'!R28+'Tabell 5.1'!R40+'Tabell 5.1'!R52+'Tabell 5.1'!R66+'Tabell 5.1'!R78+'Tabell 5.1'!R90+'Tabell 5.1'!R102+'Tabell 5.2'!R16+'Tabell 5.2'!R28+'Tabell 5.2'!R52+'Tabell 5.2'!R64+'Tabell 5.2'!R76+R16+R28+'Tabell 5.2'!R88+'Tabell 5.2'!R112+'Tabell 5.2'!R138+'Tabell 5.2'!R40+'Tabell 5.2'!R100+'Tabell 5.2'!R126</f>
        <v>56.842220701333332</v>
      </c>
      <c r="S42" s="442">
        <f t="shared" si="20"/>
        <v>-13.2</v>
      </c>
      <c r="T42" s="431">
        <f>'Tabell 5.1'!T16+'Tabell 5.1'!T28+'Tabell 5.1'!T40+'Tabell 5.1'!T52+'Tabell 5.1'!T66+'Tabell 5.1'!T78+'Tabell 5.1'!T90+'Tabell 5.1'!T102+'Tabell 5.2'!T16+'Tabell 5.2'!T28+'Tabell 5.2'!T52+'Tabell 5.2'!T64+'Tabell 5.2'!T76+T16+T28+'Tabell 5.2'!T88+'Tabell 5.2'!T112+'Tabell 5.2'!T138+'Tabell 5.2'!T40+'Tabell 5.2'!T100+'Tabell 5.2'!T126</f>
        <v>372</v>
      </c>
      <c r="U42" s="431">
        <f>'Tabell 5.1'!U16+'Tabell 5.1'!U28+'Tabell 5.1'!U40+'Tabell 5.1'!U52+'Tabell 5.1'!U66+'Tabell 5.1'!U78+'Tabell 5.1'!U90+'Tabell 5.1'!U102+'Tabell 5.2'!U16+'Tabell 5.2'!U28+'Tabell 5.2'!U52+'Tabell 5.2'!U64+'Tabell 5.2'!U76+U16+U28+'Tabell 5.2'!U88+'Tabell 5.2'!U112+'Tabell 5.2'!U138+'Tabell 5.2'!U40+'Tabell 5.2'!U100+'Tabell 5.2'!U126</f>
        <v>400</v>
      </c>
      <c r="V42" s="431">
        <f t="shared" si="21"/>
        <v>7.5</v>
      </c>
      <c r="W42" s="431">
        <f>'Tabell 5.1'!W16+'Tabell 5.1'!W28+'Tabell 5.1'!W40+'Tabell 5.1'!W52+'Tabell 5.1'!W66+'Tabell 5.1'!W78+'Tabell 5.1'!W90+'Tabell 5.1'!W102+'Tabell 5.2'!W16+'Tabell 5.2'!W28+'Tabell 5.2'!W52+'Tabell 5.2'!W64+'Tabell 5.2'!W76+W16+W28+'Tabell 5.2'!W88+'Tabell 5.2'!W112+'Tabell 5.2'!W138+'Tabell 5.2'!W40+'Tabell 5.2'!W100+'Tabell 5.2'!W126</f>
        <v>51</v>
      </c>
      <c r="X42" s="431">
        <f>'Tabell 5.1'!X16+'Tabell 5.1'!X28+'Tabell 5.1'!X40+'Tabell 5.1'!X52+'Tabell 5.1'!X66+'Tabell 5.1'!X78+'Tabell 5.1'!X90+'Tabell 5.1'!X102+'Tabell 5.2'!X16+'Tabell 5.2'!X28+'Tabell 5.2'!X52+'Tabell 5.2'!X64+'Tabell 5.2'!X76+X16+X28+'Tabell 5.2'!X88+'Tabell 5.2'!X112+'Tabell 5.2'!X138+'Tabell 5.2'!X40+'Tabell 5.2'!X100+'Tabell 5.2'!X126</f>
        <v>62</v>
      </c>
      <c r="Y42" s="442">
        <f t="shared" si="22"/>
        <v>21.6</v>
      </c>
      <c r="Z42" s="431">
        <f>'Tabell 5.1'!Z16+'Tabell 5.1'!Z28+'Tabell 5.1'!Z40+'Tabell 5.1'!Z52+'Tabell 5.1'!Z66+'Tabell 5.1'!Z78+'Tabell 5.1'!Z90+'Tabell 5.1'!Z102+'Tabell 5.2'!Z16+'Tabell 5.2'!Z28+'Tabell 5.2'!Z52+'Tabell 5.2'!Z64+'Tabell 5.2'!Z76+Z16+Z28+'Tabell 5.2'!Z88+'Tabell 5.2'!Z112+'Tabell 5.2'!Z138+'Tabell 5.2'!Z40+'Tabell 5.2'!Z100+'Tabell 5.2'!Z126</f>
        <v>311.83263210000001</v>
      </c>
      <c r="AA42" s="431">
        <f>'Tabell 5.1'!AA16+'Tabell 5.1'!AA28+'Tabell 5.1'!AA40+'Tabell 5.1'!AA52+'Tabell 5.1'!AA66+'Tabell 5.1'!AA78+'Tabell 5.1'!AA90+'Tabell 5.1'!AA102+'Tabell 5.2'!AA16+'Tabell 5.2'!AA28+'Tabell 5.2'!AA52+'Tabell 5.2'!AA64+'Tabell 5.2'!AA76+AA16+AA28+'Tabell 5.2'!AA88+'Tabell 5.2'!AA112+'Tabell 5.2'!AA138+'Tabell 5.2'!AA40+'Tabell 5.2'!AA100+'Tabell 5.2'!AA126</f>
        <v>314.78161102000001</v>
      </c>
      <c r="AB42" s="431">
        <f t="shared" si="23"/>
        <v>0.9</v>
      </c>
      <c r="AC42" s="431"/>
      <c r="AD42" s="431"/>
      <c r="AE42" s="431"/>
      <c r="AF42" s="431">
        <f t="shared" si="24"/>
        <v>1257.2717919433333</v>
      </c>
      <c r="AG42" s="431">
        <f t="shared" si="24"/>
        <v>1012.3248147213334</v>
      </c>
      <c r="AH42" s="442">
        <f t="shared" si="25"/>
        <v>-19.5</v>
      </c>
      <c r="AI42" s="431">
        <f t="shared" si="26"/>
        <v>1257.2717919433333</v>
      </c>
      <c r="AJ42" s="431">
        <f t="shared" si="27"/>
        <v>1012.3248147213334</v>
      </c>
      <c r="AK42" s="442">
        <f>IF(AI42=0, "    ---- ", IF(ABS(ROUND(100/AI42*AJ42-100,1))&lt;999,ROUND(100/AI42*AJ42-100,1),IF(ROUND(100/AI42*AJ42-100,1)&gt;999,999,-999)))</f>
        <v>-19.5</v>
      </c>
      <c r="AL42" s="576"/>
      <c r="AM42" s="545"/>
      <c r="AN42" s="545"/>
      <c r="AO42" s="545"/>
    </row>
    <row r="43" spans="1:41" ht="18.75" customHeight="1" x14ac:dyDescent="0.3">
      <c r="A43" s="411" t="s">
        <v>327</v>
      </c>
      <c r="B43" s="431">
        <f>'Tabell 5.1'!B17+'Tabell 5.1'!B29+'Tabell 5.1'!B41+'Tabell 5.1'!B53+'Tabell 5.1'!B67+'Tabell 5.1'!B79+'Tabell 5.1'!B91+'Tabell 5.1'!B103+'Tabell 5.2'!B17+'Tabell 5.2'!B29+'Tabell 5.2'!B53+'Tabell 5.2'!B65+'Tabell 5.2'!B77+B17+B29+'Tabell 5.2'!B89+'Tabell 5.2'!B113+'Tabell 5.2'!B139+'Tabell 5.2'!B41+'Tabell 5.2'!B101+'Tabell 5.2'!B127</f>
        <v>351</v>
      </c>
      <c r="C43" s="431">
        <f>'Tabell 5.1'!C17+'Tabell 5.1'!C29+'Tabell 5.1'!C41+'Tabell 5.1'!C53+'Tabell 5.1'!C67+'Tabell 5.1'!C79+'Tabell 5.1'!C91+'Tabell 5.1'!C103+'Tabell 5.2'!C17+'Tabell 5.2'!C29+'Tabell 5.2'!C53+'Tabell 5.2'!C65+'Tabell 5.2'!C77+C17+C29+'Tabell 5.2'!C89+'Tabell 5.2'!C113+'Tabell 5.2'!C139+'Tabell 5.2'!C41+'Tabell 5.2'!C101+'Tabell 5.2'!C127</f>
        <v>504.05258000000003</v>
      </c>
      <c r="D43" s="442">
        <f t="shared" si="15"/>
        <v>43.6</v>
      </c>
      <c r="E43" s="431">
        <f>'Tabell 5.1'!E17+'Tabell 5.1'!E29+'Tabell 5.1'!E41+'Tabell 5.1'!E53+'Tabell 5.1'!E67+'Tabell 5.1'!E79+'Tabell 5.1'!E91+'Tabell 5.1'!E103+'Tabell 5.2'!E17+'Tabell 5.2'!E29+'Tabell 5.2'!E53+'Tabell 5.2'!E65+'Tabell 5.2'!E77+E17+E29+'Tabell 5.2'!E89+'Tabell 5.2'!E113+'Tabell 5.2'!E139+'Tabell 5.2'!E41+'Tabell 5.2'!E101+'Tabell 5.2'!E127</f>
        <v>715.84850204999998</v>
      </c>
      <c r="F43" s="431">
        <f>'Tabell 5.1'!F17+'Tabell 5.1'!F29+'Tabell 5.1'!F41+'Tabell 5.1'!F53+'Tabell 5.1'!F67+'Tabell 5.1'!F79+'Tabell 5.1'!F91+'Tabell 5.1'!F103+'Tabell 5.2'!F17+'Tabell 5.2'!F29+'Tabell 5.2'!F53+'Tabell 5.2'!F65+'Tabell 5.2'!F77+F17+F29+'Tabell 5.2'!F89+'Tabell 5.2'!F113+'Tabell 5.2'!F139+'Tabell 5.2'!F41+'Tabell 5.2'!F101+'Tabell 5.2'!F127</f>
        <v>666.13384110000027</v>
      </c>
      <c r="G43" s="431">
        <f t="shared" si="16"/>
        <v>-6.9</v>
      </c>
      <c r="H43" s="431">
        <f>'Tabell 5.1'!H17+'Tabell 5.1'!H29+'Tabell 5.1'!H41+'Tabell 5.1'!H53+'Tabell 5.1'!H67+'Tabell 5.1'!H79+'Tabell 5.1'!H91+'Tabell 5.1'!H103+'Tabell 5.2'!H17+'Tabell 5.2'!H29+'Tabell 5.2'!H53+'Tabell 5.2'!H65+'Tabell 5.2'!H77+H17+H29+'Tabell 5.2'!H89+'Tabell 5.2'!H113+'Tabell 5.2'!H139+'Tabell 5.2'!H41+'Tabell 5.2'!H101+'Tabell 5.2'!H127</f>
        <v>-24.54699999999999</v>
      </c>
      <c r="I43" s="431">
        <f>'Tabell 5.1'!I17+'Tabell 5.1'!I29+'Tabell 5.1'!I41+'Tabell 5.1'!I53+'Tabell 5.1'!I67+'Tabell 5.1'!I79+'Tabell 5.1'!I91+'Tabell 5.1'!I103+'Tabell 5.2'!I17+'Tabell 5.2'!I29+'Tabell 5.2'!I53+'Tabell 5.2'!I65+'Tabell 5.2'!I77+I17+I29+'Tabell 5.2'!I89+'Tabell 5.2'!I113+'Tabell 5.2'!I139+'Tabell 5.2'!I41+'Tabell 5.2'!I101+'Tabell 5.2'!I127</f>
        <v>74.907000000000011</v>
      </c>
      <c r="J43" s="431">
        <f t="shared" si="17"/>
        <v>-405.2</v>
      </c>
      <c r="K43" s="431">
        <f>'Tabell 5.1'!K17+'Tabell 5.1'!K29+'Tabell 5.1'!K41+'Tabell 5.1'!K53+'Tabell 5.1'!K67+'Tabell 5.1'!K79+'Tabell 5.1'!K91+'Tabell 5.1'!K103+'Tabell 5.2'!K17+'Tabell 5.2'!K29+'Tabell 5.2'!K53+'Tabell 5.2'!K65+'Tabell 5.2'!K77+K17+K29+'Tabell 5.2'!K89+'Tabell 5.2'!K113+'Tabell 5.2'!K139+'Tabell 5.2'!K41+'Tabell 5.2'!K101+'Tabell 5.2'!K127</f>
        <v>-142</v>
      </c>
      <c r="L43" s="431">
        <f>'Tabell 5.1'!L17+'Tabell 5.1'!L29+'Tabell 5.1'!L41+'Tabell 5.1'!L53+'Tabell 5.1'!L67+'Tabell 5.1'!L79+'Tabell 5.1'!L91+'Tabell 5.1'!L103+'Tabell 5.2'!L17+'Tabell 5.2'!L29+'Tabell 5.2'!L53+'Tabell 5.2'!L65+'Tabell 5.2'!L77+L17+L29+'Tabell 5.2'!L89+'Tabell 5.2'!L113+'Tabell 5.2'!L139+'Tabell 5.2'!L41+'Tabell 5.2'!L101+'Tabell 5.2'!L127</f>
        <v>1</v>
      </c>
      <c r="M43" s="442">
        <f t="shared" si="18"/>
        <v>-100.7</v>
      </c>
      <c r="N43" s="431">
        <f>'Tabell 5.1'!N17+'Tabell 5.1'!N29+'Tabell 5.1'!N41+'Tabell 5.1'!N53+'Tabell 5.1'!N67+'Tabell 5.1'!N79+'Tabell 5.1'!N91+'Tabell 5.1'!N103+'Tabell 5.2'!N17+'Tabell 5.2'!N29+'Tabell 5.2'!N53+'Tabell 5.2'!N65+'Tabell 5.2'!N77+N17+N29+'Tabell 5.2'!N89+'Tabell 5.2'!N113+'Tabell 5.2'!N139+'Tabell 5.2'!N41+'Tabell 5.2'!N101+'Tabell 5.2'!N127</f>
        <v>648.53798385451296</v>
      </c>
      <c r="O43" s="431">
        <f>'Tabell 5.1'!O17+'Tabell 5.1'!O29+'Tabell 5.1'!O41+'Tabell 5.1'!O53+'Tabell 5.1'!O67+'Tabell 5.1'!O79+'Tabell 5.1'!O91+'Tabell 5.1'!O103+'Tabell 5.2'!O17+'Tabell 5.2'!O29+'Tabell 5.2'!O53+'Tabell 5.2'!O65+'Tabell 5.2'!O77+O17+O29+'Tabell 5.2'!O89+'Tabell 5.2'!O113+'Tabell 5.2'!O139+'Tabell 5.2'!O41+'Tabell 5.2'!O101+'Tabell 5.2'!O127</f>
        <v>790.9446807725692</v>
      </c>
      <c r="P43" s="442">
        <f t="shared" si="19"/>
        <v>22</v>
      </c>
      <c r="Q43" s="431">
        <f>'Tabell 5.1'!Q17+'Tabell 5.1'!Q29+'Tabell 5.1'!Q41+'Tabell 5.1'!Q53+'Tabell 5.1'!Q67+'Tabell 5.1'!Q79+'Tabell 5.1'!Q91+'Tabell 5.1'!Q103+'Tabell 5.2'!Q17+'Tabell 5.2'!Q29+'Tabell 5.2'!Q53+'Tabell 5.2'!Q65+'Tabell 5.2'!Q77+Q17+Q29+'Tabell 5.2'!Q89+'Tabell 5.2'!Q113+'Tabell 5.2'!Q139+'Tabell 5.2'!Q41+'Tabell 5.2'!Q101+'Tabell 5.2'!Q127</f>
        <v>380.98686529484053</v>
      </c>
      <c r="R43" s="431">
        <f>'Tabell 5.1'!R17+'Tabell 5.1'!R29+'Tabell 5.1'!R41+'Tabell 5.1'!R53+'Tabell 5.1'!R67+'Tabell 5.1'!R79+'Tabell 5.1'!R91+'Tabell 5.1'!R103+'Tabell 5.2'!R17+'Tabell 5.2'!R29+'Tabell 5.2'!R53+'Tabell 5.2'!R65+'Tabell 5.2'!R77+R17+R29+'Tabell 5.2'!R89+'Tabell 5.2'!R113+'Tabell 5.2'!R139+'Tabell 5.2'!R41+'Tabell 5.2'!R101+'Tabell 5.2'!R127</f>
        <v>369.03026239587257</v>
      </c>
      <c r="S43" s="442">
        <f t="shared" si="20"/>
        <v>-3.1</v>
      </c>
      <c r="T43" s="431">
        <f>'Tabell 5.1'!T17+'Tabell 5.1'!T29+'Tabell 5.1'!T41+'Tabell 5.1'!T53+'Tabell 5.1'!T67+'Tabell 5.1'!T79+'Tabell 5.1'!T91+'Tabell 5.1'!T103+'Tabell 5.2'!T17+'Tabell 5.2'!T29+'Tabell 5.2'!T53+'Tabell 5.2'!T65+'Tabell 5.2'!T77+T17+T29+'Tabell 5.2'!T89+'Tabell 5.2'!T113+'Tabell 5.2'!T139+'Tabell 5.2'!T41+'Tabell 5.2'!T101+'Tabell 5.2'!T127</f>
        <v>190</v>
      </c>
      <c r="U43" s="431">
        <f>'Tabell 5.1'!U17+'Tabell 5.1'!U29+'Tabell 5.1'!U41+'Tabell 5.1'!U53+'Tabell 5.1'!U67+'Tabell 5.1'!U79+'Tabell 5.1'!U91+'Tabell 5.1'!U103+'Tabell 5.2'!U17+'Tabell 5.2'!U29+'Tabell 5.2'!U53+'Tabell 5.2'!U65+'Tabell 5.2'!U77+U17+U29+'Tabell 5.2'!U89+'Tabell 5.2'!U113+'Tabell 5.2'!U139+'Tabell 5.2'!U41+'Tabell 5.2'!U101+'Tabell 5.2'!U127</f>
        <v>116</v>
      </c>
      <c r="V43" s="431">
        <f t="shared" si="21"/>
        <v>-38.9</v>
      </c>
      <c r="W43" s="431">
        <f>'Tabell 5.1'!W17+'Tabell 5.1'!W29+'Tabell 5.1'!W41+'Tabell 5.1'!W53+'Tabell 5.1'!W67+'Tabell 5.1'!W79+'Tabell 5.1'!W91+'Tabell 5.1'!W103+'Tabell 5.2'!W17+'Tabell 5.2'!W29+'Tabell 5.2'!W53+'Tabell 5.2'!W65+'Tabell 5.2'!W77+W17+W29+'Tabell 5.2'!W89+'Tabell 5.2'!W113+'Tabell 5.2'!W139+'Tabell 5.2'!W41+'Tabell 5.2'!W101+'Tabell 5.2'!W127</f>
        <v>112</v>
      </c>
      <c r="X43" s="431">
        <f>'Tabell 5.1'!X17+'Tabell 5.1'!X29+'Tabell 5.1'!X41+'Tabell 5.1'!X53+'Tabell 5.1'!X67+'Tabell 5.1'!X79+'Tabell 5.1'!X91+'Tabell 5.1'!X103+'Tabell 5.2'!X17+'Tabell 5.2'!X29+'Tabell 5.2'!X53+'Tabell 5.2'!X65+'Tabell 5.2'!X77+X17+X29+'Tabell 5.2'!X89+'Tabell 5.2'!X113+'Tabell 5.2'!X139+'Tabell 5.2'!X41+'Tabell 5.2'!X101+'Tabell 5.2'!X127</f>
        <v>92</v>
      </c>
      <c r="Y43" s="442">
        <f t="shared" si="22"/>
        <v>-17.899999999999999</v>
      </c>
      <c r="Z43" s="431">
        <f>'Tabell 5.1'!Z17+'Tabell 5.1'!Z29+'Tabell 5.1'!Z41+'Tabell 5.1'!Z53+'Tabell 5.1'!Z67+'Tabell 5.1'!Z79+'Tabell 5.1'!Z91+'Tabell 5.1'!Z103+'Tabell 5.2'!Z17+'Tabell 5.2'!Z29+'Tabell 5.2'!Z53+'Tabell 5.2'!Z65+'Tabell 5.2'!Z77+Z17+Z29+'Tabell 5.2'!Z89+'Tabell 5.2'!Z113+'Tabell 5.2'!Z139+'Tabell 5.2'!Z41+'Tabell 5.2'!Z101+'Tabell 5.2'!Z127</f>
        <v>575.90542630140044</v>
      </c>
      <c r="AA43" s="431">
        <f>'Tabell 5.1'!AA17+'Tabell 5.1'!AA29+'Tabell 5.1'!AA41+'Tabell 5.1'!AA53+'Tabell 5.1'!AA67+'Tabell 5.1'!AA79+'Tabell 5.1'!AA91+'Tabell 5.1'!AA103+'Tabell 5.2'!AA17+'Tabell 5.2'!AA29+'Tabell 5.2'!AA53+'Tabell 5.2'!AA65+'Tabell 5.2'!AA77+AA17+AA29+'Tabell 5.2'!AA89+'Tabell 5.2'!AA113+'Tabell 5.2'!AA139+'Tabell 5.2'!AA41+'Tabell 5.2'!AA101+'Tabell 5.2'!AA127</f>
        <v>735.67138074999991</v>
      </c>
      <c r="AB43" s="431">
        <f t="shared" si="23"/>
        <v>27.7</v>
      </c>
      <c r="AC43" s="431"/>
      <c r="AD43" s="431"/>
      <c r="AE43" s="431"/>
      <c r="AF43" s="431">
        <f t="shared" si="24"/>
        <v>2807.7317775007541</v>
      </c>
      <c r="AG43" s="431">
        <f t="shared" si="24"/>
        <v>3349.7397450184417</v>
      </c>
      <c r="AH43" s="442">
        <f t="shared" si="25"/>
        <v>19.3</v>
      </c>
      <c r="AI43" s="431">
        <f t="shared" si="26"/>
        <v>2807.7317775007541</v>
      </c>
      <c r="AJ43" s="431">
        <f t="shared" si="27"/>
        <v>3349.7397450184417</v>
      </c>
      <c r="AK43" s="442">
        <f>IF(AI43=0, "    ---- ", IF(ABS(ROUND(100/AI43*AJ43-100,1))&lt;999,ROUND(100/AI43*AJ43-100,1),IF(ROUND(100/AI43*AJ43-100,1)&gt;999,999,-999)))</f>
        <v>19.3</v>
      </c>
      <c r="AL43" s="576"/>
      <c r="AM43" s="545"/>
      <c r="AN43" s="545"/>
      <c r="AO43" s="545"/>
    </row>
    <row r="44" spans="1:41" ht="18.75" customHeight="1" x14ac:dyDescent="0.3">
      <c r="A44" s="411" t="s">
        <v>328</v>
      </c>
      <c r="B44" s="431">
        <f>'Tabell 5.1'!B18+'Tabell 5.1'!B30+'Tabell 5.1'!B42+'Tabell 5.1'!B54+'Tabell 5.1'!B68+'Tabell 5.1'!B80+'Tabell 5.1'!B92+'Tabell 5.1'!B104+'Tabell 5.2'!B18+'Tabell 5.2'!B30+'Tabell 5.2'!B54+'Tabell 5.2'!B66+'Tabell 5.2'!B78+B18+B30+'Tabell 5.2'!B90+'Tabell 5.2'!B114+'Tabell 5.2'!B140+'Tabell 5.2'!B42+'Tabell 5.2'!B102+'Tabell 5.2'!B128</f>
        <v>0</v>
      </c>
      <c r="C44" s="431">
        <f>'Tabell 5.1'!C18+'Tabell 5.1'!C30+'Tabell 5.1'!C42+'Tabell 5.1'!C54+'Tabell 5.1'!C68+'Tabell 5.1'!C80+'Tabell 5.1'!C92+'Tabell 5.1'!C104+'Tabell 5.2'!C18+'Tabell 5.2'!C30+'Tabell 5.2'!C54+'Tabell 5.2'!C66+'Tabell 5.2'!C78+C18+C30+'Tabell 5.2'!C90+'Tabell 5.2'!C114+'Tabell 5.2'!C140+'Tabell 5.2'!C42+'Tabell 5.2'!C102+'Tabell 5.2'!C128</f>
        <v>0</v>
      </c>
      <c r="D44" s="442" t="str">
        <f t="shared" si="15"/>
        <v xml:space="preserve">    ---- </v>
      </c>
      <c r="E44" s="431">
        <f>'Tabell 5.1'!E18+'Tabell 5.1'!E30+'Tabell 5.1'!E42+'Tabell 5.1'!E54+'Tabell 5.1'!E68+'Tabell 5.1'!E80+'Tabell 5.1'!E92+'Tabell 5.1'!E104+'Tabell 5.2'!E18+'Tabell 5.2'!E30+'Tabell 5.2'!E54+'Tabell 5.2'!E66+'Tabell 5.2'!E78+E18+E30+'Tabell 5.2'!E90+'Tabell 5.2'!E114+'Tabell 5.2'!E140+'Tabell 5.2'!E42+'Tabell 5.2'!E102+'Tabell 5.2'!E128</f>
        <v>0</v>
      </c>
      <c r="F44" s="431">
        <f>'Tabell 5.1'!F18+'Tabell 5.1'!F30+'Tabell 5.1'!F42+'Tabell 5.1'!F54+'Tabell 5.1'!F68+'Tabell 5.1'!F80+'Tabell 5.1'!F92+'Tabell 5.1'!F104+'Tabell 5.2'!F18+'Tabell 5.2'!F30+'Tabell 5.2'!F54+'Tabell 5.2'!F66+'Tabell 5.2'!F78+F18+F30+'Tabell 5.2'!F90+'Tabell 5.2'!F114+'Tabell 5.2'!F140+'Tabell 5.2'!F42+'Tabell 5.2'!F102+'Tabell 5.2'!F128</f>
        <v>0</v>
      </c>
      <c r="G44" s="431" t="str">
        <f t="shared" si="16"/>
        <v xml:space="preserve">    ---- </v>
      </c>
      <c r="H44" s="431">
        <f>'Tabell 5.1'!H18+'Tabell 5.1'!H30+'Tabell 5.1'!H42+'Tabell 5.1'!H54+'Tabell 5.1'!H68+'Tabell 5.1'!H80+'Tabell 5.1'!H92+'Tabell 5.1'!H104+'Tabell 5.2'!H18+'Tabell 5.2'!H30+'Tabell 5.2'!H54+'Tabell 5.2'!H66+'Tabell 5.2'!H78+H18+H30+'Tabell 5.2'!H90+'Tabell 5.2'!H114+'Tabell 5.2'!H140+'Tabell 5.2'!H42+'Tabell 5.2'!H102+'Tabell 5.2'!H128</f>
        <v>0</v>
      </c>
      <c r="I44" s="431">
        <f>'Tabell 5.1'!I18+'Tabell 5.1'!I30+'Tabell 5.1'!I42+'Tabell 5.1'!I54+'Tabell 5.1'!I68+'Tabell 5.1'!I80+'Tabell 5.1'!I92+'Tabell 5.1'!I104+'Tabell 5.2'!I18+'Tabell 5.2'!I30+'Tabell 5.2'!I54+'Tabell 5.2'!I66+'Tabell 5.2'!I78+I18+I30+'Tabell 5.2'!I90+'Tabell 5.2'!I114+'Tabell 5.2'!I140+'Tabell 5.2'!I42+'Tabell 5.2'!I102+'Tabell 5.2'!I128</f>
        <v>0</v>
      </c>
      <c r="J44" s="431" t="str">
        <f t="shared" si="17"/>
        <v xml:space="preserve">    ---- </v>
      </c>
      <c r="K44" s="431">
        <f>'Tabell 5.1'!K18+'Tabell 5.1'!K30+'Tabell 5.1'!K42+'Tabell 5.1'!K54+'Tabell 5.1'!K68+'Tabell 5.1'!K80+'Tabell 5.1'!K92+'Tabell 5.1'!K104+'Tabell 5.2'!K18+'Tabell 5.2'!K30+'Tabell 5.2'!K54+'Tabell 5.2'!K66+'Tabell 5.2'!K78+K18+K30+'Tabell 5.2'!K90+'Tabell 5.2'!K114+'Tabell 5.2'!K140+'Tabell 5.2'!K42+'Tabell 5.2'!K102+'Tabell 5.2'!K128</f>
        <v>0</v>
      </c>
      <c r="L44" s="431">
        <f>'Tabell 5.1'!L18+'Tabell 5.1'!L30+'Tabell 5.1'!L42+'Tabell 5.1'!L54+'Tabell 5.1'!L68+'Tabell 5.1'!L80+'Tabell 5.1'!L92+'Tabell 5.1'!L104+'Tabell 5.2'!L18+'Tabell 5.2'!L30+'Tabell 5.2'!L54+'Tabell 5.2'!L66+'Tabell 5.2'!L78+L18+L30+'Tabell 5.2'!L90+'Tabell 5.2'!L114+'Tabell 5.2'!L140+'Tabell 5.2'!L42+'Tabell 5.2'!L102+'Tabell 5.2'!L128</f>
        <v>0</v>
      </c>
      <c r="M44" s="442" t="str">
        <f t="shared" si="18"/>
        <v xml:space="preserve">    ---- </v>
      </c>
      <c r="N44" s="431">
        <f>'Tabell 5.1'!N18+'Tabell 5.1'!N30+'Tabell 5.1'!N42+'Tabell 5.1'!N54+'Tabell 5.1'!N68+'Tabell 5.1'!N80+'Tabell 5.1'!N92+'Tabell 5.1'!N104+'Tabell 5.2'!N18+'Tabell 5.2'!N30+'Tabell 5.2'!N54+'Tabell 5.2'!N66+'Tabell 5.2'!N78+N18+N30+'Tabell 5.2'!N90+'Tabell 5.2'!N114+'Tabell 5.2'!N140+'Tabell 5.2'!N42+'Tabell 5.2'!N102+'Tabell 5.2'!N128</f>
        <v>593.771163</v>
      </c>
      <c r="O44" s="431">
        <f>'Tabell 5.1'!O18+'Tabell 5.1'!O30+'Tabell 5.1'!O42+'Tabell 5.1'!O54+'Tabell 5.1'!O68+'Tabell 5.1'!O80+'Tabell 5.1'!O92+'Tabell 5.1'!O104+'Tabell 5.2'!O18+'Tabell 5.2'!O30+'Tabell 5.2'!O54+'Tabell 5.2'!O66+'Tabell 5.2'!O78+O18+O30+'Tabell 5.2'!O90+'Tabell 5.2'!O114+'Tabell 5.2'!O140+'Tabell 5.2'!O42+'Tabell 5.2'!O102+'Tabell 5.2'!O128</f>
        <v>789.94468099999995</v>
      </c>
      <c r="P44" s="442">
        <f t="shared" si="19"/>
        <v>33</v>
      </c>
      <c r="Q44" s="431">
        <f>'Tabell 5.1'!Q18+'Tabell 5.1'!Q30+'Tabell 5.1'!Q42+'Tabell 5.1'!Q54+'Tabell 5.1'!Q68+'Tabell 5.1'!Q80+'Tabell 5.1'!Q92+'Tabell 5.1'!Q104+'Tabell 5.2'!Q18+'Tabell 5.2'!Q30+'Tabell 5.2'!Q54+'Tabell 5.2'!Q66+'Tabell 5.2'!Q78+Q18+Q30+'Tabell 5.2'!Q90+'Tabell 5.2'!Q114+'Tabell 5.2'!Q140+'Tabell 5.2'!Q42+'Tabell 5.2'!Q102+'Tabell 5.2'!Q128</f>
        <v>207.54195306927761</v>
      </c>
      <c r="R44" s="431">
        <f>'Tabell 5.1'!R18+'Tabell 5.1'!R30+'Tabell 5.1'!R42+'Tabell 5.1'!R54+'Tabell 5.1'!R68+'Tabell 5.1'!R80+'Tabell 5.1'!R92+'Tabell 5.1'!R104+'Tabell 5.2'!R18+'Tabell 5.2'!R30+'Tabell 5.2'!R54+'Tabell 5.2'!R66+'Tabell 5.2'!R78+R18+R30+'Tabell 5.2'!R90+'Tabell 5.2'!R114+'Tabell 5.2'!R140+'Tabell 5.2'!R42+'Tabell 5.2'!R102+'Tabell 5.2'!R128</f>
        <v>275.70755268228675</v>
      </c>
      <c r="S44" s="442">
        <f t="shared" si="20"/>
        <v>32.799999999999997</v>
      </c>
      <c r="T44" s="431">
        <f>'Tabell 5.1'!T18+'Tabell 5.1'!T30+'Tabell 5.1'!T42+'Tabell 5.1'!T54+'Tabell 5.1'!T68+'Tabell 5.1'!T80+'Tabell 5.1'!T92+'Tabell 5.1'!T104+'Tabell 5.2'!T18+'Tabell 5.2'!T30+'Tabell 5.2'!T54+'Tabell 5.2'!T66+'Tabell 5.2'!T78+T18+T30+'Tabell 5.2'!T90+'Tabell 5.2'!T114+'Tabell 5.2'!T140+'Tabell 5.2'!T42+'Tabell 5.2'!T102+'Tabell 5.2'!T128</f>
        <v>95</v>
      </c>
      <c r="U44" s="431">
        <f>'Tabell 5.1'!U18+'Tabell 5.1'!U30+'Tabell 5.1'!U42+'Tabell 5.1'!U54+'Tabell 5.1'!U68+'Tabell 5.1'!U80+'Tabell 5.1'!U92+'Tabell 5.1'!U104+'Tabell 5.2'!U18+'Tabell 5.2'!U30+'Tabell 5.2'!U54+'Tabell 5.2'!U66+'Tabell 5.2'!U78+U18+U30+'Tabell 5.2'!U90+'Tabell 5.2'!U114+'Tabell 5.2'!U140+'Tabell 5.2'!U42+'Tabell 5.2'!U102+'Tabell 5.2'!U128</f>
        <v>58</v>
      </c>
      <c r="V44" s="431">
        <f t="shared" si="21"/>
        <v>-38.9</v>
      </c>
      <c r="W44" s="431">
        <f>'Tabell 5.1'!W18+'Tabell 5.1'!W30+'Tabell 5.1'!W42+'Tabell 5.1'!W54+'Tabell 5.1'!W68+'Tabell 5.1'!W80+'Tabell 5.1'!W92+'Tabell 5.1'!W104+'Tabell 5.2'!W18+'Tabell 5.2'!W30+'Tabell 5.2'!W54+'Tabell 5.2'!W66+'Tabell 5.2'!W78+W18+W30+'Tabell 5.2'!W90+'Tabell 5.2'!W114+'Tabell 5.2'!W140+'Tabell 5.2'!W42+'Tabell 5.2'!W102+'Tabell 5.2'!W128</f>
        <v>0</v>
      </c>
      <c r="X44" s="431">
        <f>'Tabell 5.1'!X18+'Tabell 5.1'!X30+'Tabell 5.1'!X42+'Tabell 5.1'!X54+'Tabell 5.1'!X68+'Tabell 5.1'!X80+'Tabell 5.1'!X92+'Tabell 5.1'!X104+'Tabell 5.2'!X18+'Tabell 5.2'!X30+'Tabell 5.2'!X54+'Tabell 5.2'!X66+'Tabell 5.2'!X78+X18+X30+'Tabell 5.2'!X90+'Tabell 5.2'!X114+'Tabell 5.2'!X140+'Tabell 5.2'!X42+'Tabell 5.2'!X102+'Tabell 5.2'!X128</f>
        <v>0</v>
      </c>
      <c r="Y44" s="442" t="str">
        <f t="shared" si="22"/>
        <v xml:space="preserve">    ---- </v>
      </c>
      <c r="Z44" s="431">
        <f>'Tabell 5.1'!Z18+'Tabell 5.1'!Z30+'Tabell 5.1'!Z42+'Tabell 5.1'!Z54+'Tabell 5.1'!Z68+'Tabell 5.1'!Z80+'Tabell 5.1'!Z92+'Tabell 5.1'!Z104+'Tabell 5.2'!Z18+'Tabell 5.2'!Z30+'Tabell 5.2'!Z54+'Tabell 5.2'!Z66+'Tabell 5.2'!Z78+Z18+Z30+'Tabell 5.2'!Z90+'Tabell 5.2'!Z114+'Tabell 5.2'!Z140+'Tabell 5.2'!Z42+'Tabell 5.2'!Z102+'Tabell 5.2'!Z128</f>
        <v>253.98711678900463</v>
      </c>
      <c r="AA44" s="431">
        <f>'Tabell 5.1'!AA18+'Tabell 5.1'!AA30+'Tabell 5.1'!AA42+'Tabell 5.1'!AA54+'Tabell 5.1'!AA68+'Tabell 5.1'!AA80+'Tabell 5.1'!AA92+'Tabell 5.1'!AA104+'Tabell 5.2'!AA18+'Tabell 5.2'!AA30+'Tabell 5.2'!AA54+'Tabell 5.2'!AA66+'Tabell 5.2'!AA78+AA18+AA30+'Tabell 5.2'!AA90+'Tabell 5.2'!AA114+'Tabell 5.2'!AA140+'Tabell 5.2'!AA42+'Tabell 5.2'!AA102+'Tabell 5.2'!AA128</f>
        <v>175.57994300000001</v>
      </c>
      <c r="AB44" s="431">
        <f t="shared" si="23"/>
        <v>-30.9</v>
      </c>
      <c r="AC44" s="431"/>
      <c r="AD44" s="431"/>
      <c r="AE44" s="431"/>
      <c r="AF44" s="431">
        <f t="shared" si="24"/>
        <v>1150.3002328582822</v>
      </c>
      <c r="AG44" s="431">
        <f t="shared" si="24"/>
        <v>1299.2321766822868</v>
      </c>
      <c r="AH44" s="442">
        <f t="shared" si="25"/>
        <v>12.9</v>
      </c>
      <c r="AI44" s="431">
        <f t="shared" si="26"/>
        <v>1150.3002328582822</v>
      </c>
      <c r="AJ44" s="431">
        <f t="shared" si="27"/>
        <v>1299.2321766822868</v>
      </c>
      <c r="AK44" s="442">
        <f>IF(AI44=0, "    ---- ", IF(ABS(ROUND(100/AI44*AJ44-100,1))&lt;999,ROUND(100/AI44*AJ44-100,1),IF(ROUND(100/AI44*AJ44-100,1)&gt;999,999,-999)))</f>
        <v>12.9</v>
      </c>
      <c r="AL44" s="576"/>
      <c r="AM44" s="545"/>
      <c r="AN44" s="545"/>
      <c r="AO44" s="545"/>
    </row>
    <row r="45" spans="1:41" ht="18.75" customHeight="1" x14ac:dyDescent="0.3">
      <c r="A45" s="411" t="s">
        <v>329</v>
      </c>
      <c r="B45" s="431">
        <f>'Tabell 5.1'!B19+'Tabell 5.1'!B31+'Tabell 5.1'!B43+'Tabell 5.1'!B55+'Tabell 5.1'!B69+'Tabell 5.1'!B81+'Tabell 5.1'!B93+'Tabell 5.1'!B105+'Tabell 5.2'!B19+'Tabell 5.2'!B31+'Tabell 5.2'!B55+'Tabell 5.2'!B67+'Tabell 5.2'!B79+B19+B31+'Tabell 5.2'!B91+'Tabell 5.2'!B115+'Tabell 5.2'!B141+'Tabell 5.2'!B43+'Tabell 5.2'!B103+'Tabell 5.2'!B129</f>
        <v>0</v>
      </c>
      <c r="C45" s="431">
        <f>'Tabell 5.1'!C19+'Tabell 5.1'!C31+'Tabell 5.1'!C43+'Tabell 5.1'!C55+'Tabell 5.1'!C69+'Tabell 5.1'!C81+'Tabell 5.1'!C93+'Tabell 5.1'!C105+'Tabell 5.2'!C19+'Tabell 5.2'!C31+'Tabell 5.2'!C55+'Tabell 5.2'!C67+'Tabell 5.2'!C79+C19+C31+'Tabell 5.2'!C91+'Tabell 5.2'!C115+'Tabell 5.2'!C141+'Tabell 5.2'!C43+'Tabell 5.2'!C103+'Tabell 5.2'!C129</f>
        <v>0</v>
      </c>
      <c r="D45" s="442" t="str">
        <f t="shared" si="15"/>
        <v xml:space="preserve">    ---- </v>
      </c>
      <c r="E45" s="431">
        <f>'Tabell 5.1'!E19+'Tabell 5.1'!E31+'Tabell 5.1'!E43+'Tabell 5.1'!E55+'Tabell 5.1'!E69+'Tabell 5.1'!E81+'Tabell 5.1'!E93+'Tabell 5.1'!E105+'Tabell 5.2'!E19+'Tabell 5.2'!E31+'Tabell 5.2'!E55+'Tabell 5.2'!E67+'Tabell 5.2'!E79+E19+E31+'Tabell 5.2'!E91+'Tabell 5.2'!E115+'Tabell 5.2'!E141+'Tabell 5.2'!E43+'Tabell 5.2'!E103+'Tabell 5.2'!E129</f>
        <v>0</v>
      </c>
      <c r="F45" s="431">
        <f>'Tabell 5.1'!F19+'Tabell 5.1'!F31+'Tabell 5.1'!F43+'Tabell 5.1'!F55+'Tabell 5.1'!F69+'Tabell 5.1'!F81+'Tabell 5.1'!F93+'Tabell 5.1'!F105+'Tabell 5.2'!F19+'Tabell 5.2'!F31+'Tabell 5.2'!F55+'Tabell 5.2'!F67+'Tabell 5.2'!F79+F19+F31+'Tabell 5.2'!F91+'Tabell 5.2'!F115+'Tabell 5.2'!F141+'Tabell 5.2'!F43+'Tabell 5.2'!F103+'Tabell 5.2'!F129</f>
        <v>0</v>
      </c>
      <c r="G45" s="431"/>
      <c r="H45" s="431">
        <f>'Tabell 5.1'!H19+'Tabell 5.1'!H31+'Tabell 5.1'!H43+'Tabell 5.1'!H55+'Tabell 5.1'!H69+'Tabell 5.1'!H81+'Tabell 5.1'!H93+'Tabell 5.1'!H105+'Tabell 5.2'!H19+'Tabell 5.2'!H31+'Tabell 5.2'!H55+'Tabell 5.2'!H67+'Tabell 5.2'!H79+H19+H31+'Tabell 5.2'!H91+'Tabell 5.2'!H115+'Tabell 5.2'!H141+'Tabell 5.2'!H43+'Tabell 5.2'!H103+'Tabell 5.2'!H129</f>
        <v>0.38</v>
      </c>
      <c r="I45" s="431">
        <f>'Tabell 5.1'!I19+'Tabell 5.1'!I31+'Tabell 5.1'!I43+'Tabell 5.1'!I55+'Tabell 5.1'!I69+'Tabell 5.1'!I81+'Tabell 5.1'!I93+'Tabell 5.1'!I105+'Tabell 5.2'!I19+'Tabell 5.2'!I31+'Tabell 5.2'!I55+'Tabell 5.2'!I67+'Tabell 5.2'!I79+I19+I31+'Tabell 5.2'!I91+'Tabell 5.2'!I115+'Tabell 5.2'!I141+'Tabell 5.2'!I43+'Tabell 5.2'!I103+'Tabell 5.2'!I129</f>
        <v>0</v>
      </c>
      <c r="J45" s="431">
        <f t="shared" si="17"/>
        <v>-100</v>
      </c>
      <c r="K45" s="431">
        <f>'Tabell 5.1'!K19+'Tabell 5.1'!K31+'Tabell 5.1'!K43+'Tabell 5.1'!K55+'Tabell 5.1'!K69+'Tabell 5.1'!K81+'Tabell 5.1'!K93+'Tabell 5.1'!K105+'Tabell 5.2'!K19+'Tabell 5.2'!K31+'Tabell 5.2'!K55+'Tabell 5.2'!K67+'Tabell 5.2'!K79+K19+K31+'Tabell 5.2'!K91+'Tabell 5.2'!K115+'Tabell 5.2'!K141+'Tabell 5.2'!K43+'Tabell 5.2'!K103+'Tabell 5.2'!K129</f>
        <v>0</v>
      </c>
      <c r="L45" s="431">
        <f>'Tabell 5.1'!L19+'Tabell 5.1'!L31+'Tabell 5.1'!L43+'Tabell 5.1'!L55+'Tabell 5.1'!L69+'Tabell 5.1'!L81+'Tabell 5.1'!L93+'Tabell 5.1'!L105+'Tabell 5.2'!L19+'Tabell 5.2'!L31+'Tabell 5.2'!L55+'Tabell 5.2'!L67+'Tabell 5.2'!L79+L19+L31+'Tabell 5.2'!L91+'Tabell 5.2'!L115+'Tabell 5.2'!L141+'Tabell 5.2'!L43+'Tabell 5.2'!L103+'Tabell 5.2'!L129</f>
        <v>0</v>
      </c>
      <c r="M45" s="442" t="str">
        <f t="shared" si="18"/>
        <v xml:space="preserve">    ---- </v>
      </c>
      <c r="N45" s="431">
        <f>'Tabell 5.1'!N19+'Tabell 5.1'!N31+'Tabell 5.1'!N43+'Tabell 5.1'!N55+'Tabell 5.1'!N69+'Tabell 5.1'!N81+'Tabell 5.1'!N93+'Tabell 5.1'!N105+'Tabell 5.2'!N19+'Tabell 5.2'!N31+'Tabell 5.2'!N55+'Tabell 5.2'!N67+'Tabell 5.2'!N79+N19+N31+'Tabell 5.2'!N91+'Tabell 5.2'!N115+'Tabell 5.2'!N141+'Tabell 5.2'!N43+'Tabell 5.2'!N103+'Tabell 5.2'!N129</f>
        <v>0</v>
      </c>
      <c r="O45" s="431">
        <f>'Tabell 5.1'!O19+'Tabell 5.1'!O31+'Tabell 5.1'!O43+'Tabell 5.1'!O55+'Tabell 5.1'!O69+'Tabell 5.1'!O81+'Tabell 5.1'!O93+'Tabell 5.1'!O105+'Tabell 5.2'!O19+'Tabell 5.2'!O31+'Tabell 5.2'!O55+'Tabell 5.2'!O67+'Tabell 5.2'!O79+O19+O31+'Tabell 5.2'!O91+'Tabell 5.2'!O115+'Tabell 5.2'!O141+'Tabell 5.2'!O43+'Tabell 5.2'!O103+'Tabell 5.2'!O129</f>
        <v>0</v>
      </c>
      <c r="P45" s="442" t="str">
        <f t="shared" si="19"/>
        <v xml:space="preserve">    ---- </v>
      </c>
      <c r="Q45" s="431">
        <f>'Tabell 5.1'!Q19+'Tabell 5.1'!Q31+'Tabell 5.1'!Q43+'Tabell 5.1'!Q55+'Tabell 5.1'!Q69+'Tabell 5.1'!Q81+'Tabell 5.1'!Q93+'Tabell 5.1'!Q105+'Tabell 5.2'!Q19+'Tabell 5.2'!Q31+'Tabell 5.2'!Q55+'Tabell 5.2'!Q67+'Tabell 5.2'!Q79+Q19+Q31+'Tabell 5.2'!Q91+'Tabell 5.2'!Q115+'Tabell 5.2'!Q141+'Tabell 5.2'!Q43+'Tabell 5.2'!Q103+'Tabell 5.2'!Q129</f>
        <v>-14.266725000000001</v>
      </c>
      <c r="R45" s="431">
        <f>'Tabell 5.1'!R19+'Tabell 5.1'!R31+'Tabell 5.1'!R43+'Tabell 5.1'!R55+'Tabell 5.1'!R69+'Tabell 5.1'!R81+'Tabell 5.1'!R93+'Tabell 5.1'!R105+'Tabell 5.2'!R19+'Tabell 5.2'!R31+'Tabell 5.2'!R55+'Tabell 5.2'!R67+'Tabell 5.2'!R79+R19+R31+'Tabell 5.2'!R91+'Tabell 5.2'!R115+'Tabell 5.2'!R141+'Tabell 5.2'!R43+'Tabell 5.2'!R103+'Tabell 5.2'!R129</f>
        <v>-13.539808000000001</v>
      </c>
      <c r="S45" s="442">
        <f t="shared" si="20"/>
        <v>-5.0999999999999996</v>
      </c>
      <c r="T45" s="431">
        <f>'Tabell 5.1'!T19+'Tabell 5.1'!T31+'Tabell 5.1'!T43+'Tabell 5.1'!T55+'Tabell 5.1'!T69+'Tabell 5.1'!T81+'Tabell 5.1'!T93+'Tabell 5.1'!T105+'Tabell 5.2'!T19+'Tabell 5.2'!T31+'Tabell 5.2'!T55+'Tabell 5.2'!T67+'Tabell 5.2'!T79+T19+T31+'Tabell 5.2'!T91+'Tabell 5.2'!T115+'Tabell 5.2'!T141+'Tabell 5.2'!T43+'Tabell 5.2'!T103+'Tabell 5.2'!T129</f>
        <v>0</v>
      </c>
      <c r="U45" s="431">
        <f>'Tabell 5.1'!U19+'Tabell 5.1'!U31+'Tabell 5.1'!U43+'Tabell 5.1'!U55+'Tabell 5.1'!U69+'Tabell 5.1'!U81+'Tabell 5.1'!U93+'Tabell 5.1'!U105+'Tabell 5.2'!U19+'Tabell 5.2'!U31+'Tabell 5.2'!U55+'Tabell 5.2'!U67+'Tabell 5.2'!U79+U19+U31+'Tabell 5.2'!U91+'Tabell 5.2'!U115+'Tabell 5.2'!U141+'Tabell 5.2'!U43+'Tabell 5.2'!U103+'Tabell 5.2'!U129</f>
        <v>0</v>
      </c>
      <c r="V45" s="431" t="str">
        <f t="shared" si="21"/>
        <v xml:space="preserve">    ---- </v>
      </c>
      <c r="W45" s="431">
        <f>'Tabell 5.1'!W19+'Tabell 5.1'!W31+'Tabell 5.1'!W43+'Tabell 5.1'!W55+'Tabell 5.1'!W69+'Tabell 5.1'!W81+'Tabell 5.1'!W93+'Tabell 5.1'!W105+'Tabell 5.2'!W19+'Tabell 5.2'!W31+'Tabell 5.2'!W55+'Tabell 5.2'!W67+'Tabell 5.2'!W79+W19+W31+'Tabell 5.2'!W91+'Tabell 5.2'!W115+'Tabell 5.2'!W141+'Tabell 5.2'!W43+'Tabell 5.2'!W103+'Tabell 5.2'!W129</f>
        <v>0</v>
      </c>
      <c r="X45" s="431">
        <f>'Tabell 5.1'!X19+'Tabell 5.1'!X31+'Tabell 5.1'!X43+'Tabell 5.1'!X55+'Tabell 5.1'!X69+'Tabell 5.1'!X81+'Tabell 5.1'!X93+'Tabell 5.1'!X105+'Tabell 5.2'!X19+'Tabell 5.2'!X31+'Tabell 5.2'!X55+'Tabell 5.2'!X67+'Tabell 5.2'!X79+X19+X31+'Tabell 5.2'!X91+'Tabell 5.2'!X115+'Tabell 5.2'!X141+'Tabell 5.2'!X43+'Tabell 5.2'!X103+'Tabell 5.2'!X129</f>
        <v>0</v>
      </c>
      <c r="Y45" s="442" t="str">
        <f t="shared" si="22"/>
        <v xml:space="preserve">    ---- </v>
      </c>
      <c r="Z45" s="431">
        <f>'Tabell 5.1'!Z19+'Tabell 5.1'!Z31+'Tabell 5.1'!Z43+'Tabell 5.1'!Z55+'Tabell 5.1'!Z69+'Tabell 5.1'!Z81+'Tabell 5.1'!Z93+'Tabell 5.1'!Z105+'Tabell 5.2'!Z19+'Tabell 5.2'!Z31+'Tabell 5.2'!Z55+'Tabell 5.2'!Z67+'Tabell 5.2'!Z79+Z19+Z31+'Tabell 5.2'!Z91+'Tabell 5.2'!Z115+'Tabell 5.2'!Z141+'Tabell 5.2'!Z43+'Tabell 5.2'!Z103+'Tabell 5.2'!Z129</f>
        <v>134.65579321999999</v>
      </c>
      <c r="AA45" s="431">
        <f>'Tabell 5.1'!AA19+'Tabell 5.1'!AA31+'Tabell 5.1'!AA43+'Tabell 5.1'!AA55+'Tabell 5.1'!AA69+'Tabell 5.1'!AA81+'Tabell 5.1'!AA93+'Tabell 5.1'!AA105+'Tabell 5.2'!AA19+'Tabell 5.2'!AA31+'Tabell 5.2'!AA55+'Tabell 5.2'!AA67+'Tabell 5.2'!AA79+AA19+AA31+'Tabell 5.2'!AA91+'Tabell 5.2'!AA115+'Tabell 5.2'!AA141+'Tabell 5.2'!AA43+'Tabell 5.2'!AA103+'Tabell 5.2'!AA129</f>
        <v>0.40559899999999999</v>
      </c>
      <c r="AB45" s="431">
        <f t="shared" si="23"/>
        <v>-99.7</v>
      </c>
      <c r="AC45" s="431"/>
      <c r="AD45" s="431"/>
      <c r="AE45" s="431"/>
      <c r="AF45" s="431">
        <f t="shared" si="24"/>
        <v>120.76906821999999</v>
      </c>
      <c r="AG45" s="431">
        <f t="shared" si="24"/>
        <v>-13.134209</v>
      </c>
      <c r="AH45" s="442">
        <f t="shared" si="25"/>
        <v>-110.9</v>
      </c>
      <c r="AI45" s="431">
        <f t="shared" si="26"/>
        <v>120.76906821999999</v>
      </c>
      <c r="AJ45" s="431">
        <f t="shared" si="27"/>
        <v>-13.134209</v>
      </c>
      <c r="AK45" s="442"/>
      <c r="AL45" s="576"/>
      <c r="AM45" s="545"/>
      <c r="AN45" s="545"/>
      <c r="AO45" s="545"/>
    </row>
    <row r="46" spans="1:41" s="561" customFormat="1" ht="18.75" customHeight="1" x14ac:dyDescent="0.3">
      <c r="A46" s="528" t="s">
        <v>330</v>
      </c>
      <c r="B46" s="433">
        <f>'Tabell 5.1'!B20+'Tabell 5.1'!B32+'Tabell 5.1'!B44+'Tabell 5.1'!B56+'Tabell 5.1'!B70+'Tabell 5.1'!B82+'Tabell 5.1'!B94+'Tabell 5.1'!B106+'Tabell 5.2'!B20+'Tabell 5.2'!B32+'Tabell 5.2'!B56+'Tabell 5.2'!B68+'Tabell 5.2'!B80+B20+B32+'Tabell 5.2'!B92+'Tabell 5.2'!B116+'Tabell 5.2'!B142+'Tabell 5.2'!B44+'Tabell 5.2'!B104+'Tabell 5.2'!B130</f>
        <v>19184</v>
      </c>
      <c r="C46" s="433">
        <f>'Tabell 5.1'!C20+'Tabell 5.1'!C32+'Tabell 5.1'!C44+'Tabell 5.1'!C56+'Tabell 5.1'!C70+'Tabell 5.1'!C82+'Tabell 5.1'!C94+'Tabell 5.1'!C106+'Tabell 5.2'!C20+'Tabell 5.2'!C32+'Tabell 5.2'!C56+'Tabell 5.2'!C68+'Tabell 5.2'!C80+C20+C32+'Tabell 5.2'!C92+'Tabell 5.2'!C116+'Tabell 5.2'!C142+'Tabell 5.2'!C44+'Tabell 5.2'!C104+'Tabell 5.2'!C130</f>
        <v>26633.406769999994</v>
      </c>
      <c r="D46" s="443">
        <f t="shared" si="15"/>
        <v>38.799999999999997</v>
      </c>
      <c r="E46" s="433">
        <f>'Tabell 5.1'!E20+'Tabell 5.1'!E32+'Tabell 5.1'!E44+'Tabell 5.1'!E56+'Tabell 5.1'!E70+'Tabell 5.1'!E82+'Tabell 5.1'!E94+'Tabell 5.1'!E106+'Tabell 5.2'!E20+'Tabell 5.2'!E32+'Tabell 5.2'!E56+'Tabell 5.2'!E68+'Tabell 5.2'!E80+E20+E32+'Tabell 5.2'!E92+'Tabell 5.2'!E116+'Tabell 5.2'!E142+'Tabell 5.2'!E44+'Tabell 5.2'!E104+'Tabell 5.2'!E130</f>
        <v>927.73333729999968</v>
      </c>
      <c r="F46" s="433">
        <f>'Tabell 5.1'!F20+'Tabell 5.1'!F32+'Tabell 5.1'!F44+'Tabell 5.1'!F56+'Tabell 5.1'!F70+'Tabell 5.1'!F82+'Tabell 5.1'!F94+'Tabell 5.1'!F106+'Tabell 5.2'!F20+'Tabell 5.2'!F32+'Tabell 5.2'!F56+'Tabell 5.2'!F68+'Tabell 5.2'!F80+F20+F32+'Tabell 5.2'!F92+'Tabell 5.2'!F116+'Tabell 5.2'!F142+'Tabell 5.2'!F44+'Tabell 5.2'!F104+'Tabell 5.2'!F130</f>
        <v>1056.08924604</v>
      </c>
      <c r="G46" s="433">
        <f>IF(E46=0, "    ---- ", IF(ABS(ROUND(100/E46*F46-100,1))&lt;999,ROUND(100/E46*F46-100,1),IF(ROUND(100/E46*F46-100,1)&gt;999,999,-999)))</f>
        <v>13.8</v>
      </c>
      <c r="H46" s="433">
        <f>'Tabell 5.1'!H20+'Tabell 5.1'!H32+'Tabell 5.1'!H44+'Tabell 5.1'!H56+'Tabell 5.1'!H70+'Tabell 5.1'!H82+'Tabell 5.1'!H94+'Tabell 5.1'!H106+'Tabell 5.2'!H20+'Tabell 5.2'!H32+'Tabell 5.2'!H56+'Tabell 5.2'!H68+'Tabell 5.2'!H80+H20+H32+'Tabell 5.2'!H92+'Tabell 5.2'!H116+'Tabell 5.2'!H142+'Tabell 5.2'!H44+'Tabell 5.2'!H104+'Tabell 5.2'!H130</f>
        <v>7.7920000000000265</v>
      </c>
      <c r="I46" s="433">
        <f>'Tabell 5.1'!I20+'Tabell 5.1'!I32+'Tabell 5.1'!I44+'Tabell 5.1'!I56+'Tabell 5.1'!I70+'Tabell 5.1'!I82+'Tabell 5.1'!I94+'Tabell 5.1'!I106+'Tabell 5.2'!I20+'Tabell 5.2'!I32+'Tabell 5.2'!I56+'Tabell 5.2'!I68+'Tabell 5.2'!I80+I20+I32+'Tabell 5.2'!I92+'Tabell 5.2'!I116+'Tabell 5.2'!I142+'Tabell 5.2'!I44+'Tabell 5.2'!I104+'Tabell 5.2'!I130</f>
        <v>96.742000000000019</v>
      </c>
      <c r="J46" s="433">
        <f>IF(H46=0, "    ---- ", IF(ABS(ROUND(100/H46*I46-100,1))&lt;999,ROUND(100/H46*I46-100,1),IF(ROUND(100/H46*I46-100,1)&gt;999,999,-999)))</f>
        <v>999</v>
      </c>
      <c r="K46" s="433">
        <f>'Tabell 5.1'!K20+'Tabell 5.1'!K32+'Tabell 5.1'!K44+'Tabell 5.1'!K56+'Tabell 5.1'!K70+'Tabell 5.1'!K82+'Tabell 5.1'!K94+'Tabell 5.1'!K106+'Tabell 5.2'!K20+'Tabell 5.2'!K32+'Tabell 5.2'!K56+'Tabell 5.2'!K68+'Tabell 5.2'!K80+K20+K32+'Tabell 5.2'!K92+'Tabell 5.2'!K116+'Tabell 5.2'!K142+'Tabell 5.2'!K44+'Tabell 5.2'!K104+'Tabell 5.2'!K130</f>
        <v>-52</v>
      </c>
      <c r="L46" s="433">
        <f>'Tabell 5.1'!L20+'Tabell 5.1'!L32+'Tabell 5.1'!L44+'Tabell 5.1'!L56+'Tabell 5.1'!L70+'Tabell 5.1'!L82+'Tabell 5.1'!L94+'Tabell 5.1'!L106+'Tabell 5.2'!L20+'Tabell 5.2'!L32+'Tabell 5.2'!L56+'Tabell 5.2'!L68+'Tabell 5.2'!L80+L20+L32+'Tabell 5.2'!L92+'Tabell 5.2'!L116+'Tabell 5.2'!L142+'Tabell 5.2'!L44+'Tabell 5.2'!L104+'Tabell 5.2'!L130</f>
        <v>329</v>
      </c>
      <c r="M46" s="443">
        <f t="shared" si="18"/>
        <v>-732.7</v>
      </c>
      <c r="N46" s="433">
        <f>'Tabell 5.1'!N20+'Tabell 5.1'!N32+'Tabell 5.1'!N44+'Tabell 5.1'!N56+'Tabell 5.1'!N70+'Tabell 5.1'!N82+'Tabell 5.1'!N94+'Tabell 5.1'!N106+'Tabell 5.2'!N20+'Tabell 5.2'!N32+'Tabell 5.2'!N56+'Tabell 5.2'!N68+'Tabell 5.2'!N80+N20+N32+'Tabell 5.2'!N92+'Tabell 5.2'!N116+'Tabell 5.2'!N142+'Tabell 5.2'!N44+'Tabell 5.2'!N104+'Tabell 5.2'!N130</f>
        <v>30545.779026568991</v>
      </c>
      <c r="O46" s="433">
        <f>'Tabell 5.1'!O20+'Tabell 5.1'!O32+'Tabell 5.1'!O44+'Tabell 5.1'!O56+'Tabell 5.1'!O70+'Tabell 5.1'!O82+'Tabell 5.1'!O94+'Tabell 5.1'!O106+'Tabell 5.2'!O20+'Tabell 5.2'!O32+'Tabell 5.2'!O56+'Tabell 5.2'!O68+'Tabell 5.2'!O80+O20+O32+'Tabell 5.2'!O92+'Tabell 5.2'!O116+'Tabell 5.2'!O142+'Tabell 5.2'!O44+'Tabell 5.2'!O104+'Tabell 5.2'!O130</f>
        <v>51972.247808670822</v>
      </c>
      <c r="P46" s="443">
        <f t="shared" si="19"/>
        <v>70.099999999999994</v>
      </c>
      <c r="Q46" s="433">
        <f>'Tabell 5.1'!Q20+'Tabell 5.1'!Q32+'Tabell 5.1'!Q44+'Tabell 5.1'!Q56+'Tabell 5.1'!Q70+'Tabell 5.1'!Q82+'Tabell 5.1'!Q94+'Tabell 5.1'!Q106+'Tabell 5.2'!Q20+'Tabell 5.2'!Q32+'Tabell 5.2'!Q56+'Tabell 5.2'!Q68+'Tabell 5.2'!Q80+Q20+Q32+'Tabell 5.2'!Q92+'Tabell 5.2'!Q116+'Tabell 5.2'!Q142+'Tabell 5.2'!Q44+'Tabell 5.2'!Q104+'Tabell 5.2'!Q130</f>
        <v>1119.9133601811241</v>
      </c>
      <c r="R46" s="433">
        <f>'Tabell 5.1'!R20+'Tabell 5.1'!R32+'Tabell 5.1'!R44+'Tabell 5.1'!R56+'Tabell 5.1'!R70+'Tabell 5.1'!R82+'Tabell 5.1'!R94+'Tabell 5.1'!R106+'Tabell 5.2'!R20+'Tabell 5.2'!R32+'Tabell 5.2'!R56+'Tabell 5.2'!R68+'Tabell 5.2'!R80+R20+R32+'Tabell 5.2'!R92+'Tabell 5.2'!R116+'Tabell 5.2'!R142+'Tabell 5.2'!R44+'Tabell 5.2'!R104+'Tabell 5.2'!R130</f>
        <v>1877.16207121105</v>
      </c>
      <c r="S46" s="443">
        <f t="shared" si="20"/>
        <v>67.599999999999994</v>
      </c>
      <c r="T46" s="433">
        <f>'Tabell 5.1'!T20+'Tabell 5.1'!T32+'Tabell 5.1'!T44+'Tabell 5.1'!T56+'Tabell 5.1'!T70+'Tabell 5.1'!T82+'Tabell 5.1'!T94+'Tabell 5.1'!T106+'Tabell 5.2'!T20+'Tabell 5.2'!T32+'Tabell 5.2'!T56+'Tabell 5.2'!T68+'Tabell 5.2'!T80+T20+T32+'Tabell 5.2'!T92+'Tabell 5.2'!T116+'Tabell 5.2'!T142+'Tabell 5.2'!T44+'Tabell 5.2'!T104+'Tabell 5.2'!T130</f>
        <v>1057</v>
      </c>
      <c r="U46" s="433">
        <f>'Tabell 5.1'!U20+'Tabell 5.1'!U32+'Tabell 5.1'!U44+'Tabell 5.1'!U56+'Tabell 5.1'!U70+'Tabell 5.1'!U82+'Tabell 5.1'!U94+'Tabell 5.1'!U106+'Tabell 5.2'!U20+'Tabell 5.2'!U32+'Tabell 5.2'!U56+'Tabell 5.2'!U68+'Tabell 5.2'!U80+U20+U32+'Tabell 5.2'!U92+'Tabell 5.2'!U116+'Tabell 5.2'!U142+'Tabell 5.2'!U44+'Tabell 5.2'!U104+'Tabell 5.2'!U130</f>
        <v>1427</v>
      </c>
      <c r="V46" s="433">
        <f t="shared" si="21"/>
        <v>35</v>
      </c>
      <c r="W46" s="433">
        <f>'Tabell 5.1'!W20+'Tabell 5.1'!W32+'Tabell 5.1'!W44+'Tabell 5.1'!W56+'Tabell 5.1'!W70+'Tabell 5.1'!W82+'Tabell 5.1'!W94+'Tabell 5.1'!W106+'Tabell 5.2'!W20+'Tabell 5.2'!W32+'Tabell 5.2'!W56+'Tabell 5.2'!W68+'Tabell 5.2'!W80+W20+W32+'Tabell 5.2'!W92+'Tabell 5.2'!W116+'Tabell 5.2'!W142+'Tabell 5.2'!W44+'Tabell 5.2'!W104+'Tabell 5.2'!W130</f>
        <v>37</v>
      </c>
      <c r="X46" s="433">
        <f>'Tabell 5.1'!X20+'Tabell 5.1'!X32+'Tabell 5.1'!X44+'Tabell 5.1'!X56+'Tabell 5.1'!X70+'Tabell 5.1'!X82+'Tabell 5.1'!X94+'Tabell 5.1'!X106+'Tabell 5.2'!X20+'Tabell 5.2'!X32+'Tabell 5.2'!X56+'Tabell 5.2'!X68+'Tabell 5.2'!X80+X20+X32+'Tabell 5.2'!X92+'Tabell 5.2'!X116+'Tabell 5.2'!X142+'Tabell 5.2'!X44+'Tabell 5.2'!X104+'Tabell 5.2'!X130</f>
        <v>475</v>
      </c>
      <c r="Y46" s="443">
        <f t="shared" si="22"/>
        <v>999</v>
      </c>
      <c r="Z46" s="433">
        <f>'Tabell 5.1'!Z20+'Tabell 5.1'!Z32+'Tabell 5.1'!Z44+'Tabell 5.1'!Z56+'Tabell 5.1'!Z70+'Tabell 5.1'!Z82+'Tabell 5.1'!Z94+'Tabell 5.1'!Z106+'Tabell 5.2'!Z20+'Tabell 5.2'!Z32+'Tabell 5.2'!Z56+'Tabell 5.2'!Z68+'Tabell 5.2'!Z80+Z20+Z32+'Tabell 5.2'!Z92+'Tabell 5.2'!Z116+'Tabell 5.2'!Z142+'Tabell 5.2'!Z44+'Tabell 5.2'!Z104+'Tabell 5.2'!Z130</f>
        <v>1680.5254169628799</v>
      </c>
      <c r="AA46" s="433">
        <f>'Tabell 5.1'!AA20+'Tabell 5.1'!AA32+'Tabell 5.1'!AA44+'Tabell 5.1'!AA56+'Tabell 5.1'!AA70+'Tabell 5.1'!AA82+'Tabell 5.1'!AA94+'Tabell 5.1'!AA106+'Tabell 5.2'!AA20+'Tabell 5.2'!AA32+'Tabell 5.2'!AA56+'Tabell 5.2'!AA68+'Tabell 5.2'!AA80+AA20+AA32+'Tabell 5.2'!AA92+'Tabell 5.2'!AA116+'Tabell 5.2'!AA142+'Tabell 5.2'!AA44+'Tabell 5.2'!AA104+'Tabell 5.2'!AA130</f>
        <v>3570.7229199200128</v>
      </c>
      <c r="AB46" s="433">
        <f t="shared" si="23"/>
        <v>112.5</v>
      </c>
      <c r="AC46" s="433"/>
      <c r="AD46" s="433"/>
      <c r="AE46" s="433"/>
      <c r="AF46" s="433">
        <f t="shared" si="24"/>
        <v>54507.743141013001</v>
      </c>
      <c r="AG46" s="433">
        <f t="shared" si="24"/>
        <v>87437.370815841859</v>
      </c>
      <c r="AH46" s="443">
        <f t="shared" si="25"/>
        <v>60.4</v>
      </c>
      <c r="AI46" s="433">
        <f t="shared" si="26"/>
        <v>54507.743141013001</v>
      </c>
      <c r="AJ46" s="433">
        <f t="shared" si="27"/>
        <v>87437.370815841859</v>
      </c>
      <c r="AK46" s="443">
        <f>IF(AI46=0, "    ---- ", IF(ABS(ROUND(100/AI46*AJ46-100,1))&lt;999,ROUND(100/AI46*AJ46-100,1),IF(ROUND(100/AI46*AJ46-100,1)&gt;999,999,-999)))</f>
        <v>60.4</v>
      </c>
      <c r="AL46" s="577"/>
      <c r="AM46" s="548"/>
      <c r="AN46" s="548"/>
      <c r="AO46" s="548"/>
    </row>
    <row r="47" spans="1:41" ht="18.75" customHeight="1" x14ac:dyDescent="0.3">
      <c r="A47" s="411" t="s">
        <v>331</v>
      </c>
      <c r="B47" s="431">
        <f>'Tabell 5.1'!B21+'Tabell 5.1'!B33+'Tabell 5.1'!B45+'Tabell 5.1'!B57+'Tabell 5.1'!B71+'Tabell 5.1'!B83+'Tabell 5.1'!B95+'Tabell 5.1'!B107+'Tabell 5.2'!B21+'Tabell 5.2'!B33+'Tabell 5.2'!B57+'Tabell 5.2'!B69+'Tabell 5.2'!B81+B21+B33+'Tabell 5.2'!B93+'Tabell 5.2'!B117+'Tabell 5.2'!B143+'Tabell 5.2'!B45+'Tabell 5.2'!B105+'Tabell 5.2'!B131</f>
        <v>18435</v>
      </c>
      <c r="C47" s="431">
        <f>'Tabell 5.1'!C21+'Tabell 5.1'!C33+'Tabell 5.1'!C45+'Tabell 5.1'!C57+'Tabell 5.1'!C71+'Tabell 5.1'!C83+'Tabell 5.1'!C95+'Tabell 5.1'!C107+'Tabell 5.2'!C21+'Tabell 5.2'!C33+'Tabell 5.2'!C57+'Tabell 5.2'!C69+'Tabell 5.2'!C81+C21+C33+'Tabell 5.2'!C93+'Tabell 5.2'!C117+'Tabell 5.2'!C143+'Tabell 5.2'!C45+'Tabell 5.2'!C105+'Tabell 5.2'!C131</f>
        <v>23902.076000000001</v>
      </c>
      <c r="D47" s="442">
        <f t="shared" si="15"/>
        <v>29.7</v>
      </c>
      <c r="E47" s="431">
        <f>'Tabell 5.1'!E21+'Tabell 5.1'!E33+'Tabell 5.1'!E45+'Tabell 5.1'!E57+'Tabell 5.1'!E71+'Tabell 5.1'!E83+'Tabell 5.1'!E95+'Tabell 5.1'!E107+'Tabell 5.2'!E21+'Tabell 5.2'!E33+'Tabell 5.2'!E57+'Tabell 5.2'!E69+'Tabell 5.2'!E81+E21+E33+'Tabell 5.2'!E93+'Tabell 5.2'!E117+'Tabell 5.2'!E143+'Tabell 5.2'!E45+'Tabell 5.2'!E105+'Tabell 5.2'!E131</f>
        <v>0</v>
      </c>
      <c r="F47" s="431">
        <f>'Tabell 5.1'!F21+'Tabell 5.1'!F33+'Tabell 5.1'!F45+'Tabell 5.1'!F57+'Tabell 5.1'!F71+'Tabell 5.1'!F83+'Tabell 5.1'!F95+'Tabell 5.1'!F107+'Tabell 5.2'!F21+'Tabell 5.2'!F33+'Tabell 5.2'!F57+'Tabell 5.2'!F69+'Tabell 5.2'!F81+F21+F33+'Tabell 5.2'!F93+'Tabell 5.2'!F117+'Tabell 5.2'!F143+'Tabell 5.2'!F45+'Tabell 5.2'!F105+'Tabell 5.2'!F131</f>
        <v>0</v>
      </c>
      <c r="G47" s="431" t="str">
        <f>IF(E47=0, "    ---- ", IF(ABS(ROUND(100/E47*F47-100,1))&lt;999,ROUND(100/E47*F47-100,1),IF(ROUND(100/E47*F47-100,1)&gt;999,999,-999)))</f>
        <v xml:space="preserve">    ---- </v>
      </c>
      <c r="H47" s="431">
        <f>'Tabell 5.1'!H21+'Tabell 5.1'!H33+'Tabell 5.1'!H45+'Tabell 5.1'!H57+'Tabell 5.1'!H71+'Tabell 5.1'!H83+'Tabell 5.1'!H95+'Tabell 5.1'!H107+'Tabell 5.2'!H21+'Tabell 5.2'!H33+'Tabell 5.2'!H57+'Tabell 5.2'!H69+'Tabell 5.2'!H81+H21+H33+'Tabell 5.2'!H93+'Tabell 5.2'!H117+'Tabell 5.2'!H143+'Tabell 5.2'!H45+'Tabell 5.2'!H105+'Tabell 5.2'!H131</f>
        <v>0</v>
      </c>
      <c r="I47" s="431">
        <f>'Tabell 5.1'!I21+'Tabell 5.1'!I33+'Tabell 5.1'!I45+'Tabell 5.1'!I57+'Tabell 5.1'!I71+'Tabell 5.1'!I83+'Tabell 5.1'!I95+'Tabell 5.1'!I107+'Tabell 5.2'!I21+'Tabell 5.2'!I33+'Tabell 5.2'!I57+'Tabell 5.2'!I69+'Tabell 5.2'!I81+I21+I33+'Tabell 5.2'!I93+'Tabell 5.2'!I117+'Tabell 5.2'!I143+'Tabell 5.2'!I45+'Tabell 5.2'!I105+'Tabell 5.2'!I131</f>
        <v>0</v>
      </c>
      <c r="J47" s="431" t="str">
        <f>IF(H47=0, "    ---- ", IF(ABS(ROUND(100/H47*I47-100,1))&lt;999,ROUND(100/H47*I47-100,1),IF(ROUND(100/H47*I47-100,1)&gt;999,999,-999)))</f>
        <v xml:space="preserve">    ---- </v>
      </c>
      <c r="K47" s="431">
        <f>'Tabell 5.1'!K21+'Tabell 5.1'!K33+'Tabell 5.1'!K45+'Tabell 5.1'!K57+'Tabell 5.1'!K71+'Tabell 5.1'!K83+'Tabell 5.1'!K95+'Tabell 5.1'!K107+'Tabell 5.2'!K21+'Tabell 5.2'!K33+'Tabell 5.2'!K57+'Tabell 5.2'!K69+'Tabell 5.2'!K81+K21+K33+'Tabell 5.2'!K93+'Tabell 5.2'!K117+'Tabell 5.2'!K143+'Tabell 5.2'!K45+'Tabell 5.2'!K105+'Tabell 5.2'!K131</f>
        <v>-22</v>
      </c>
      <c r="L47" s="431">
        <f>'Tabell 5.1'!L21+'Tabell 5.1'!L33+'Tabell 5.1'!L45+'Tabell 5.1'!L57+'Tabell 5.1'!L71+'Tabell 5.1'!L83+'Tabell 5.1'!L95+'Tabell 5.1'!L107+'Tabell 5.2'!L21+'Tabell 5.2'!L33+'Tabell 5.2'!L57+'Tabell 5.2'!L69+'Tabell 5.2'!L81+L21+L33+'Tabell 5.2'!L93+'Tabell 5.2'!L117+'Tabell 5.2'!L143+'Tabell 5.2'!L45+'Tabell 5.2'!L105+'Tabell 5.2'!L131</f>
        <v>109</v>
      </c>
      <c r="M47" s="442">
        <f t="shared" si="18"/>
        <v>-595.5</v>
      </c>
      <c r="N47" s="431">
        <f>'Tabell 5.1'!N21+'Tabell 5.1'!N33+'Tabell 5.1'!N45+'Tabell 5.1'!N57+'Tabell 5.1'!N71+'Tabell 5.1'!N83+'Tabell 5.1'!N95+'Tabell 5.1'!N107+'Tabell 5.2'!N21+'Tabell 5.2'!N33+'Tabell 5.2'!N57+'Tabell 5.2'!N69+'Tabell 5.2'!N81+N21+N33+'Tabell 5.2'!N93+'Tabell 5.2'!N117+'Tabell 5.2'!N143+'Tabell 5.2'!N45+'Tabell 5.2'!N105+'Tabell 5.2'!N131</f>
        <v>30324.300413978985</v>
      </c>
      <c r="O47" s="431">
        <f>'Tabell 5.1'!O21+'Tabell 5.1'!O33+'Tabell 5.1'!O45+'Tabell 5.1'!O57+'Tabell 5.1'!O71+'Tabell 5.1'!O83+'Tabell 5.1'!O95+'Tabell 5.1'!O107+'Tabell 5.2'!O21+'Tabell 5.2'!O33+'Tabell 5.2'!O57+'Tabell 5.2'!O69+'Tabell 5.2'!O81+O21+O33+'Tabell 5.2'!O93+'Tabell 5.2'!O117+'Tabell 5.2'!O143+'Tabell 5.2'!O45+'Tabell 5.2'!O105+'Tabell 5.2'!O131</f>
        <v>51555.037953950094</v>
      </c>
      <c r="P47" s="442">
        <f t="shared" si="19"/>
        <v>70</v>
      </c>
      <c r="Q47" s="431">
        <f>'Tabell 5.1'!Q21+'Tabell 5.1'!Q33+'Tabell 5.1'!Q45+'Tabell 5.1'!Q57+'Tabell 5.1'!Q71+'Tabell 5.1'!Q83+'Tabell 5.1'!Q95+'Tabell 5.1'!Q107+'Tabell 5.2'!Q21+'Tabell 5.2'!Q33+'Tabell 5.2'!Q57+'Tabell 5.2'!Q69+'Tabell 5.2'!Q81+Q21+Q33+'Tabell 5.2'!Q93+'Tabell 5.2'!Q117+'Tabell 5.2'!Q143+'Tabell 5.2'!Q45+'Tabell 5.2'!Q105+'Tabell 5.2'!Q131</f>
        <v>86.030750757307345</v>
      </c>
      <c r="R47" s="431">
        <f>'Tabell 5.1'!R21+'Tabell 5.1'!R33+'Tabell 5.1'!R45+'Tabell 5.1'!R57+'Tabell 5.1'!R71+'Tabell 5.1'!R83+'Tabell 5.1'!R95+'Tabell 5.1'!R107+'Tabell 5.2'!R21+'Tabell 5.2'!R33+'Tabell 5.2'!R57+'Tabell 5.2'!R69+'Tabell 5.2'!R81+R21+R33+'Tabell 5.2'!R93+'Tabell 5.2'!R117+'Tabell 5.2'!R143+'Tabell 5.2'!R45+'Tabell 5.2'!R105+'Tabell 5.2'!R131</f>
        <v>511.92498956790513</v>
      </c>
      <c r="S47" s="442">
        <f t="shared" si="20"/>
        <v>495</v>
      </c>
      <c r="T47" s="431">
        <f>'Tabell 5.1'!T21+'Tabell 5.1'!T33+'Tabell 5.1'!T45+'Tabell 5.1'!T57+'Tabell 5.1'!T71+'Tabell 5.1'!T83+'Tabell 5.1'!T95+'Tabell 5.1'!T107+'Tabell 5.2'!T21+'Tabell 5.2'!T33+'Tabell 5.2'!T57+'Tabell 5.2'!T69+'Tabell 5.2'!T81+T21+T33+'Tabell 5.2'!T93+'Tabell 5.2'!T117+'Tabell 5.2'!T143+'Tabell 5.2'!T45+'Tabell 5.2'!T105+'Tabell 5.2'!T131</f>
        <v>95</v>
      </c>
      <c r="U47" s="431">
        <f>'Tabell 5.1'!U21+'Tabell 5.1'!U33+'Tabell 5.1'!U45+'Tabell 5.1'!U57+'Tabell 5.1'!U71+'Tabell 5.1'!U83+'Tabell 5.1'!U95+'Tabell 5.1'!U107+'Tabell 5.2'!U21+'Tabell 5.2'!U33+'Tabell 5.2'!U57+'Tabell 5.2'!U69+'Tabell 5.2'!U81+U21+U33+'Tabell 5.2'!U93+'Tabell 5.2'!U117+'Tabell 5.2'!U143+'Tabell 5.2'!U45+'Tabell 5.2'!U105+'Tabell 5.2'!U131</f>
        <v>58</v>
      </c>
      <c r="V47" s="431">
        <f t="shared" si="21"/>
        <v>-38.9</v>
      </c>
      <c r="W47" s="431">
        <f>'Tabell 5.1'!W21+'Tabell 5.1'!W33+'Tabell 5.1'!W45+'Tabell 5.1'!W57+'Tabell 5.1'!W71+'Tabell 5.1'!W83+'Tabell 5.1'!W95+'Tabell 5.1'!W107+'Tabell 5.2'!W21+'Tabell 5.2'!W33+'Tabell 5.2'!W57+'Tabell 5.2'!W69+'Tabell 5.2'!W81+W21+W33+'Tabell 5.2'!W93+'Tabell 5.2'!W117+'Tabell 5.2'!W143+'Tabell 5.2'!W45+'Tabell 5.2'!W105+'Tabell 5.2'!W131</f>
        <v>35</v>
      </c>
      <c r="X47" s="431">
        <f>'Tabell 5.1'!X21+'Tabell 5.1'!X33+'Tabell 5.1'!X45+'Tabell 5.1'!X57+'Tabell 5.1'!X71+'Tabell 5.1'!X83+'Tabell 5.1'!X95+'Tabell 5.1'!X107+'Tabell 5.2'!X21+'Tabell 5.2'!X33+'Tabell 5.2'!X57+'Tabell 5.2'!X69+'Tabell 5.2'!X81+X21+X33+'Tabell 5.2'!X93+'Tabell 5.2'!X117+'Tabell 5.2'!X143+'Tabell 5.2'!X45+'Tabell 5.2'!X105+'Tabell 5.2'!X131</f>
        <v>366</v>
      </c>
      <c r="Y47" s="442">
        <f t="shared" si="22"/>
        <v>945.7</v>
      </c>
      <c r="Z47" s="431">
        <f>'Tabell 5.1'!Z21+'Tabell 5.1'!Z33+'Tabell 5.1'!Z45+'Tabell 5.1'!Z57+'Tabell 5.1'!Z71+'Tabell 5.1'!Z83+'Tabell 5.1'!Z95+'Tabell 5.1'!Z107+'Tabell 5.2'!Z21+'Tabell 5.2'!Z33+'Tabell 5.2'!Z57+'Tabell 5.2'!Z69+'Tabell 5.2'!Z81+Z21+Z33+'Tabell 5.2'!Z93+'Tabell 5.2'!Z117+'Tabell 5.2'!Z143+'Tabell 5.2'!Z45+'Tabell 5.2'!Z105+'Tabell 5.2'!Z131</f>
        <v>396.10128971811042</v>
      </c>
      <c r="AA47" s="431">
        <f>'Tabell 5.1'!AA21+'Tabell 5.1'!AA33+'Tabell 5.1'!AA45+'Tabell 5.1'!AA57+'Tabell 5.1'!AA71+'Tabell 5.1'!AA83+'Tabell 5.1'!AA95+'Tabell 5.1'!AA107+'Tabell 5.2'!AA21+'Tabell 5.2'!AA33+'Tabell 5.2'!AA57+'Tabell 5.2'!AA69+'Tabell 5.2'!AA81+AA21+AA33+'Tabell 5.2'!AA93+'Tabell 5.2'!AA117+'Tabell 5.2'!AA143+'Tabell 5.2'!AA45+'Tabell 5.2'!AA105+'Tabell 5.2'!AA131</f>
        <v>1748.8247019999999</v>
      </c>
      <c r="AB47" s="431">
        <f t="shared" si="23"/>
        <v>341.5</v>
      </c>
      <c r="AC47" s="431"/>
      <c r="AD47" s="431"/>
      <c r="AE47" s="431"/>
      <c r="AF47" s="431">
        <f t="shared" si="24"/>
        <v>49349.432454454407</v>
      </c>
      <c r="AG47" s="431">
        <f t="shared" si="24"/>
        <v>78250.863645517995</v>
      </c>
      <c r="AH47" s="442">
        <f t="shared" si="25"/>
        <v>58.6</v>
      </c>
      <c r="AI47" s="431">
        <f t="shared" si="26"/>
        <v>49349.432454454407</v>
      </c>
      <c r="AJ47" s="431">
        <f t="shared" si="27"/>
        <v>78250.863645517995</v>
      </c>
      <c r="AK47" s="442">
        <f>IF(AI47=0, "    ---- ", IF(ABS(ROUND(100/AI47*AJ47-100,1))&lt;999,ROUND(100/AI47*AJ47-100,1),IF(ROUND(100/AI47*AJ47-100,1)&gt;999,999,-999)))</f>
        <v>58.6</v>
      </c>
      <c r="AL47" s="576"/>
      <c r="AM47" s="545"/>
      <c r="AN47" s="545"/>
      <c r="AO47" s="545"/>
    </row>
    <row r="48" spans="1:41" ht="18.75" customHeight="1" x14ac:dyDescent="0.3">
      <c r="A48" s="413" t="s">
        <v>332</v>
      </c>
      <c r="B48" s="438">
        <f>'Tabell 5.1'!B22+'Tabell 5.1'!B34+'Tabell 5.1'!B46+'Tabell 5.1'!B58+'Tabell 5.1'!B72+'Tabell 5.1'!B84+'Tabell 5.1'!B96+'Tabell 5.1'!B108+'Tabell 5.2'!B22+'Tabell 5.2'!B34+'Tabell 5.2'!B58+'Tabell 5.2'!B70+'Tabell 5.2'!B82+B22+B34+'Tabell 5.2'!B94+'Tabell 5.2'!B118+'Tabell 5.2'!B144+'Tabell 5.2'!B46+'Tabell 5.2'!B106+'Tabell 5.2'!B132</f>
        <v>749</v>
      </c>
      <c r="C48" s="438">
        <f>'Tabell 5.1'!C22+'Tabell 5.1'!C34+'Tabell 5.1'!C46+'Tabell 5.1'!C58+'Tabell 5.1'!C72+'Tabell 5.1'!C84+'Tabell 5.1'!C96+'Tabell 5.1'!C108+'Tabell 5.2'!C22+'Tabell 5.2'!C34+'Tabell 5.2'!C58+'Tabell 5.2'!C70+'Tabell 5.2'!C82+C22+C34+'Tabell 5.2'!C94+'Tabell 5.2'!C118+'Tabell 5.2'!C144+'Tabell 5.2'!C46+'Tabell 5.2'!C106+'Tabell 5.2'!C132</f>
        <v>1169.2049999999999</v>
      </c>
      <c r="D48" s="438">
        <f t="shared" si="15"/>
        <v>56.1</v>
      </c>
      <c r="E48" s="438">
        <f>'Tabell 5.1'!E22+'Tabell 5.1'!E34+'Tabell 5.1'!E46+'Tabell 5.1'!E58+'Tabell 5.1'!E72+'Tabell 5.1'!E84+'Tabell 5.1'!E96+'Tabell 5.1'!E108+'Tabell 5.2'!E22+'Tabell 5.2'!E34+'Tabell 5.2'!E58+'Tabell 5.2'!E70+'Tabell 5.2'!E82+E22+E34+'Tabell 5.2'!E94+'Tabell 5.2'!E118+'Tabell 5.2'!E144+'Tabell 5.2'!E46+'Tabell 5.2'!E106+'Tabell 5.2'!E132</f>
        <v>927.73333729999968</v>
      </c>
      <c r="F48" s="438">
        <f>'Tabell 5.1'!F22+'Tabell 5.1'!F34+'Tabell 5.1'!F46+'Tabell 5.1'!F58+'Tabell 5.1'!F72+'Tabell 5.1'!F84+'Tabell 5.1'!F96+'Tabell 5.1'!F108+'Tabell 5.2'!F22+'Tabell 5.2'!F34+'Tabell 5.2'!F58+'Tabell 5.2'!F70+'Tabell 5.2'!F82+F22+F34+'Tabell 5.2'!F94+'Tabell 5.2'!F118+'Tabell 5.2'!F144+'Tabell 5.2'!F46+'Tabell 5.2'!F106+'Tabell 5.2'!F132</f>
        <v>1056.0892460400003</v>
      </c>
      <c r="G48" s="435">
        <f>IF(E48=0, "    ---- ", IF(ABS(ROUND(100/E48*F48-100,1))&lt;999,ROUND(100/E48*F48-100,1),IF(ROUND(100/E48*F48-100,1)&gt;999,999,-999)))</f>
        <v>13.8</v>
      </c>
      <c r="H48" s="438">
        <f>'Tabell 5.1'!H22+'Tabell 5.1'!H34+'Tabell 5.1'!H46+'Tabell 5.1'!H58+'Tabell 5.1'!H72+'Tabell 5.1'!H84+'Tabell 5.1'!H96+'Tabell 5.1'!H108+'Tabell 5.2'!H22+'Tabell 5.2'!H34+'Tabell 5.2'!H58+'Tabell 5.2'!H70+'Tabell 5.2'!H82+H22+H34+'Tabell 5.2'!H94+'Tabell 5.2'!H118+'Tabell 5.2'!H144+'Tabell 5.2'!H46+'Tabell 5.2'!H106+'Tabell 5.2'!H132</f>
        <v>7.8720000000000105</v>
      </c>
      <c r="I48" s="438">
        <f>'Tabell 5.1'!I22+'Tabell 5.1'!I34+'Tabell 5.1'!I46+'Tabell 5.1'!I58+'Tabell 5.1'!I72+'Tabell 5.1'!I84+'Tabell 5.1'!I96+'Tabell 5.1'!I108+'Tabell 5.2'!I22+'Tabell 5.2'!I34+'Tabell 5.2'!I58+'Tabell 5.2'!I70+'Tabell 5.2'!I82+I22+I34+'Tabell 5.2'!I94+'Tabell 5.2'!I118+'Tabell 5.2'!I144+'Tabell 5.2'!I46+'Tabell 5.2'!I106+'Tabell 5.2'!I132</f>
        <v>97.010999999999996</v>
      </c>
      <c r="J48" s="435">
        <f>IF(H48=0, "    ---- ", IF(ABS(ROUND(100/H48*I48-100,1))&lt;999,ROUND(100/H48*I48-100,1),IF(ROUND(100/H48*I48-100,1)&gt;999,999,-999)))</f>
        <v>999</v>
      </c>
      <c r="K48" s="438">
        <f>'Tabell 5.1'!K22+'Tabell 5.1'!K34+'Tabell 5.1'!K46+'Tabell 5.1'!K58+'Tabell 5.1'!K72+'Tabell 5.1'!K84+'Tabell 5.1'!K96+'Tabell 5.1'!K108+'Tabell 5.2'!K22+'Tabell 5.2'!K34+'Tabell 5.2'!K58+'Tabell 5.2'!K70+'Tabell 5.2'!K82+K22+K34+'Tabell 5.2'!K94+'Tabell 5.2'!K118+'Tabell 5.2'!K144+'Tabell 5.2'!K46+'Tabell 5.2'!K106+'Tabell 5.2'!K132</f>
        <v>-30</v>
      </c>
      <c r="L48" s="438">
        <f>'Tabell 5.1'!L22+'Tabell 5.1'!L34+'Tabell 5.1'!L46+'Tabell 5.1'!L58+'Tabell 5.1'!L72+'Tabell 5.1'!L84+'Tabell 5.1'!L96+'Tabell 5.1'!L108+'Tabell 5.2'!L22+'Tabell 5.2'!L34+'Tabell 5.2'!L58+'Tabell 5.2'!L70+'Tabell 5.2'!L82+L22+L34+'Tabell 5.2'!L94+'Tabell 5.2'!L118+'Tabell 5.2'!L144+'Tabell 5.2'!L46+'Tabell 5.2'!L106+'Tabell 5.2'!L132</f>
        <v>220</v>
      </c>
      <c r="M48" s="438">
        <f t="shared" si="18"/>
        <v>-833.3</v>
      </c>
      <c r="N48" s="438">
        <f>'Tabell 5.1'!N22+'Tabell 5.1'!N34+'Tabell 5.1'!N46+'Tabell 5.1'!N58+'Tabell 5.1'!N72+'Tabell 5.1'!N84+'Tabell 5.1'!N96+'Tabell 5.1'!N108+'Tabell 5.2'!N22+'Tabell 5.2'!N34+'Tabell 5.2'!N58+'Tabell 5.2'!N70+'Tabell 5.2'!N82+N22+N34+'Tabell 5.2'!N94+'Tabell 5.2'!N118+'Tabell 5.2'!N144+'Tabell 5.2'!N46+'Tabell 5.2'!N106+'Tabell 5.2'!N132</f>
        <v>221.47861259000618</v>
      </c>
      <c r="O48" s="438">
        <f>'Tabell 5.1'!O22+'Tabell 5.1'!O34+'Tabell 5.1'!O46+'Tabell 5.1'!O58+'Tabell 5.1'!O72+'Tabell 5.1'!O84+'Tabell 5.1'!O96+'Tabell 5.1'!O108+'Tabell 5.2'!O22+'Tabell 5.2'!O34+'Tabell 5.2'!O58+'Tabell 5.2'!O70+'Tabell 5.2'!O82+O22+O34+'Tabell 5.2'!O94+'Tabell 5.2'!O118+'Tabell 5.2'!O144+'Tabell 5.2'!O46+'Tabell 5.2'!O106+'Tabell 5.2'!O132</f>
        <v>417.20985472073636</v>
      </c>
      <c r="P48" s="438">
        <f t="shared" si="19"/>
        <v>88.4</v>
      </c>
      <c r="Q48" s="438">
        <f>'Tabell 5.1'!Q22+'Tabell 5.1'!Q34+'Tabell 5.1'!Q46+'Tabell 5.1'!Q58+'Tabell 5.1'!Q72+'Tabell 5.1'!Q84+'Tabell 5.1'!Q96+'Tabell 5.1'!Q108+'Tabell 5.2'!Q22+'Tabell 5.2'!Q34+'Tabell 5.2'!Q58+'Tabell 5.2'!Q70+'Tabell 5.2'!Q82+Q22+Q34+'Tabell 5.2'!Q94+'Tabell 5.2'!Q118+'Tabell 5.2'!Q144+'Tabell 5.2'!Q46+'Tabell 5.2'!Q106+'Tabell 5.2'!Q132</f>
        <v>1033.8826094238168</v>
      </c>
      <c r="R48" s="438">
        <f>'Tabell 5.1'!R22+'Tabell 5.1'!R34+'Tabell 5.1'!R46+'Tabell 5.1'!R58+'Tabell 5.1'!R72+'Tabell 5.1'!R84+'Tabell 5.1'!R96+'Tabell 5.1'!R108+'Tabell 5.2'!R22+'Tabell 5.2'!R34+'Tabell 5.2'!R58+'Tabell 5.2'!R70+'Tabell 5.2'!R82+R22+R34+'Tabell 5.2'!R94+'Tabell 5.2'!R118+'Tabell 5.2'!R144+'Tabell 5.2'!R46+'Tabell 5.2'!R106+'Tabell 5.2'!R132</f>
        <v>1365.2370816431451</v>
      </c>
      <c r="S48" s="438">
        <f t="shared" si="20"/>
        <v>32</v>
      </c>
      <c r="T48" s="438">
        <f>'Tabell 5.1'!T22+'Tabell 5.1'!T34+'Tabell 5.1'!T46+'Tabell 5.1'!T58+'Tabell 5.1'!T72+'Tabell 5.1'!T84+'Tabell 5.1'!T96+'Tabell 5.1'!T108+'Tabell 5.2'!T22+'Tabell 5.2'!T34+'Tabell 5.2'!T58+'Tabell 5.2'!T70+'Tabell 5.2'!T82+T22+T34+'Tabell 5.2'!T94+'Tabell 5.2'!T118+'Tabell 5.2'!T144+'Tabell 5.2'!T46+'Tabell 5.2'!T106+'Tabell 5.2'!T132</f>
        <v>962</v>
      </c>
      <c r="U48" s="438">
        <f>'Tabell 5.1'!U22+'Tabell 5.1'!U34+'Tabell 5.1'!U46+'Tabell 5.1'!U58+'Tabell 5.1'!U72+'Tabell 5.1'!U84+'Tabell 5.1'!U96+'Tabell 5.1'!U108+'Tabell 5.2'!U22+'Tabell 5.2'!U34+'Tabell 5.2'!U58+'Tabell 5.2'!U70+'Tabell 5.2'!U82+U22+U34+'Tabell 5.2'!U94+'Tabell 5.2'!U118+'Tabell 5.2'!U144+'Tabell 5.2'!U46+'Tabell 5.2'!U106+'Tabell 5.2'!U132</f>
        <v>1369</v>
      </c>
      <c r="V48" s="435">
        <f t="shared" si="21"/>
        <v>42.3</v>
      </c>
      <c r="W48" s="438">
        <f>'Tabell 5.1'!W22+'Tabell 5.1'!W34+'Tabell 5.1'!W46+'Tabell 5.1'!W58+'Tabell 5.1'!W72+'Tabell 5.1'!W84+'Tabell 5.1'!W96+'Tabell 5.1'!W108+'Tabell 5.2'!W22+'Tabell 5.2'!W34+'Tabell 5.2'!W58+'Tabell 5.2'!W70+'Tabell 5.2'!W82+W22+W34+'Tabell 5.2'!W94+'Tabell 5.2'!W118+'Tabell 5.2'!W144+'Tabell 5.2'!W46+'Tabell 5.2'!W106+'Tabell 5.2'!W132</f>
        <v>2</v>
      </c>
      <c r="X48" s="438">
        <f>'Tabell 5.1'!X22+'Tabell 5.1'!X34+'Tabell 5.1'!X46+'Tabell 5.1'!X58+'Tabell 5.1'!X72+'Tabell 5.1'!X84+'Tabell 5.1'!X96+'Tabell 5.1'!X108+'Tabell 5.2'!X22+'Tabell 5.2'!X34+'Tabell 5.2'!X58+'Tabell 5.2'!X70+'Tabell 5.2'!X82+X22+X34+'Tabell 5.2'!X94+'Tabell 5.2'!X118+'Tabell 5.2'!X144+'Tabell 5.2'!X46+'Tabell 5.2'!X106+'Tabell 5.2'!X132</f>
        <v>109</v>
      </c>
      <c r="Y48" s="438">
        <f t="shared" si="22"/>
        <v>999</v>
      </c>
      <c r="Z48" s="438">
        <f>'Tabell 5.1'!Z22+'Tabell 5.1'!Z34+'Tabell 5.1'!Z46+'Tabell 5.1'!Z58+'Tabell 5.1'!Z72+'Tabell 5.1'!Z84+'Tabell 5.1'!Z96+'Tabell 5.1'!Z108+'Tabell 5.2'!Z22+'Tabell 5.2'!Z34+'Tabell 5.2'!Z58+'Tabell 5.2'!Z70+'Tabell 5.2'!Z82+Z22+Z34+'Tabell 5.2'!Z94+'Tabell 5.2'!Z118+'Tabell 5.2'!Z144+'Tabell 5.2'!Z46+'Tabell 5.2'!Z106+'Tabell 5.2'!Z132</f>
        <v>1284.3280156347701</v>
      </c>
      <c r="AA48" s="438">
        <f>'Tabell 5.1'!AA22+'Tabell 5.1'!AA34+'Tabell 5.1'!AA46+'Tabell 5.1'!AA58+'Tabell 5.1'!AA72+'Tabell 5.1'!AA84+'Tabell 5.1'!AA96+'Tabell 5.1'!AA108+'Tabell 5.2'!AA22+'Tabell 5.2'!AA34+'Tabell 5.2'!AA58+'Tabell 5.2'!AA70+'Tabell 5.2'!AA82+AA22+AA34+'Tabell 5.2'!AA94+'Tabell 5.2'!AA118+'Tabell 5.2'!AA144+'Tabell 5.2'!AA46+'Tabell 5.2'!AA106+'Tabell 5.2'!AA132</f>
        <v>1821.8734472500141</v>
      </c>
      <c r="AB48" s="435">
        <f t="shared" si="23"/>
        <v>41.9</v>
      </c>
      <c r="AC48" s="435"/>
      <c r="AD48" s="435"/>
      <c r="AE48" s="435"/>
      <c r="AF48" s="435">
        <f t="shared" si="24"/>
        <v>5158.2945749485925</v>
      </c>
      <c r="AG48" s="435">
        <f t="shared" si="24"/>
        <v>7624.6256296538959</v>
      </c>
      <c r="AH48" s="438">
        <f t="shared" si="25"/>
        <v>47.8</v>
      </c>
      <c r="AI48" s="435">
        <f t="shared" si="26"/>
        <v>5158.2945749485925</v>
      </c>
      <c r="AJ48" s="435">
        <f t="shared" si="27"/>
        <v>7624.6256296538959</v>
      </c>
      <c r="AK48" s="438">
        <f>IF(AI48=0, "    ---- ", IF(ABS(ROUND(100/AI48*AJ48-100,1))&lt;999,ROUND(100/AI48*AJ48-100,1),IF(ROUND(100/AI48*AJ48-100,1)&gt;999,999,-999)))</f>
        <v>47.8</v>
      </c>
      <c r="AL48" s="576"/>
      <c r="AM48" s="545"/>
      <c r="AN48" s="545"/>
      <c r="AO48" s="545"/>
    </row>
    <row r="49" spans="1:41" s="567" customFormat="1" ht="18.75" customHeight="1" x14ac:dyDescent="0.3">
      <c r="A49" s="545" t="s">
        <v>223</v>
      </c>
      <c r="B49" s="566"/>
      <c r="C49" s="566"/>
      <c r="D49" s="566"/>
      <c r="E49" s="545"/>
      <c r="F49" s="545"/>
      <c r="G49" s="545"/>
      <c r="H49" s="545"/>
      <c r="I49" s="545"/>
      <c r="J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68"/>
      <c r="AM49" s="568"/>
      <c r="AN49" s="568"/>
      <c r="AO49" s="568"/>
    </row>
    <row r="50" spans="1:41" s="567" customFormat="1" ht="18.75" x14ac:dyDescent="0.3">
      <c r="A50" s="568"/>
      <c r="B50" s="566"/>
      <c r="C50" s="566"/>
      <c r="D50" s="566"/>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row>
    <row r="51" spans="1:41" s="567" customFormat="1" ht="18.75" x14ac:dyDescent="0.3">
      <c r="A51" s="568"/>
      <c r="B51" s="566"/>
      <c r="C51" s="566"/>
      <c r="D51" s="566"/>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row>
    <row r="52" spans="1:41" s="567" customFormat="1" ht="18.75" x14ac:dyDescent="0.3">
      <c r="A52" s="568"/>
      <c r="B52" s="566"/>
      <c r="C52" s="566"/>
      <c r="D52" s="566"/>
    </row>
    <row r="53" spans="1:41" s="567" customFormat="1" ht="18.75" x14ac:dyDescent="0.3">
      <c r="A53" s="568"/>
      <c r="N53" s="578"/>
      <c r="O53" s="578"/>
    </row>
    <row r="54" spans="1:41" s="567" customFormat="1" ht="18.75" x14ac:dyDescent="0.3">
      <c r="A54" s="568"/>
      <c r="N54" s="578"/>
      <c r="O54" s="578"/>
    </row>
    <row r="55" spans="1:41" s="567" customFormat="1" ht="18.75" x14ac:dyDescent="0.3">
      <c r="A55" s="568"/>
      <c r="N55" s="578"/>
      <c r="O55" s="578"/>
    </row>
    <row r="56" spans="1:41" ht="18.75" x14ac:dyDescent="0.3">
      <c r="A56" s="545"/>
    </row>
    <row r="57" spans="1:41" ht="18.75" x14ac:dyDescent="0.3">
      <c r="A57" s="545"/>
    </row>
    <row r="58" spans="1:41" ht="18.75" x14ac:dyDescent="0.3">
      <c r="A58" s="545"/>
    </row>
    <row r="59" spans="1:41" ht="18.75" x14ac:dyDescent="0.3">
      <c r="A59" s="545"/>
    </row>
    <row r="60" spans="1:41" ht="18.75" x14ac:dyDescent="0.3">
      <c r="A60" s="545"/>
    </row>
    <row r="61" spans="1:41" ht="18.75" x14ac:dyDescent="0.3">
      <c r="A61" s="545"/>
    </row>
    <row r="62" spans="1:41" ht="18.75" x14ac:dyDescent="0.3">
      <c r="A62" s="545"/>
    </row>
    <row r="63" spans="1:41" ht="18.75" x14ac:dyDescent="0.3">
      <c r="A63" s="545"/>
    </row>
    <row r="64" spans="1:41" ht="18.75" x14ac:dyDescent="0.3">
      <c r="A64" s="545"/>
    </row>
    <row r="65" spans="1:1" ht="18.75" x14ac:dyDescent="0.3">
      <c r="A65" s="545"/>
    </row>
    <row r="66" spans="1:1" ht="18.75" x14ac:dyDescent="0.3">
      <c r="A66" s="545"/>
    </row>
    <row r="67" spans="1:1" ht="18.75" x14ac:dyDescent="0.3">
      <c r="A67" s="545"/>
    </row>
    <row r="68" spans="1:1" ht="18.75" x14ac:dyDescent="0.3">
      <c r="A68" s="545"/>
    </row>
    <row r="69" spans="1:1" ht="18.75" x14ac:dyDescent="0.3">
      <c r="A69" s="545"/>
    </row>
    <row r="70" spans="1:1" ht="18.75" x14ac:dyDescent="0.3">
      <c r="A70" s="545"/>
    </row>
    <row r="71" spans="1:1" ht="18.75" x14ac:dyDescent="0.3">
      <c r="A71" s="545"/>
    </row>
    <row r="72" spans="1:1" ht="18.75" x14ac:dyDescent="0.3">
      <c r="A72" s="545"/>
    </row>
    <row r="73" spans="1:1" ht="18.75" x14ac:dyDescent="0.3">
      <c r="A73" s="545"/>
    </row>
    <row r="74" spans="1:1" ht="18.75" x14ac:dyDescent="0.3">
      <c r="A74" s="545"/>
    </row>
    <row r="75" spans="1:1" ht="18.75" x14ac:dyDescent="0.3">
      <c r="A75" s="545"/>
    </row>
    <row r="76" spans="1:1" ht="18.75" x14ac:dyDescent="0.3">
      <c r="A76" s="545"/>
    </row>
    <row r="77" spans="1:1" ht="18.75" x14ac:dyDescent="0.3">
      <c r="A77" s="545"/>
    </row>
    <row r="78" spans="1:1" ht="18.75" x14ac:dyDescent="0.3">
      <c r="A78" s="545"/>
    </row>
    <row r="79" spans="1:1" ht="18.75" x14ac:dyDescent="0.3">
      <c r="A79" s="545"/>
    </row>
    <row r="80" spans="1:1" ht="18.75" x14ac:dyDescent="0.3">
      <c r="A80" s="545"/>
    </row>
    <row r="81" spans="1:1" ht="18.75" x14ac:dyDescent="0.3">
      <c r="A81" s="545"/>
    </row>
    <row r="82" spans="1:1" ht="18.75" x14ac:dyDescent="0.3">
      <c r="A82" s="545"/>
    </row>
    <row r="83" spans="1:1" ht="18.75" x14ac:dyDescent="0.3">
      <c r="A83" s="545"/>
    </row>
    <row r="84" spans="1:1" ht="18.75" x14ac:dyDescent="0.3">
      <c r="A84" s="545"/>
    </row>
    <row r="85" spans="1:1" ht="18.75" x14ac:dyDescent="0.3">
      <c r="A85" s="545"/>
    </row>
    <row r="86" spans="1:1" ht="18.75" x14ac:dyDescent="0.3">
      <c r="A86" s="545"/>
    </row>
    <row r="87" spans="1:1" ht="18.75" x14ac:dyDescent="0.3">
      <c r="A87" s="545"/>
    </row>
    <row r="88" spans="1:1" ht="18.75" x14ac:dyDescent="0.3">
      <c r="A88" s="545"/>
    </row>
    <row r="89" spans="1:1" ht="18.75" x14ac:dyDescent="0.3">
      <c r="A89" s="545"/>
    </row>
    <row r="90" spans="1:1" ht="18.75" x14ac:dyDescent="0.3">
      <c r="A90" s="545"/>
    </row>
    <row r="91" spans="1:1" ht="18.75" x14ac:dyDescent="0.3">
      <c r="A91" s="545"/>
    </row>
    <row r="92" spans="1:1" ht="18.75" x14ac:dyDescent="0.3">
      <c r="A92" s="545"/>
    </row>
    <row r="93" spans="1:1" ht="18.75" x14ac:dyDescent="0.3">
      <c r="A93" s="545"/>
    </row>
    <row r="94" spans="1:1" ht="18.75" x14ac:dyDescent="0.3">
      <c r="A94" s="545"/>
    </row>
    <row r="95" spans="1:1" ht="18.75" x14ac:dyDescent="0.3">
      <c r="A95" s="545"/>
    </row>
    <row r="96" spans="1:1" ht="18.75" x14ac:dyDescent="0.3">
      <c r="A96" s="545"/>
    </row>
    <row r="97" spans="1:14" ht="18.75" x14ac:dyDescent="0.3">
      <c r="A97" s="545"/>
    </row>
    <row r="98" spans="1:14" ht="18.75" x14ac:dyDescent="0.3">
      <c r="A98" s="545"/>
    </row>
    <row r="99" spans="1:14" ht="18.75" x14ac:dyDescent="0.3">
      <c r="A99" s="545"/>
    </row>
    <row r="100" spans="1:14" ht="18.75" x14ac:dyDescent="0.3">
      <c r="A100" s="545"/>
      <c r="B100" s="546">
        <v>0</v>
      </c>
      <c r="N100" s="546">
        <v>8021.1680385597992</v>
      </c>
    </row>
    <row r="101" spans="1:14" ht="18.75" x14ac:dyDescent="0.3">
      <c r="A101" s="545"/>
      <c r="B101" s="546">
        <v>0</v>
      </c>
      <c r="N101" s="546">
        <v>4.3610605525112156</v>
      </c>
    </row>
    <row r="102" spans="1:14" ht="18.75" x14ac:dyDescent="0.3">
      <c r="A102" s="545"/>
      <c r="B102" s="546">
        <v>-10.638999999999999</v>
      </c>
      <c r="N102" s="546">
        <v>-49.179410697877408</v>
      </c>
    </row>
    <row r="103" spans="1:14" ht="18.75" x14ac:dyDescent="0.3">
      <c r="A103" s="545"/>
      <c r="B103" s="546">
        <v>0.87009999999999998</v>
      </c>
    </row>
    <row r="104" spans="1:14" ht="18.75" x14ac:dyDescent="0.3">
      <c r="A104" s="545"/>
      <c r="B104" s="546">
        <v>4.2350000000000003</v>
      </c>
      <c r="N104" s="546">
        <v>683.36542899999995</v>
      </c>
    </row>
    <row r="105" spans="1:14" ht="18.75" x14ac:dyDescent="0.3">
      <c r="A105" s="545"/>
      <c r="B105" s="546">
        <v>27.494</v>
      </c>
      <c r="N105" s="546">
        <v>784.80863243128704</v>
      </c>
    </row>
    <row r="106" spans="1:14" ht="18.75" x14ac:dyDescent="0.3">
      <c r="A106" s="545"/>
      <c r="N106" s="546">
        <v>392.40431699999999</v>
      </c>
    </row>
    <row r="107" spans="1:14" ht="18.75" x14ac:dyDescent="0.3">
      <c r="A107" s="545"/>
    </row>
    <row r="108" spans="1:14" ht="18.75" x14ac:dyDescent="0.3">
      <c r="A108" s="545"/>
      <c r="B108" s="546">
        <v>21.960100000000001</v>
      </c>
      <c r="N108" s="546">
        <v>9444.5237498457191</v>
      </c>
    </row>
    <row r="109" spans="1:14" ht="18.75" x14ac:dyDescent="0.3">
      <c r="A109" s="545"/>
      <c r="B109" s="546">
        <v>13.747</v>
      </c>
      <c r="N109" s="546">
        <v>8266.1340353077503</v>
      </c>
    </row>
    <row r="110" spans="1:14" ht="18.75" x14ac:dyDescent="0.3">
      <c r="A110" s="545"/>
      <c r="B110" s="546">
        <v>8.2140000000000004</v>
      </c>
      <c r="N110" s="546">
        <v>1178.3897145379706</v>
      </c>
    </row>
    <row r="111" spans="1:14" ht="18.75" x14ac:dyDescent="0.3">
      <c r="A111" s="545"/>
    </row>
    <row r="112" spans="1:14" ht="18.75" x14ac:dyDescent="0.3">
      <c r="A112" s="545"/>
      <c r="N112" s="546">
        <v>75.069982449999998</v>
      </c>
    </row>
    <row r="113" spans="1:14" ht="18.75" x14ac:dyDescent="0.3">
      <c r="A113" s="545"/>
      <c r="N113" s="546">
        <v>-5.1040498539805413E-7</v>
      </c>
    </row>
    <row r="114" spans="1:14" ht="18.75" x14ac:dyDescent="0.3">
      <c r="A114" s="545"/>
      <c r="N114" s="546">
        <v>0.52398130088905714</v>
      </c>
    </row>
    <row r="115" spans="1:14" ht="18.75" x14ac:dyDescent="0.3">
      <c r="A115" s="545"/>
    </row>
    <row r="116" spans="1:14" ht="18.75" x14ac:dyDescent="0.3">
      <c r="A116" s="545"/>
      <c r="N116" s="546">
        <v>6.8000999999999996</v>
      </c>
    </row>
    <row r="117" spans="1:14" ht="18.75" x14ac:dyDescent="0.3">
      <c r="A117" s="545"/>
      <c r="N117" s="546">
        <v>3.4650685687130585</v>
      </c>
    </row>
    <row r="118" spans="1:14" ht="18.75" x14ac:dyDescent="0.3">
      <c r="A118" s="545"/>
      <c r="N118" s="546">
        <v>1.732534</v>
      </c>
    </row>
    <row r="119" spans="1:14" ht="18.75" x14ac:dyDescent="0.3">
      <c r="A119" s="545"/>
    </row>
    <row r="120" spans="1:14" ht="18.75" x14ac:dyDescent="0.3">
      <c r="A120" s="545"/>
      <c r="N120" s="546">
        <v>85.859131809197137</v>
      </c>
    </row>
    <row r="121" spans="1:14" ht="18.75" x14ac:dyDescent="0.3">
      <c r="A121" s="545"/>
      <c r="N121" s="546">
        <v>76.802516734356502</v>
      </c>
    </row>
    <row r="122" spans="1:14" ht="18.75" x14ac:dyDescent="0.3">
      <c r="A122" s="545"/>
      <c r="N122" s="546">
        <v>9.0566150748406198</v>
      </c>
    </row>
    <row r="123" spans="1:14" ht="18.75" x14ac:dyDescent="0.3">
      <c r="A123" s="545"/>
    </row>
    <row r="124" spans="1:14" ht="18.75" x14ac:dyDescent="0.3">
      <c r="A124" s="545"/>
    </row>
    <row r="125" spans="1:14" ht="18.75" x14ac:dyDescent="0.3">
      <c r="A125" s="545"/>
    </row>
    <row r="126" spans="1:14" ht="18.75" x14ac:dyDescent="0.3">
      <c r="A126" s="545"/>
    </row>
    <row r="127" spans="1:14" ht="18.75" x14ac:dyDescent="0.3">
      <c r="A127" s="545"/>
    </row>
    <row r="128" spans="1:14" ht="18.75" x14ac:dyDescent="0.3">
      <c r="A128" s="545"/>
    </row>
    <row r="129" spans="1:1" ht="18.75" x14ac:dyDescent="0.3">
      <c r="A129" s="545"/>
    </row>
    <row r="130" spans="1:1" ht="18.75" x14ac:dyDescent="0.3">
      <c r="A130" s="545"/>
    </row>
  </sheetData>
  <mergeCells count="22">
    <mergeCell ref="AI7:AK7"/>
    <mergeCell ref="Z6:AB6"/>
    <mergeCell ref="AC6:AE6"/>
    <mergeCell ref="AF6:AH6"/>
    <mergeCell ref="AI6:AK6"/>
    <mergeCell ref="Z7:AB7"/>
    <mergeCell ref="AC7:AE7"/>
    <mergeCell ref="AF7:AH7"/>
    <mergeCell ref="T6:V6"/>
    <mergeCell ref="W6:Y6"/>
    <mergeCell ref="Q7:S7"/>
    <mergeCell ref="B6:D6"/>
    <mergeCell ref="E6:G6"/>
    <mergeCell ref="H6:J6"/>
    <mergeCell ref="K6:M6"/>
    <mergeCell ref="B7:D7"/>
    <mergeCell ref="E7:G7"/>
    <mergeCell ref="H7:J7"/>
    <mergeCell ref="K7:M7"/>
    <mergeCell ref="N7:P7"/>
    <mergeCell ref="T7:V7"/>
    <mergeCell ref="W7:Y7"/>
  </mergeCells>
  <conditionalFormatting sqref="B20:C20">
    <cfRule type="expression" dxfId="252" priority="14">
      <formula>#REF!="20≠12+13+14+15+16+17+19"</formula>
    </cfRule>
    <cfRule type="expression" dxfId="251" priority="15">
      <formula>#REF!="20≠21+22"</formula>
    </cfRule>
  </conditionalFormatting>
  <conditionalFormatting sqref="B32:C32">
    <cfRule type="expression" dxfId="250" priority="16">
      <formula>#REF!="32≠33+34"</formula>
    </cfRule>
    <cfRule type="expression" dxfId="249" priority="17">
      <formula>#REF!="32≠24+25+26+27+28+29+31"</formula>
    </cfRule>
  </conditionalFormatting>
  <conditionalFormatting sqref="C13">
    <cfRule type="expression" dxfId="248" priority="19">
      <formula>kvartal &lt; 4</formula>
    </cfRule>
  </conditionalFormatting>
  <conditionalFormatting sqref="C25">
    <cfRule type="expression" dxfId="247" priority="18">
      <formula>kvartal &lt; 4</formula>
    </cfRule>
  </conditionalFormatting>
  <conditionalFormatting sqref="E20:F20">
    <cfRule type="expression" dxfId="246" priority="7">
      <formula>#REF!="20≠12+13+14+15+16+17+19"</formula>
    </cfRule>
    <cfRule type="expression" dxfId="245" priority="8">
      <formula>#REF!="20≠21+22"</formula>
    </cfRule>
  </conditionalFormatting>
  <conditionalFormatting sqref="E32:F32">
    <cfRule type="expression" dxfId="244" priority="9">
      <formula>#REF!="32≠33+34"</formula>
    </cfRule>
    <cfRule type="expression" dxfId="243" priority="10">
      <formula>#REF!="32≠24+25+26+27+28+29+31"</formula>
    </cfRule>
  </conditionalFormatting>
  <conditionalFormatting sqref="F13">
    <cfRule type="expression" dxfId="242" priority="11">
      <formula>kvartal &lt; 4</formula>
    </cfRule>
  </conditionalFormatting>
  <conditionalFormatting sqref="H20:I20">
    <cfRule type="expression" dxfId="241" priority="22">
      <formula>#REF!="20≠12+13+14+15+16+17+19"</formula>
    </cfRule>
    <cfRule type="expression" dxfId="240" priority="23">
      <formula>#REF!="20≠21+22"</formula>
    </cfRule>
  </conditionalFormatting>
  <conditionalFormatting sqref="H32:I32">
    <cfRule type="expression" dxfId="239" priority="24">
      <formula>#REF!="32≠33+34"</formula>
    </cfRule>
    <cfRule type="expression" dxfId="238" priority="25">
      <formula>#REF!="32≠24+25+26+27+28+29+31"</formula>
    </cfRule>
  </conditionalFormatting>
  <conditionalFormatting sqref="I13">
    <cfRule type="expression" dxfId="237" priority="26">
      <formula>kvartal &lt; 4</formula>
    </cfRule>
  </conditionalFormatting>
  <conditionalFormatting sqref="K20:L20 T20:U20">
    <cfRule type="expression" dxfId="236" priority="513">
      <formula>#REF!="20≠21+22"</formula>
    </cfRule>
    <cfRule type="expression" dxfId="235" priority="512">
      <formula>#REF!="20≠12+13+14+15+16+17+19"</formula>
    </cfRule>
  </conditionalFormatting>
  <conditionalFormatting sqref="K32:L32">
    <cfRule type="expression" dxfId="234" priority="520">
      <formula>#REF!="32≠33+34"</formula>
    </cfRule>
    <cfRule type="expression" dxfId="233" priority="519">
      <formula>#REF!="32≠24+25+26+27+28+29+31"</formula>
    </cfRule>
  </conditionalFormatting>
  <conditionalFormatting sqref="N20:O20">
    <cfRule type="expression" dxfId="232" priority="1">
      <formula>#REF!="20≠12+13+14+15+16+17+19"</formula>
    </cfRule>
    <cfRule type="expression" dxfId="231" priority="2">
      <formula>#REF!="20≠21+22"</formula>
    </cfRule>
  </conditionalFormatting>
  <conditionalFormatting sqref="N32:O32">
    <cfRule type="expression" dxfId="230" priority="4">
      <formula>#REF!="32≠24+25+26+27+28+29+31"</formula>
    </cfRule>
    <cfRule type="expression" dxfId="229" priority="3">
      <formula>#REF!="32≠33+34"</formula>
    </cfRule>
  </conditionalFormatting>
  <conditionalFormatting sqref="Q20:R20">
    <cfRule type="expression" dxfId="228" priority="46">
      <formula>#REF!="20≠12+13+14+15+16+17+19"</formula>
    </cfRule>
    <cfRule type="expression" dxfId="227" priority="47">
      <formula>#REF!="20≠21+22"</formula>
    </cfRule>
  </conditionalFormatting>
  <conditionalFormatting sqref="Q32:R32">
    <cfRule type="expression" dxfId="226" priority="48">
      <formula>#REF!="32≠33+34"</formula>
    </cfRule>
    <cfRule type="expression" dxfId="225" priority="49">
      <formula>#REF!="32≠24+25+26+27+28+29+31"</formula>
    </cfRule>
  </conditionalFormatting>
  <conditionalFormatting sqref="T32:U32">
    <cfRule type="expression" dxfId="224" priority="67">
      <formula>#REF!="32≠24+25+26+27+28+29+31"</formula>
    </cfRule>
    <cfRule type="expression" dxfId="223" priority="507">
      <formula>#REF!="32≠33+34"</formula>
    </cfRule>
  </conditionalFormatting>
  <conditionalFormatting sqref="W20:X20">
    <cfRule type="expression" dxfId="222" priority="35">
      <formula>#REF!="20≠12+13+14+15+16+17+19"</formula>
    </cfRule>
    <cfRule type="expression" dxfId="221" priority="36">
      <formula>#REF!="20≠21+22"</formula>
    </cfRule>
  </conditionalFormatting>
  <conditionalFormatting sqref="W32:X32">
    <cfRule type="expression" dxfId="220" priority="37">
      <formula>#REF!="32≠33+34"</formula>
    </cfRule>
    <cfRule type="expression" dxfId="219" priority="38">
      <formula>#REF!="32≠24+25+26+27+28+29+31"</formula>
    </cfRule>
  </conditionalFormatting>
  <conditionalFormatting sqref="Z20:AA20">
    <cfRule type="expression" dxfId="218" priority="30">
      <formula>#REF!="20≠21+22"</formula>
    </cfRule>
    <cfRule type="expression" dxfId="217" priority="29">
      <formula>#REF!="20≠12+13+14+15+16+17+19"</formula>
    </cfRule>
  </conditionalFormatting>
  <conditionalFormatting sqref="Z32:AA32">
    <cfRule type="expression" dxfId="216" priority="31">
      <formula>#REF!="32≠33+34"</formula>
    </cfRule>
    <cfRule type="expression" dxfId="215" priority="32">
      <formula>#REF!="32≠24+25+26+27+28+29+31"</formula>
    </cfRule>
  </conditionalFormatting>
  <conditionalFormatting sqref="AF46:AG46 AI46:AJ46">
    <cfRule type="expression" dxfId="214" priority="508">
      <formula>#REF!="46≠47+48"</formula>
    </cfRule>
  </conditionalFormatting>
  <conditionalFormatting sqref="AF46:AG46">
    <cfRule type="expression" dxfId="213" priority="57">
      <formula>#REF!="46≠38+39+40+41+42+43+45"</formula>
    </cfRule>
  </conditionalFormatting>
  <conditionalFormatting sqref="AI46:AJ46">
    <cfRule type="expression" dxfId="212" priority="79">
      <formula>#REF!="46≠38+39+40+41+42+43+45"</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444-C37C-499D-8F4D-6A034CA46052}">
  <sheetPr codeName="Ark39"/>
  <dimension ref="A1:AY114"/>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111.28515625" style="361" customWidth="1"/>
    <col min="2" max="31" width="11.7109375" style="361" customWidth="1"/>
    <col min="32" max="32" width="15.140625" style="361" customWidth="1"/>
    <col min="33" max="33" width="13" style="361" customWidth="1"/>
    <col min="34" max="34" width="11.7109375" style="361" customWidth="1"/>
    <col min="35" max="36" width="13" style="361" customWidth="1"/>
    <col min="37" max="37" width="11.7109375" style="361" customWidth="1"/>
    <col min="38" max="16384" width="11.42578125" style="361"/>
  </cols>
  <sheetData>
    <row r="1" spans="1:51" ht="20.25" customHeight="1" x14ac:dyDescent="0.3">
      <c r="A1" s="364" t="s">
        <v>153</v>
      </c>
      <c r="B1" s="365"/>
      <c r="C1" s="365"/>
      <c r="D1" s="365"/>
      <c r="E1" s="365"/>
      <c r="F1" s="365"/>
      <c r="G1" s="365"/>
      <c r="H1" s="365"/>
      <c r="I1" s="365"/>
      <c r="J1" s="365"/>
    </row>
    <row r="2" spans="1:51" ht="20.100000000000001" customHeight="1" x14ac:dyDescent="0.3">
      <c r="A2" s="364" t="s">
        <v>154</v>
      </c>
      <c r="C2" s="508"/>
      <c r="D2" s="509"/>
      <c r="E2" s="509"/>
    </row>
    <row r="3" spans="1:51" ht="20.100000000000001" customHeight="1" x14ac:dyDescent="0.3">
      <c r="A3" s="366" t="s">
        <v>155</v>
      </c>
      <c r="B3" s="579"/>
      <c r="C3" s="579"/>
      <c r="D3" s="579"/>
      <c r="E3" s="579"/>
      <c r="F3" s="579"/>
      <c r="G3" s="579"/>
      <c r="H3" s="579"/>
      <c r="I3" s="579"/>
      <c r="J3" s="579"/>
    </row>
    <row r="4" spans="1:51" ht="18.75" customHeight="1" x14ac:dyDescent="0.25">
      <c r="A4" s="513" t="s">
        <v>320</v>
      </c>
      <c r="B4" s="580"/>
      <c r="C4" s="580"/>
      <c r="D4" s="581"/>
      <c r="E4" s="582"/>
      <c r="F4" s="580"/>
      <c r="G4" s="581"/>
      <c r="H4" s="582"/>
      <c r="I4" s="580"/>
      <c r="J4" s="581"/>
      <c r="K4" s="367"/>
      <c r="L4" s="367"/>
      <c r="M4" s="367"/>
      <c r="N4" s="368"/>
      <c r="O4" s="367"/>
      <c r="P4" s="369"/>
      <c r="Q4" s="368"/>
      <c r="R4" s="367"/>
      <c r="S4" s="369"/>
      <c r="T4" s="368"/>
      <c r="U4" s="367"/>
      <c r="V4" s="369"/>
      <c r="W4" s="368"/>
      <c r="X4" s="367"/>
      <c r="Y4" s="369"/>
      <c r="Z4" s="368"/>
      <c r="AA4" s="367"/>
      <c r="AB4" s="369"/>
      <c r="AC4" s="368"/>
      <c r="AD4" s="367"/>
      <c r="AE4" s="369"/>
      <c r="AF4" s="368"/>
      <c r="AG4" s="367"/>
      <c r="AH4" s="369"/>
      <c r="AI4" s="368"/>
      <c r="AJ4" s="367"/>
      <c r="AK4" s="369"/>
      <c r="AL4" s="583"/>
      <c r="AM4" s="583"/>
      <c r="AN4" s="583"/>
      <c r="AO4" s="583"/>
      <c r="AP4" s="583"/>
      <c r="AQ4" s="583"/>
      <c r="AR4" s="583"/>
      <c r="AS4" s="583"/>
      <c r="AT4" s="583"/>
      <c r="AU4" s="583"/>
      <c r="AV4" s="583"/>
      <c r="AW4" s="583"/>
      <c r="AX4" s="583"/>
      <c r="AY4" s="583"/>
    </row>
    <row r="5" spans="1:51" ht="18.75" customHeight="1" x14ac:dyDescent="0.3">
      <c r="A5" s="454" t="s">
        <v>94</v>
      </c>
      <c r="B5" s="796" t="s">
        <v>156</v>
      </c>
      <c r="C5" s="797"/>
      <c r="D5" s="798"/>
      <c r="E5" s="796"/>
      <c r="F5" s="797"/>
      <c r="G5" s="798"/>
      <c r="H5" s="796" t="s">
        <v>157</v>
      </c>
      <c r="I5" s="797"/>
      <c r="J5" s="798"/>
      <c r="K5" s="796" t="s">
        <v>158</v>
      </c>
      <c r="L5" s="797"/>
      <c r="M5" s="798"/>
      <c r="N5" s="678" t="s">
        <v>159</v>
      </c>
      <c r="O5" s="679"/>
      <c r="P5" s="680"/>
      <c r="Q5" s="678"/>
      <c r="R5" s="679"/>
      <c r="S5" s="680"/>
      <c r="T5" s="796" t="s">
        <v>160</v>
      </c>
      <c r="U5" s="797"/>
      <c r="V5" s="798"/>
      <c r="W5" s="796" t="s">
        <v>65</v>
      </c>
      <c r="X5" s="797"/>
      <c r="Y5" s="798"/>
      <c r="Z5" s="796" t="s">
        <v>68</v>
      </c>
      <c r="AA5" s="797"/>
      <c r="AB5" s="798"/>
      <c r="AC5" s="796" t="s">
        <v>434</v>
      </c>
      <c r="AD5" s="797"/>
      <c r="AE5" s="798"/>
      <c r="AF5" s="796" t="s">
        <v>2</v>
      </c>
      <c r="AG5" s="797"/>
      <c r="AH5" s="798"/>
      <c r="AI5" s="796" t="s">
        <v>2</v>
      </c>
      <c r="AJ5" s="797"/>
      <c r="AK5" s="798"/>
      <c r="AL5" s="638"/>
      <c r="AM5" s="638"/>
      <c r="AN5" s="811"/>
      <c r="AO5" s="811"/>
      <c r="AP5" s="811"/>
      <c r="AQ5" s="811"/>
      <c r="AR5" s="811"/>
      <c r="AS5" s="811"/>
      <c r="AT5" s="811"/>
      <c r="AU5" s="811"/>
      <c r="AV5" s="811"/>
      <c r="AW5" s="811"/>
      <c r="AX5" s="811"/>
      <c r="AY5" s="811"/>
    </row>
    <row r="6" spans="1:51" ht="21" customHeight="1" x14ac:dyDescent="0.3">
      <c r="A6" s="455"/>
      <c r="B6" s="799" t="s">
        <v>162</v>
      </c>
      <c r="C6" s="800"/>
      <c r="D6" s="801"/>
      <c r="E6" s="799" t="s">
        <v>421</v>
      </c>
      <c r="F6" s="800"/>
      <c r="G6" s="801"/>
      <c r="H6" s="799" t="s">
        <v>162</v>
      </c>
      <c r="I6" s="800"/>
      <c r="J6" s="801"/>
      <c r="K6" s="799" t="s">
        <v>163</v>
      </c>
      <c r="L6" s="800"/>
      <c r="M6" s="801"/>
      <c r="N6" s="799" t="s">
        <v>61</v>
      </c>
      <c r="O6" s="800"/>
      <c r="P6" s="801"/>
      <c r="Q6" s="799" t="s">
        <v>63</v>
      </c>
      <c r="R6" s="800"/>
      <c r="S6" s="801"/>
      <c r="T6" s="799" t="s">
        <v>161</v>
      </c>
      <c r="U6" s="800"/>
      <c r="V6" s="801"/>
      <c r="W6" s="799" t="s">
        <v>430</v>
      </c>
      <c r="X6" s="800"/>
      <c r="Y6" s="801"/>
      <c r="Z6" s="799" t="s">
        <v>162</v>
      </c>
      <c r="AA6" s="800"/>
      <c r="AB6" s="801"/>
      <c r="AC6" s="799" t="s">
        <v>162</v>
      </c>
      <c r="AD6" s="800"/>
      <c r="AE6" s="801"/>
      <c r="AF6" s="799" t="s">
        <v>448</v>
      </c>
      <c r="AG6" s="800"/>
      <c r="AH6" s="801"/>
      <c r="AI6" s="799" t="s">
        <v>164</v>
      </c>
      <c r="AJ6" s="800"/>
      <c r="AK6" s="801"/>
      <c r="AL6" s="638"/>
      <c r="AM6" s="638"/>
      <c r="AN6" s="811"/>
      <c r="AO6" s="811"/>
      <c r="AP6" s="811"/>
      <c r="AQ6" s="811"/>
      <c r="AR6" s="811"/>
      <c r="AS6" s="811"/>
      <c r="AT6" s="811"/>
      <c r="AU6" s="811"/>
      <c r="AV6" s="811"/>
      <c r="AW6" s="811"/>
      <c r="AX6" s="811"/>
      <c r="AY6" s="811"/>
    </row>
    <row r="7" spans="1:51" ht="18.75" customHeight="1" x14ac:dyDescent="0.3">
      <c r="A7" s="455"/>
      <c r="B7" s="584"/>
      <c r="C7" s="584"/>
      <c r="D7" s="456" t="s">
        <v>76</v>
      </c>
      <c r="E7" s="584"/>
      <c r="F7" s="584"/>
      <c r="G7" s="456" t="s">
        <v>76</v>
      </c>
      <c r="H7" s="584"/>
      <c r="I7" s="584"/>
      <c r="J7" s="456" t="s">
        <v>76</v>
      </c>
      <c r="K7" s="584"/>
      <c r="L7" s="584"/>
      <c r="M7" s="456" t="s">
        <v>76</v>
      </c>
      <c r="N7" s="584"/>
      <c r="O7" s="584"/>
      <c r="P7" s="456" t="s">
        <v>76</v>
      </c>
      <c r="Q7" s="584"/>
      <c r="R7" s="584"/>
      <c r="S7" s="456" t="s">
        <v>76</v>
      </c>
      <c r="T7" s="584"/>
      <c r="U7" s="584"/>
      <c r="V7" s="456" t="s">
        <v>76</v>
      </c>
      <c r="W7" s="584"/>
      <c r="X7" s="584"/>
      <c r="Y7" s="456" t="s">
        <v>76</v>
      </c>
      <c r="Z7" s="584"/>
      <c r="AA7" s="584"/>
      <c r="AB7" s="456" t="s">
        <v>76</v>
      </c>
      <c r="AC7" s="584"/>
      <c r="AD7" s="584"/>
      <c r="AE7" s="456" t="s">
        <v>76</v>
      </c>
      <c r="AF7" s="584"/>
      <c r="AG7" s="584"/>
      <c r="AH7" s="456" t="s">
        <v>76</v>
      </c>
      <c r="AI7" s="584"/>
      <c r="AJ7" s="584"/>
      <c r="AK7" s="456" t="s">
        <v>76</v>
      </c>
      <c r="AL7" s="638"/>
      <c r="AM7" s="638"/>
      <c r="AN7" s="638"/>
      <c r="AO7" s="638"/>
      <c r="AP7" s="638"/>
      <c r="AQ7" s="638"/>
      <c r="AR7" s="638"/>
      <c r="AS7" s="638"/>
      <c r="AT7" s="638"/>
      <c r="AU7" s="638"/>
      <c r="AV7" s="638"/>
      <c r="AW7" s="638"/>
      <c r="AX7" s="638"/>
      <c r="AY7" s="638"/>
    </row>
    <row r="8" spans="1:51" ht="18.75" customHeight="1" x14ac:dyDescent="0.25">
      <c r="A8" s="357" t="s">
        <v>165</v>
      </c>
      <c r="B8" s="415">
        <v>2023</v>
      </c>
      <c r="C8" s="415">
        <v>2024</v>
      </c>
      <c r="D8" s="458" t="s">
        <v>78</v>
      </c>
      <c r="E8" s="415">
        <f>B8</f>
        <v>2023</v>
      </c>
      <c r="F8" s="415">
        <f>C8</f>
        <v>2024</v>
      </c>
      <c r="G8" s="458" t="s">
        <v>78</v>
      </c>
      <c r="H8" s="415">
        <f>E8</f>
        <v>2023</v>
      </c>
      <c r="I8" s="415">
        <f>F8</f>
        <v>2024</v>
      </c>
      <c r="J8" s="458" t="s">
        <v>78</v>
      </c>
      <c r="K8" s="415">
        <f>H8</f>
        <v>2023</v>
      </c>
      <c r="L8" s="415">
        <f>I8</f>
        <v>2024</v>
      </c>
      <c r="M8" s="458" t="s">
        <v>78</v>
      </c>
      <c r="N8" s="415">
        <f>K8</f>
        <v>2023</v>
      </c>
      <c r="O8" s="415">
        <f>L8</f>
        <v>2024</v>
      </c>
      <c r="P8" s="458" t="s">
        <v>78</v>
      </c>
      <c r="Q8" s="415">
        <f>N8</f>
        <v>2023</v>
      </c>
      <c r="R8" s="415">
        <f>O8</f>
        <v>2024</v>
      </c>
      <c r="S8" s="458" t="s">
        <v>78</v>
      </c>
      <c r="T8" s="415">
        <f>Q8</f>
        <v>2023</v>
      </c>
      <c r="U8" s="415">
        <f>R8</f>
        <v>2024</v>
      </c>
      <c r="V8" s="458" t="s">
        <v>78</v>
      </c>
      <c r="W8" s="415">
        <f>T8</f>
        <v>2023</v>
      </c>
      <c r="X8" s="415">
        <f>U8</f>
        <v>2024</v>
      </c>
      <c r="Y8" s="458" t="s">
        <v>78</v>
      </c>
      <c r="Z8" s="415">
        <f>W8</f>
        <v>2023</v>
      </c>
      <c r="AA8" s="415">
        <f>X8</f>
        <v>2024</v>
      </c>
      <c r="AB8" s="458" t="s">
        <v>78</v>
      </c>
      <c r="AC8" s="415">
        <f>Z8</f>
        <v>2023</v>
      </c>
      <c r="AD8" s="415">
        <f>AA8</f>
        <v>2024</v>
      </c>
      <c r="AE8" s="458" t="s">
        <v>78</v>
      </c>
      <c r="AF8" s="415">
        <f>AC8</f>
        <v>2023</v>
      </c>
      <c r="AG8" s="415">
        <f>AD8</f>
        <v>2024</v>
      </c>
      <c r="AH8" s="458" t="s">
        <v>78</v>
      </c>
      <c r="AI8" s="415">
        <f>AF8</f>
        <v>2023</v>
      </c>
      <c r="AJ8" s="415">
        <f>AG8</f>
        <v>2024</v>
      </c>
      <c r="AK8" s="458" t="s">
        <v>78</v>
      </c>
      <c r="AL8" s="585"/>
      <c r="AM8" s="586"/>
      <c r="AN8" s="585"/>
      <c r="AO8" s="585"/>
      <c r="AP8" s="586"/>
      <c r="AQ8" s="585"/>
      <c r="AR8" s="585"/>
      <c r="AS8" s="586"/>
      <c r="AT8" s="585"/>
      <c r="AU8" s="585"/>
      <c r="AV8" s="586"/>
      <c r="AW8" s="585"/>
      <c r="AX8" s="585"/>
      <c r="AY8" s="586"/>
    </row>
    <row r="9" spans="1:51" ht="18.75" customHeight="1" x14ac:dyDescent="0.3">
      <c r="A9" s="358"/>
      <c r="B9" s="732"/>
      <c r="C9" s="733"/>
      <c r="D9" s="346"/>
      <c r="E9" s="485"/>
      <c r="F9" s="346"/>
      <c r="G9" s="346"/>
      <c r="H9" s="485"/>
      <c r="I9" s="346"/>
      <c r="J9" s="346"/>
      <c r="K9" s="460"/>
      <c r="L9" s="347"/>
      <c r="M9" s="347"/>
      <c r="N9" s="460"/>
      <c r="O9" s="347"/>
      <c r="P9" s="271"/>
      <c r="Q9" s="460"/>
      <c r="R9" s="347"/>
      <c r="S9" s="271"/>
      <c r="T9" s="460"/>
      <c r="U9" s="347"/>
      <c r="V9" s="271"/>
      <c r="W9" s="460"/>
      <c r="X9" s="347"/>
      <c r="Y9" s="271"/>
      <c r="Z9" s="460"/>
      <c r="AA9" s="347"/>
      <c r="AB9" s="271"/>
      <c r="AC9" s="460"/>
      <c r="AD9" s="347"/>
      <c r="AE9" s="271"/>
      <c r="AF9" s="347"/>
      <c r="AG9" s="347"/>
      <c r="AH9" s="271"/>
      <c r="AI9" s="347"/>
      <c r="AJ9" s="347"/>
      <c r="AK9" s="271"/>
    </row>
    <row r="10" spans="1:51" s="362" customFormat="1" ht="18.75" customHeight="1" x14ac:dyDescent="0.3">
      <c r="A10" s="465" t="s">
        <v>166</v>
      </c>
      <c r="B10" s="732"/>
      <c r="C10" s="733"/>
      <c r="D10" s="348"/>
      <c r="E10" s="486"/>
      <c r="F10" s="348"/>
      <c r="G10" s="348"/>
      <c r="H10" s="486"/>
      <c r="I10" s="348"/>
      <c r="J10" s="348"/>
      <c r="K10" s="460"/>
      <c r="L10" s="347"/>
      <c r="M10" s="347"/>
      <c r="N10" s="460"/>
      <c r="O10" s="347"/>
      <c r="P10" s="271"/>
      <c r="Q10" s="460"/>
      <c r="R10" s="347"/>
      <c r="S10" s="271"/>
      <c r="T10" s="460"/>
      <c r="U10" s="347"/>
      <c r="V10" s="271"/>
      <c r="W10" s="460"/>
      <c r="X10" s="347"/>
      <c r="Y10" s="271"/>
      <c r="Z10" s="460"/>
      <c r="AA10" s="347"/>
      <c r="AB10" s="271"/>
      <c r="AC10" s="460"/>
      <c r="AD10" s="347"/>
      <c r="AE10" s="271"/>
      <c r="AF10" s="347"/>
      <c r="AG10" s="347"/>
      <c r="AH10" s="271"/>
      <c r="AI10" s="347"/>
      <c r="AJ10" s="347"/>
      <c r="AK10" s="271"/>
    </row>
    <row r="11" spans="1:51" s="362" customFormat="1" ht="18.75" customHeight="1" x14ac:dyDescent="0.3">
      <c r="A11" s="359"/>
      <c r="B11" s="732"/>
      <c r="C11" s="733"/>
      <c r="D11" s="348"/>
      <c r="E11" s="486"/>
      <c r="F11" s="348"/>
      <c r="G11" s="348"/>
      <c r="H11" s="486"/>
      <c r="I11" s="348"/>
      <c r="J11" s="348"/>
      <c r="K11" s="460"/>
      <c r="L11" s="347"/>
      <c r="M11" s="347"/>
      <c r="N11" s="460"/>
      <c r="O11" s="347"/>
      <c r="P11" s="271"/>
      <c r="Q11" s="460"/>
      <c r="R11" s="347"/>
      <c r="S11" s="271"/>
      <c r="T11" s="460"/>
      <c r="U11" s="347"/>
      <c r="V11" s="271"/>
      <c r="W11" s="460"/>
      <c r="X11" s="347"/>
      <c r="Y11" s="271"/>
      <c r="Z11" s="460"/>
      <c r="AA11" s="347"/>
      <c r="AB11" s="271"/>
      <c r="AC11" s="460"/>
      <c r="AD11" s="347"/>
      <c r="AE11" s="271"/>
      <c r="AF11" s="347"/>
      <c r="AG11" s="347"/>
      <c r="AH11" s="271"/>
      <c r="AI11" s="347"/>
      <c r="AJ11" s="347"/>
      <c r="AK11" s="271"/>
    </row>
    <row r="12" spans="1:51" s="362" customFormat="1" ht="20.100000000000001" customHeight="1" x14ac:dyDescent="0.3">
      <c r="A12" s="465" t="s">
        <v>167</v>
      </c>
      <c r="B12" s="732"/>
      <c r="C12" s="733"/>
      <c r="D12" s="349"/>
      <c r="E12" s="146"/>
      <c r="F12" s="349"/>
      <c r="G12" s="349"/>
      <c r="H12" s="146"/>
      <c r="I12" s="349"/>
      <c r="J12" s="349"/>
      <c r="K12" s="460"/>
      <c r="L12" s="347"/>
      <c r="M12" s="347"/>
      <c r="N12" s="460"/>
      <c r="O12" s="347"/>
      <c r="P12" s="271"/>
      <c r="Q12" s="460"/>
      <c r="R12" s="347"/>
      <c r="S12" s="271"/>
      <c r="T12" s="460"/>
      <c r="U12" s="347"/>
      <c r="V12" s="271"/>
      <c r="W12" s="460"/>
      <c r="X12" s="347"/>
      <c r="Y12" s="271"/>
      <c r="Z12" s="460"/>
      <c r="AA12" s="347"/>
      <c r="AB12" s="271"/>
      <c r="AC12" s="460"/>
      <c r="AD12" s="347"/>
      <c r="AE12" s="271"/>
      <c r="AF12" s="347"/>
      <c r="AG12" s="347"/>
      <c r="AH12" s="271"/>
      <c r="AI12" s="347"/>
      <c r="AJ12" s="347"/>
      <c r="AK12" s="271"/>
    </row>
    <row r="13" spans="1:51" s="362" customFormat="1" ht="20.100000000000001" customHeight="1" x14ac:dyDescent="0.3">
      <c r="A13" s="465" t="s">
        <v>168</v>
      </c>
      <c r="B13" s="732"/>
      <c r="C13" s="733"/>
      <c r="D13" s="349"/>
      <c r="E13" s="146"/>
      <c r="F13" s="349"/>
      <c r="G13" s="349"/>
      <c r="H13" s="146"/>
      <c r="I13" s="349"/>
      <c r="J13" s="349"/>
      <c r="K13" s="76"/>
      <c r="L13" s="390"/>
      <c r="M13" s="390"/>
      <c r="N13" s="76"/>
      <c r="O13" s="390"/>
      <c r="P13" s="350"/>
      <c r="Q13" s="76"/>
      <c r="R13" s="390"/>
      <c r="S13" s="350"/>
      <c r="T13" s="76"/>
      <c r="U13" s="390"/>
      <c r="V13" s="350"/>
      <c r="W13" s="76"/>
      <c r="X13" s="390"/>
      <c r="Y13" s="350"/>
      <c r="Z13" s="76"/>
      <c r="AA13" s="390"/>
      <c r="AB13" s="350"/>
      <c r="AC13" s="76"/>
      <c r="AD13" s="390"/>
      <c r="AE13" s="350"/>
      <c r="AF13" s="390"/>
      <c r="AG13" s="390"/>
      <c r="AH13" s="350"/>
      <c r="AI13" s="390"/>
      <c r="AJ13" s="390"/>
      <c r="AK13" s="350"/>
    </row>
    <row r="14" spans="1:51" s="362" customFormat="1" ht="20.100000000000001" customHeight="1" x14ac:dyDescent="0.3">
      <c r="A14" s="453" t="s">
        <v>169</v>
      </c>
      <c r="B14" s="734"/>
      <c r="C14" s="715"/>
      <c r="D14" s="350"/>
      <c r="E14" s="144"/>
      <c r="F14" s="350"/>
      <c r="G14" s="350"/>
      <c r="H14" s="144"/>
      <c r="I14" s="350"/>
      <c r="J14" s="350"/>
      <c r="K14" s="76">
        <v>19</v>
      </c>
      <c r="L14" s="390">
        <v>26</v>
      </c>
      <c r="M14" s="390">
        <f t="shared" ref="M14" si="0">IF(K14=0, "    ---- ", IF(ABS(ROUND(100/K14*L14-100,1))&lt;999,ROUND(100/K14*L14-100,1),IF(ROUND(100/K14*L14-100,1)&gt;999,999,-999)))</f>
        <v>36.799999999999997</v>
      </c>
      <c r="N14" s="76">
        <v>1301.0807300899999</v>
      </c>
      <c r="O14" s="390">
        <v>1322.1865066300002</v>
      </c>
      <c r="P14" s="350">
        <f t="shared" ref="P14:P28" si="1">IF(N14=0, "    ---- ", IF(ABS(ROUND(100/N14*O14-100,1))&lt;999,ROUND(100/N14*O14-100,1),IF(ROUND(100/N14*O14-100,1)&gt;999,999,-999)))</f>
        <v>1.6</v>
      </c>
      <c r="Q14" s="76"/>
      <c r="R14" s="390"/>
      <c r="S14" s="350"/>
      <c r="T14" s="76"/>
      <c r="U14" s="390"/>
      <c r="V14" s="350"/>
      <c r="W14" s="76"/>
      <c r="X14" s="390"/>
      <c r="Y14" s="350" t="str">
        <f t="shared" ref="Y14:Y28" si="2">IF(W14=0, "    ---- ", IF(ABS(ROUND(100/W14*X14-100,1))&lt;999,ROUND(100/W14*X14-100,1),IF(ROUND(100/W14*X14-100,1)&gt;999,999,-999)))</f>
        <v xml:space="preserve">    ---- </v>
      </c>
      <c r="Z14" s="76"/>
      <c r="AA14" s="390"/>
      <c r="AB14" s="350"/>
      <c r="AC14" s="76"/>
      <c r="AD14" s="390"/>
      <c r="AE14" s="350"/>
      <c r="AF14" s="390">
        <f t="shared" ref="AF14:AG22" si="3">B14+E14+H14+K14+N14+Q14+T14+W14+Z14</f>
        <v>1320.0807300899999</v>
      </c>
      <c r="AG14" s="390">
        <f t="shared" si="3"/>
        <v>1348.1865066300002</v>
      </c>
      <c r="AH14" s="350">
        <f t="shared" ref="AH14:AH28" si="4">IF(AF14=0, "    ---- ", IF(ABS(ROUND(100/AF14*AG14-100,1))&lt;999,ROUND(100/AF14*AG14-100,1),IF(ROUND(100/AF14*AG14-100,1)&gt;999,999,-999)))</f>
        <v>2.1</v>
      </c>
      <c r="AI14" s="390">
        <f t="shared" ref="AI14:AJ22" si="5">B14+E14+H14+K14+N14+Q14+T14+W14+Z14+AC14</f>
        <v>1320.0807300899999</v>
      </c>
      <c r="AJ14" s="390">
        <f t="shared" si="5"/>
        <v>1348.1865066300002</v>
      </c>
      <c r="AK14" s="350">
        <f t="shared" ref="AK14:AK29" si="6">IF(AI14=0, "    ---- ", IF(ABS(ROUND(100/AI14*AJ14-100,1))&lt;999,ROUND(100/AI14*AJ14-100,1),IF(ROUND(100/AI14*AJ14-100,1)&gt;999,999,-999)))</f>
        <v>2.1</v>
      </c>
    </row>
    <row r="15" spans="1:51" s="362" customFormat="1" ht="20.100000000000001" customHeight="1" x14ac:dyDescent="0.3">
      <c r="A15" s="453" t="s">
        <v>170</v>
      </c>
      <c r="B15" s="734">
        <v>1309</v>
      </c>
      <c r="C15" s="715">
        <v>1187.8469576300001</v>
      </c>
      <c r="D15" s="350">
        <f t="shared" ref="D15:D28" si="7">IF(B15=0, "    ---- ", IF(ABS(ROUND(100/B15*C15-100,1))&lt;999,ROUND(100/B15*C15-100,1),IF(ROUND(100/B15*C15-100,1)&gt;999,999,-999)))</f>
        <v>-9.3000000000000007</v>
      </c>
      <c r="E15" s="144"/>
      <c r="F15" s="350"/>
      <c r="G15" s="350"/>
      <c r="H15" s="144"/>
      <c r="I15" s="350"/>
      <c r="J15" s="350"/>
      <c r="K15" s="76"/>
      <c r="L15" s="390"/>
      <c r="M15" s="390"/>
      <c r="N15" s="76">
        <v>9268.6439241099997</v>
      </c>
      <c r="O15" s="390">
        <v>9967.0913918599999</v>
      </c>
      <c r="P15" s="350">
        <f t="shared" si="1"/>
        <v>7.5</v>
      </c>
      <c r="Q15" s="76">
        <v>1</v>
      </c>
      <c r="R15" s="390">
        <v>1</v>
      </c>
      <c r="S15" s="350">
        <f t="shared" ref="S15:S18" si="8">IF(Q15=0, "    ---- ", IF(ABS(ROUND(100/Q15*R15-100,1))&lt;999,ROUND(100/Q15*R15-100,1),IF(ROUND(100/Q15*R15-100,1)&gt;999,999,-999)))</f>
        <v>0</v>
      </c>
      <c r="T15" s="76">
        <v>1281</v>
      </c>
      <c r="U15" s="390">
        <v>1372</v>
      </c>
      <c r="V15" s="350">
        <f t="shared" ref="V15:V28" si="9">IF(T15=0, "    ---- ", IF(ABS(ROUND(100/T15*U15-100,1))&lt;999,ROUND(100/T15*U15-100,1),IF(ROUND(100/T15*U15-100,1)&gt;999,999,-999)))</f>
        <v>7.1</v>
      </c>
      <c r="W15" s="76">
        <v>1379.3679999999999</v>
      </c>
      <c r="X15" s="390">
        <v>1387.778</v>
      </c>
      <c r="Y15" s="350">
        <f t="shared" si="2"/>
        <v>0.6</v>
      </c>
      <c r="Z15" s="76">
        <v>13045.092812839997</v>
      </c>
      <c r="AA15" s="390">
        <v>13304.16435675</v>
      </c>
      <c r="AB15" s="350">
        <f t="shared" ref="AB15:AB28" si="10">IF(Z15=0, "    ---- ", IF(ABS(ROUND(100/Z15*AA15-100,1))&lt;999,ROUND(100/Z15*AA15-100,1),IF(ROUND(100/Z15*AA15-100,1)&gt;999,999,-999)))</f>
        <v>2</v>
      </c>
      <c r="AC15" s="76"/>
      <c r="AD15" s="390"/>
      <c r="AE15" s="350"/>
      <c r="AF15" s="390">
        <f t="shared" si="3"/>
        <v>26284.104736949997</v>
      </c>
      <c r="AG15" s="390">
        <f t="shared" si="3"/>
        <v>27219.880706240001</v>
      </c>
      <c r="AH15" s="350">
        <f t="shared" si="4"/>
        <v>3.6</v>
      </c>
      <c r="AI15" s="390">
        <f t="shared" si="5"/>
        <v>26284.104736949997</v>
      </c>
      <c r="AJ15" s="390">
        <f t="shared" si="5"/>
        <v>27219.880706240001</v>
      </c>
      <c r="AK15" s="350">
        <f t="shared" si="6"/>
        <v>3.6</v>
      </c>
    </row>
    <row r="16" spans="1:51" s="362" customFormat="1" ht="20.100000000000001" customHeight="1" x14ac:dyDescent="0.3">
      <c r="A16" s="453" t="s">
        <v>171</v>
      </c>
      <c r="B16" s="734">
        <f>SUM(B17+B19)</f>
        <v>17930.21018247</v>
      </c>
      <c r="C16" s="715">
        <f>SUM(C17+C19)</f>
        <v>17161.400386540001</v>
      </c>
      <c r="D16" s="350">
        <f t="shared" si="7"/>
        <v>-4.3</v>
      </c>
      <c r="E16" s="144">
        <f>SUM(E17+E19)</f>
        <v>690.20140949000029</v>
      </c>
      <c r="F16" s="350">
        <f>SUM(F17+F19)</f>
        <v>778.37818665000009</v>
      </c>
      <c r="G16" s="350">
        <f t="shared" ref="G16:G18" si="11">IF(E16=0, "    ---- ", IF(ABS(ROUND(100/E16*F16-100,1))&lt;999,ROUND(100/E16*F16-100,1),IF(ROUND(100/E16*F16-100,1)&gt;999,999,-999)))</f>
        <v>12.8</v>
      </c>
      <c r="H16" s="144">
        <f>SUM(H17+H19)</f>
        <v>126.241</v>
      </c>
      <c r="I16" s="350"/>
      <c r="J16" s="350">
        <f t="shared" ref="J16:J18" si="12">IF(H16=0, "    ---- ", IF(ABS(ROUND(100/H16*I16-100,1))&lt;999,ROUND(100/H16*I16-100,1),IF(ROUND(100/H16*I16-100,1)&gt;999,999,-999)))</f>
        <v>-100</v>
      </c>
      <c r="K16" s="76">
        <f>SUM(K17+K19)</f>
        <v>188</v>
      </c>
      <c r="L16" s="390">
        <f>SUM(L17+L19)</f>
        <v>139</v>
      </c>
      <c r="M16" s="390">
        <f t="shared" ref="M16" si="13">IF(K16=0, "    ---- ", IF(ABS(ROUND(100/K16*L16-100,1))&lt;999,ROUND(100/K16*L16-100,1),IF(ROUND(100/K16*L16-100,1)&gt;999,999,-999)))</f>
        <v>-26.1</v>
      </c>
      <c r="N16" s="76">
        <v>21256.122205579999</v>
      </c>
      <c r="O16" s="390">
        <v>21624.758125889999</v>
      </c>
      <c r="P16" s="350">
        <f t="shared" si="1"/>
        <v>1.7</v>
      </c>
      <c r="Q16" s="76">
        <f>SUM(Q17+Q19)</f>
        <v>8673</v>
      </c>
      <c r="R16" s="390">
        <f>SUM(R17+R19)</f>
        <v>8847.26</v>
      </c>
      <c r="S16" s="350">
        <f t="shared" si="8"/>
        <v>2</v>
      </c>
      <c r="T16" s="76">
        <f>SUM(T17+T19)</f>
        <v>4512</v>
      </c>
      <c r="U16" s="390">
        <f>SUM(U17+U19)</f>
        <v>5409</v>
      </c>
      <c r="V16" s="350">
        <f t="shared" si="9"/>
        <v>19.899999999999999</v>
      </c>
      <c r="W16" s="76">
        <f>SUM(W17+W19)</f>
        <v>1340.673</v>
      </c>
      <c r="X16" s="390">
        <f>SUM(X17+X19)</f>
        <v>1343.415</v>
      </c>
      <c r="Y16" s="350">
        <f t="shared" si="2"/>
        <v>0.2</v>
      </c>
      <c r="Z16" s="76">
        <f>SUM(Z17+Z19)</f>
        <v>16002.40376587</v>
      </c>
      <c r="AA16" s="390">
        <f>SUM(AA17+AA19)</f>
        <v>15242.07711441</v>
      </c>
      <c r="AB16" s="350">
        <f t="shared" si="10"/>
        <v>-4.8</v>
      </c>
      <c r="AC16" s="76"/>
      <c r="AD16" s="390"/>
      <c r="AE16" s="350"/>
      <c r="AF16" s="390">
        <f t="shared" si="3"/>
        <v>70718.851563410004</v>
      </c>
      <c r="AG16" s="390">
        <f t="shared" si="3"/>
        <v>70545.288813489999</v>
      </c>
      <c r="AH16" s="350">
        <f t="shared" si="4"/>
        <v>-0.2</v>
      </c>
      <c r="AI16" s="390">
        <f t="shared" si="5"/>
        <v>70718.851563410004</v>
      </c>
      <c r="AJ16" s="390">
        <f t="shared" si="5"/>
        <v>70545.288813489999</v>
      </c>
      <c r="AK16" s="350">
        <f t="shared" si="6"/>
        <v>-0.2</v>
      </c>
    </row>
    <row r="17" spans="1:37" s="362" customFormat="1" ht="20.100000000000001" customHeight="1" x14ac:dyDescent="0.3">
      <c r="A17" s="453" t="s">
        <v>461</v>
      </c>
      <c r="B17" s="734">
        <v>15342.82128989</v>
      </c>
      <c r="C17" s="715">
        <v>16557</v>
      </c>
      <c r="D17" s="350">
        <f t="shared" si="7"/>
        <v>7.9</v>
      </c>
      <c r="E17" s="144">
        <v>690.20140949000029</v>
      </c>
      <c r="F17" s="350">
        <v>778.37818665000009</v>
      </c>
      <c r="G17" s="350">
        <f t="shared" si="11"/>
        <v>12.8</v>
      </c>
      <c r="H17" s="144">
        <v>126.241</v>
      </c>
      <c r="I17" s="350"/>
      <c r="J17" s="350">
        <f t="shared" si="12"/>
        <v>-100</v>
      </c>
      <c r="K17" s="76"/>
      <c r="L17" s="390"/>
      <c r="M17" s="390"/>
      <c r="N17" s="76">
        <v>7455.1052243599997</v>
      </c>
      <c r="O17" s="390">
        <v>7185.4343534899999</v>
      </c>
      <c r="P17" s="350">
        <f t="shared" si="1"/>
        <v>-3.6</v>
      </c>
      <c r="Q17" s="76">
        <v>8673</v>
      </c>
      <c r="R17" s="390">
        <v>8847.26</v>
      </c>
      <c r="S17" s="350">
        <f t="shared" si="8"/>
        <v>2</v>
      </c>
      <c r="T17" s="76">
        <v>2506</v>
      </c>
      <c r="U17" s="390">
        <v>2961</v>
      </c>
      <c r="V17" s="350">
        <f t="shared" si="9"/>
        <v>18.2</v>
      </c>
      <c r="W17" s="76">
        <v>1340.673</v>
      </c>
      <c r="X17" s="390">
        <v>1343.415</v>
      </c>
      <c r="Y17" s="350">
        <f t="shared" si="2"/>
        <v>0.2</v>
      </c>
      <c r="Z17" s="76"/>
      <c r="AA17" s="390"/>
      <c r="AB17" s="350" t="str">
        <f t="shared" si="10"/>
        <v xml:space="preserve">    ---- </v>
      </c>
      <c r="AC17" s="76"/>
      <c r="AD17" s="390"/>
      <c r="AE17" s="350"/>
      <c r="AF17" s="390">
        <f t="shared" si="3"/>
        <v>36134.041923739998</v>
      </c>
      <c r="AG17" s="390">
        <f t="shared" si="3"/>
        <v>37672.487540139999</v>
      </c>
      <c r="AH17" s="350">
        <f t="shared" si="4"/>
        <v>4.3</v>
      </c>
      <c r="AI17" s="390">
        <f t="shared" si="5"/>
        <v>36134.041923739998</v>
      </c>
      <c r="AJ17" s="390">
        <f t="shared" si="5"/>
        <v>37672.487540139999</v>
      </c>
      <c r="AK17" s="350">
        <f t="shared" si="6"/>
        <v>4.3</v>
      </c>
    </row>
    <row r="18" spans="1:37" s="362" customFormat="1" ht="20.100000000000001" customHeight="1" x14ac:dyDescent="0.3">
      <c r="A18" s="453" t="s">
        <v>172</v>
      </c>
      <c r="B18" s="734">
        <v>15342.82128989</v>
      </c>
      <c r="C18" s="715">
        <v>16557.475426549998</v>
      </c>
      <c r="D18" s="350">
        <f t="shared" si="7"/>
        <v>7.9</v>
      </c>
      <c r="E18" s="144">
        <v>690.20140949000029</v>
      </c>
      <c r="F18" s="350">
        <v>778.37818665000009</v>
      </c>
      <c r="G18" s="350">
        <f t="shared" si="11"/>
        <v>12.8</v>
      </c>
      <c r="H18" s="144">
        <v>126.241</v>
      </c>
      <c r="I18" s="350"/>
      <c r="J18" s="350">
        <f t="shared" si="12"/>
        <v>-100</v>
      </c>
      <c r="K18" s="76"/>
      <c r="L18" s="390"/>
      <c r="M18" s="390"/>
      <c r="N18" s="76">
        <v>7455.1052243599997</v>
      </c>
      <c r="O18" s="390">
        <v>7185.4343534899999</v>
      </c>
      <c r="P18" s="350">
        <f t="shared" si="1"/>
        <v>-3.6</v>
      </c>
      <c r="Q18" s="76">
        <v>8673</v>
      </c>
      <c r="R18" s="390">
        <v>8847.26</v>
      </c>
      <c r="S18" s="350">
        <f t="shared" si="8"/>
        <v>2</v>
      </c>
      <c r="T18" s="76"/>
      <c r="U18" s="390"/>
      <c r="V18" s="350"/>
      <c r="W18" s="76">
        <v>9.8722816699996709</v>
      </c>
      <c r="X18" s="390">
        <v>9.8860548499996721</v>
      </c>
      <c r="Y18" s="350">
        <f t="shared" si="2"/>
        <v>0.1</v>
      </c>
      <c r="Z18" s="76"/>
      <c r="AA18" s="390"/>
      <c r="AB18" s="350" t="str">
        <f t="shared" si="10"/>
        <v xml:space="preserve">    ---- </v>
      </c>
      <c r="AC18" s="76"/>
      <c r="AD18" s="390"/>
      <c r="AE18" s="350"/>
      <c r="AF18" s="390">
        <f t="shared" si="3"/>
        <v>32297.241205409999</v>
      </c>
      <c r="AG18" s="390">
        <f t="shared" si="3"/>
        <v>33378.434021540001</v>
      </c>
      <c r="AH18" s="350">
        <f t="shared" si="4"/>
        <v>3.3</v>
      </c>
      <c r="AI18" s="390">
        <f t="shared" si="5"/>
        <v>32297.241205409999</v>
      </c>
      <c r="AJ18" s="390">
        <f t="shared" si="5"/>
        <v>33378.434021540001</v>
      </c>
      <c r="AK18" s="350">
        <f t="shared" si="6"/>
        <v>3.3</v>
      </c>
    </row>
    <row r="19" spans="1:37" s="362" customFormat="1" ht="20.100000000000001" customHeight="1" x14ac:dyDescent="0.3">
      <c r="A19" s="453" t="s">
        <v>173</v>
      </c>
      <c r="B19" s="734">
        <v>2587.3888925799997</v>
      </c>
      <c r="C19" s="715">
        <v>604.40038654</v>
      </c>
      <c r="D19" s="350">
        <f t="shared" si="7"/>
        <v>-76.599999999999994</v>
      </c>
      <c r="E19" s="144"/>
      <c r="F19" s="350"/>
      <c r="G19" s="350"/>
      <c r="H19" s="144"/>
      <c r="I19" s="350"/>
      <c r="J19" s="350"/>
      <c r="K19" s="76">
        <v>188</v>
      </c>
      <c r="L19" s="390">
        <v>139</v>
      </c>
      <c r="M19" s="390">
        <f t="shared" ref="M19:M28" si="14">IF(K19=0, "    ---- ", IF(ABS(ROUND(100/K19*L19-100,1))&lt;999,ROUND(100/K19*L19-100,1),IF(ROUND(100/K19*L19-100,1)&gt;999,999,-999)))</f>
        <v>-26.1</v>
      </c>
      <c r="N19" s="76">
        <v>13801.01698122</v>
      </c>
      <c r="O19" s="390">
        <v>14439.323772399999</v>
      </c>
      <c r="P19" s="350">
        <f t="shared" si="1"/>
        <v>4.5999999999999996</v>
      </c>
      <c r="Q19" s="76"/>
      <c r="R19" s="390"/>
      <c r="S19" s="350"/>
      <c r="T19" s="76">
        <v>2006</v>
      </c>
      <c r="U19" s="390">
        <v>2448</v>
      </c>
      <c r="V19" s="350">
        <f t="shared" si="9"/>
        <v>22</v>
      </c>
      <c r="W19" s="76">
        <v>0</v>
      </c>
      <c r="X19" s="390"/>
      <c r="Y19" s="350" t="str">
        <f t="shared" si="2"/>
        <v xml:space="preserve">    ---- </v>
      </c>
      <c r="Z19" s="76">
        <v>16002.40376587</v>
      </c>
      <c r="AA19" s="390">
        <v>15242.07711441</v>
      </c>
      <c r="AB19" s="350">
        <f t="shared" si="10"/>
        <v>-4.8</v>
      </c>
      <c r="AC19" s="76"/>
      <c r="AD19" s="390"/>
      <c r="AE19" s="350"/>
      <c r="AF19" s="390">
        <f t="shared" si="3"/>
        <v>34584.809639669998</v>
      </c>
      <c r="AG19" s="390">
        <f t="shared" si="3"/>
        <v>32872.80127335</v>
      </c>
      <c r="AH19" s="350">
        <f t="shared" si="4"/>
        <v>-5</v>
      </c>
      <c r="AI19" s="390">
        <f t="shared" si="5"/>
        <v>34584.809639669998</v>
      </c>
      <c r="AJ19" s="390">
        <f t="shared" si="5"/>
        <v>32872.80127335</v>
      </c>
      <c r="AK19" s="350">
        <f t="shared" si="6"/>
        <v>-5</v>
      </c>
    </row>
    <row r="20" spans="1:37" s="362" customFormat="1" ht="20.100000000000001" customHeight="1" x14ac:dyDescent="0.3">
      <c r="A20" s="453" t="s">
        <v>174</v>
      </c>
      <c r="B20" s="734">
        <f>SUM(B21:B25)</f>
        <v>12651.42749118</v>
      </c>
      <c r="C20" s="715">
        <f>C21+C22+C23+C24+C25</f>
        <v>12304.794000000002</v>
      </c>
      <c r="D20" s="350">
        <f t="shared" si="7"/>
        <v>-2.7</v>
      </c>
      <c r="E20" s="144">
        <f>SUM(E21:E25)</f>
        <v>2601.7973276200005</v>
      </c>
      <c r="F20" s="350">
        <f>F21+F22+F23+F24+F25</f>
        <v>2787.5596986099999</v>
      </c>
      <c r="G20" s="350">
        <f>IF(E20=0, "    ---- ", IF(ABS(ROUND(100/E20*F20-100,1))&lt;999,ROUND(100/E20*F20-100,1),IF(ROUND(100/E20*F20-100,1)&gt;999,999,-999)))</f>
        <v>7.1</v>
      </c>
      <c r="H20" s="144">
        <f>SUM(H21:H25)</f>
        <v>274.43400000000003</v>
      </c>
      <c r="I20" s="350">
        <f>I21+I22+I23+I24+I25</f>
        <v>439.06999999999994</v>
      </c>
      <c r="J20" s="350">
        <f t="shared" ref="J20:J28" si="15">IF(H20=0, "    ---- ", IF(ABS(ROUND(100/H20*I20-100,1))&lt;999,ROUND(100/H20*I20-100,1),IF(ROUND(100/H20*I20-100,1)&gt;999,999,-999)))</f>
        <v>60</v>
      </c>
      <c r="K20" s="76">
        <f>SUM(K21:K25)</f>
        <v>945</v>
      </c>
      <c r="L20" s="350">
        <f>L21+L22+L23+L24+L25</f>
        <v>1116</v>
      </c>
      <c r="M20" s="390">
        <f t="shared" si="14"/>
        <v>18.100000000000001</v>
      </c>
      <c r="N20" s="76">
        <v>13426.323099000001</v>
      </c>
      <c r="O20" s="350">
        <v>15275.377466219999</v>
      </c>
      <c r="P20" s="350">
        <f t="shared" si="1"/>
        <v>13.8</v>
      </c>
      <c r="Q20" s="76">
        <f>SUM(Q21:Q25)</f>
        <v>2088.4899999999998</v>
      </c>
      <c r="R20" s="350">
        <f>R21+R22+R23+R24+R25</f>
        <v>2042.71</v>
      </c>
      <c r="S20" s="350">
        <f t="shared" ref="S20:S28" si="16">IF(Q20=0, "    ---- ", IF(ABS(ROUND(100/Q20*R20-100,1))&lt;999,ROUND(100/Q20*R20-100,1),IF(ROUND(100/Q20*R20-100,1)&gt;999,999,-999)))</f>
        <v>-2.2000000000000002</v>
      </c>
      <c r="T20" s="76">
        <f>SUM(T21:T25)</f>
        <v>4470</v>
      </c>
      <c r="U20" s="350">
        <f>U21+U22+U23+U24+U25</f>
        <v>4658</v>
      </c>
      <c r="V20" s="350">
        <f t="shared" si="9"/>
        <v>4.2</v>
      </c>
      <c r="W20" s="76">
        <f>SUM(W21:W25)</f>
        <v>4090.9079999999999</v>
      </c>
      <c r="X20" s="350">
        <f>X21+X22+X23+X24+X25</f>
        <v>3073.0650000000001</v>
      </c>
      <c r="Y20" s="350">
        <f t="shared" si="2"/>
        <v>-24.9</v>
      </c>
      <c r="Z20" s="76">
        <f>SUM(Z21:Z25)</f>
        <v>7162.0008773099999</v>
      </c>
      <c r="AA20" s="350">
        <f>AA21+AA22+AA23+AA24+AA25</f>
        <v>5409.0539090100001</v>
      </c>
      <c r="AB20" s="350">
        <f t="shared" si="10"/>
        <v>-24.5</v>
      </c>
      <c r="AC20" s="76">
        <f>SUM(AC21:AC25)</f>
        <v>33</v>
      </c>
      <c r="AD20" s="350">
        <f>AD21+AD22+AD23+AD24+AD25</f>
        <v>46</v>
      </c>
      <c r="AE20" s="350">
        <f t="shared" ref="AE20:AE25" si="17">IF(AC20=0, "    ---- ", IF(ABS(ROUND(100/AC20*AD20-100,1))&lt;999,ROUND(100/AC20*AD20-100,1),IF(ROUND(100/AC20*AD20-100,1)&gt;999,999,-999)))</f>
        <v>39.4</v>
      </c>
      <c r="AF20" s="390">
        <f t="shared" si="3"/>
        <v>47710.380795110003</v>
      </c>
      <c r="AG20" s="390">
        <f t="shared" si="3"/>
        <v>47105.630073840002</v>
      </c>
      <c r="AH20" s="350">
        <f t="shared" si="4"/>
        <v>-1.3</v>
      </c>
      <c r="AI20" s="390">
        <f t="shared" si="5"/>
        <v>47743.380795110003</v>
      </c>
      <c r="AJ20" s="390">
        <f t="shared" si="5"/>
        <v>47151.630073840002</v>
      </c>
      <c r="AK20" s="350">
        <f t="shared" si="6"/>
        <v>-1.2</v>
      </c>
    </row>
    <row r="21" spans="1:37" s="362" customFormat="1" ht="20.100000000000001" customHeight="1" x14ac:dyDescent="0.3">
      <c r="A21" s="453" t="s">
        <v>175</v>
      </c>
      <c r="B21" s="734">
        <v>1042.6919345900001</v>
      </c>
      <c r="C21" s="715">
        <v>1239.4760000000001</v>
      </c>
      <c r="D21" s="350">
        <f t="shared" si="7"/>
        <v>18.899999999999999</v>
      </c>
      <c r="E21" s="144"/>
      <c r="F21" s="350"/>
      <c r="G21" s="350"/>
      <c r="H21" s="144">
        <v>41.476999999999997</v>
      </c>
      <c r="I21" s="350">
        <v>66.515000000000001</v>
      </c>
      <c r="J21" s="350">
        <f t="shared" si="15"/>
        <v>60.4</v>
      </c>
      <c r="K21" s="76">
        <v>10</v>
      </c>
      <c r="L21" s="390">
        <v>16</v>
      </c>
      <c r="M21" s="390">
        <f t="shared" si="14"/>
        <v>60</v>
      </c>
      <c r="N21" s="76">
        <v>3.8961000000000001</v>
      </c>
      <c r="O21" s="390">
        <v>3.8961000000000001</v>
      </c>
      <c r="P21" s="350">
        <f t="shared" si="1"/>
        <v>0</v>
      </c>
      <c r="Q21" s="76">
        <v>2085.4699999999998</v>
      </c>
      <c r="R21" s="390">
        <v>9.3800000000000008</v>
      </c>
      <c r="S21" s="350">
        <f t="shared" si="16"/>
        <v>-99.6</v>
      </c>
      <c r="T21" s="76">
        <v>2165</v>
      </c>
      <c r="U21" s="390">
        <v>2225</v>
      </c>
      <c r="V21" s="350">
        <f t="shared" si="9"/>
        <v>2.8</v>
      </c>
      <c r="W21" s="76">
        <v>1.92</v>
      </c>
      <c r="X21" s="390">
        <v>2.2410000000000001</v>
      </c>
      <c r="Y21" s="350">
        <f t="shared" si="2"/>
        <v>16.7</v>
      </c>
      <c r="Z21" s="76">
        <v>597.66143105999981</v>
      </c>
      <c r="AA21" s="390">
        <v>355.82573489999999</v>
      </c>
      <c r="AB21" s="350">
        <f t="shared" si="10"/>
        <v>-40.5</v>
      </c>
      <c r="AC21" s="76"/>
      <c r="AD21" s="390"/>
      <c r="AE21" s="350"/>
      <c r="AF21" s="390">
        <f t="shared" si="3"/>
        <v>5948.1164656499996</v>
      </c>
      <c r="AG21" s="390">
        <f t="shared" si="3"/>
        <v>3918.3338349000001</v>
      </c>
      <c r="AH21" s="350">
        <f t="shared" si="4"/>
        <v>-34.1</v>
      </c>
      <c r="AI21" s="390">
        <f t="shared" si="5"/>
        <v>5948.1164656499996</v>
      </c>
      <c r="AJ21" s="390">
        <f t="shared" si="5"/>
        <v>3918.3338349000001</v>
      </c>
      <c r="AK21" s="350">
        <f t="shared" si="6"/>
        <v>-34.1</v>
      </c>
    </row>
    <row r="22" spans="1:37" s="362" customFormat="1" ht="20.100000000000001" customHeight="1" x14ac:dyDescent="0.3">
      <c r="A22" s="453" t="s">
        <v>462</v>
      </c>
      <c r="B22" s="734">
        <v>11477.35760227</v>
      </c>
      <c r="C22" s="715">
        <v>10548.063</v>
      </c>
      <c r="D22" s="350">
        <f t="shared" si="7"/>
        <v>-8.1</v>
      </c>
      <c r="E22" s="144">
        <v>2593.4138010200004</v>
      </c>
      <c r="F22" s="350">
        <v>2660.2025549200002</v>
      </c>
      <c r="G22" s="350">
        <f>IF(E22=0, "    ---- ", IF(ABS(ROUND(100/E22*F22-100,1))&lt;999,ROUND(100/E22*F22-100,1),IF(ROUND(100/E22*F22-100,1)&gt;999,999,-999)))</f>
        <v>2.6</v>
      </c>
      <c r="H22" s="144">
        <v>171.988</v>
      </c>
      <c r="I22" s="350">
        <v>267.26299999999998</v>
      </c>
      <c r="J22" s="350">
        <f t="shared" si="15"/>
        <v>55.4</v>
      </c>
      <c r="K22" s="76">
        <v>935</v>
      </c>
      <c r="L22" s="390">
        <v>1100</v>
      </c>
      <c r="M22" s="390">
        <f t="shared" si="14"/>
        <v>17.600000000000001</v>
      </c>
      <c r="N22" s="76">
        <v>11759.727709860001</v>
      </c>
      <c r="O22" s="390">
        <v>12412.07502149</v>
      </c>
      <c r="P22" s="350">
        <f t="shared" si="1"/>
        <v>5.5</v>
      </c>
      <c r="Q22" s="76">
        <v>0</v>
      </c>
      <c r="R22" s="390">
        <v>2030.39</v>
      </c>
      <c r="S22" s="350" t="str">
        <f t="shared" si="16"/>
        <v xml:space="preserve">    ---- </v>
      </c>
      <c r="T22" s="76">
        <v>2255</v>
      </c>
      <c r="U22" s="390">
        <v>2414</v>
      </c>
      <c r="V22" s="350">
        <f t="shared" si="9"/>
        <v>7.1</v>
      </c>
      <c r="W22" s="76">
        <v>2771.2040000000002</v>
      </c>
      <c r="X22" s="390">
        <v>2474.9349999999999</v>
      </c>
      <c r="Y22" s="350">
        <f t="shared" si="2"/>
        <v>-10.7</v>
      </c>
      <c r="Z22" s="76">
        <v>6065.4666138900002</v>
      </c>
      <c r="AA22" s="390">
        <v>4950.8008545000002</v>
      </c>
      <c r="AB22" s="350">
        <f t="shared" si="10"/>
        <v>-18.399999999999999</v>
      </c>
      <c r="AC22" s="76"/>
      <c r="AD22" s="390"/>
      <c r="AE22" s="350"/>
      <c r="AF22" s="390">
        <f t="shared" si="3"/>
        <v>38029.157727040001</v>
      </c>
      <c r="AG22" s="390">
        <f t="shared" si="3"/>
        <v>38857.729430909996</v>
      </c>
      <c r="AH22" s="350">
        <f t="shared" si="4"/>
        <v>2.2000000000000002</v>
      </c>
      <c r="AI22" s="390">
        <f t="shared" si="5"/>
        <v>38029.157727040001</v>
      </c>
      <c r="AJ22" s="390">
        <f t="shared" si="5"/>
        <v>38857.729430909996</v>
      </c>
      <c r="AK22" s="350">
        <f t="shared" si="6"/>
        <v>2.2000000000000002</v>
      </c>
    </row>
    <row r="23" spans="1:37" s="362" customFormat="1" ht="20.100000000000001" customHeight="1" x14ac:dyDescent="0.3">
      <c r="A23" s="453" t="s">
        <v>176</v>
      </c>
      <c r="B23" s="734">
        <v>16.60025156</v>
      </c>
      <c r="C23" s="715">
        <v>39.581000000000003</v>
      </c>
      <c r="D23" s="350">
        <f t="shared" si="7"/>
        <v>138.4</v>
      </c>
      <c r="E23" s="144">
        <v>5.3328267199999839</v>
      </c>
      <c r="F23" s="350">
        <v>119.33483901999996</v>
      </c>
      <c r="G23" s="350">
        <f>IF(E23=0, "    ---- ", IF(ABS(ROUND(100/E23*F23-100,1))&lt;999,ROUND(100/E23*F23-100,1),IF(ROUND(100/E23*F23-100,1)&gt;999,999,-999)))</f>
        <v>999</v>
      </c>
      <c r="H23" s="144"/>
      <c r="I23" s="350"/>
      <c r="J23" s="350"/>
      <c r="K23" s="76"/>
      <c r="L23" s="390"/>
      <c r="M23" s="390"/>
      <c r="N23" s="76">
        <v>1135.3192996800001</v>
      </c>
      <c r="O23" s="390">
        <v>2426.95966851</v>
      </c>
      <c r="P23" s="350">
        <f t="shared" si="1"/>
        <v>113.8</v>
      </c>
      <c r="Q23" s="76">
        <v>0.1</v>
      </c>
      <c r="R23" s="390">
        <v>0.1</v>
      </c>
      <c r="S23" s="350">
        <f t="shared" si="16"/>
        <v>0</v>
      </c>
      <c r="T23" s="76">
        <v>50</v>
      </c>
      <c r="U23" s="390">
        <v>19</v>
      </c>
      <c r="V23" s="350">
        <f t="shared" si="9"/>
        <v>-62</v>
      </c>
      <c r="W23" s="76">
        <v>39.615000000000002</v>
      </c>
      <c r="X23" s="390">
        <v>60.652000000000001</v>
      </c>
      <c r="Y23" s="350">
        <f t="shared" si="2"/>
        <v>53.1</v>
      </c>
      <c r="Z23" s="76"/>
      <c r="AA23" s="390"/>
      <c r="AB23" s="350" t="str">
        <f t="shared" si="10"/>
        <v xml:space="preserve">    ---- </v>
      </c>
      <c r="AC23" s="76"/>
      <c r="AD23" s="390">
        <v>46</v>
      </c>
      <c r="AE23" s="350" t="str">
        <f t="shared" si="17"/>
        <v xml:space="preserve">    ---- </v>
      </c>
      <c r="AF23" s="390">
        <f>B23+E23+H23+K23+N23+Q23+T23+W23+Z23</f>
        <v>1246.96737796</v>
      </c>
      <c r="AG23" s="390">
        <f>C23+F23+I23+L23+O23+R23+U23+X23+AA23</f>
        <v>2665.62750753</v>
      </c>
      <c r="AH23" s="350">
        <f t="shared" si="4"/>
        <v>113.8</v>
      </c>
      <c r="AI23" s="390">
        <f>B23+E23+H23+K23+N23+Q23+T23+W23+Z23+AC23</f>
        <v>1246.96737796</v>
      </c>
      <c r="AJ23" s="390">
        <f>C23+F23+I23+L23+O23+R23+U23+X23+AA23+AD23</f>
        <v>2711.62750753</v>
      </c>
      <c r="AK23" s="350">
        <f t="shared" si="6"/>
        <v>117.5</v>
      </c>
    </row>
    <row r="24" spans="1:37" s="362" customFormat="1" ht="20.100000000000001" customHeight="1" x14ac:dyDescent="0.3">
      <c r="A24" s="453" t="s">
        <v>177</v>
      </c>
      <c r="B24" s="734">
        <v>36.943930639999998</v>
      </c>
      <c r="C24" s="715">
        <v>8.2449999999999992</v>
      </c>
      <c r="D24" s="350">
        <f t="shared" si="7"/>
        <v>-77.7</v>
      </c>
      <c r="E24" s="144"/>
      <c r="F24" s="350"/>
      <c r="G24" s="350"/>
      <c r="H24" s="144"/>
      <c r="I24" s="350"/>
      <c r="J24" s="350"/>
      <c r="K24" s="76"/>
      <c r="L24" s="390"/>
      <c r="M24" s="390"/>
      <c r="N24" s="76">
        <v>526.52737955999999</v>
      </c>
      <c r="O24" s="390">
        <v>432.44667623000004</v>
      </c>
      <c r="P24" s="350">
        <f t="shared" si="1"/>
        <v>-17.899999999999999</v>
      </c>
      <c r="Q24" s="76"/>
      <c r="R24" s="390"/>
      <c r="S24" s="350"/>
      <c r="T24" s="76"/>
      <c r="U24" s="390"/>
      <c r="V24" s="350"/>
      <c r="W24" s="76">
        <v>8.0329999999999995</v>
      </c>
      <c r="X24" s="390">
        <v>7.5940000000000003</v>
      </c>
      <c r="Y24" s="350"/>
      <c r="Z24" s="76">
        <v>498.87283236000002</v>
      </c>
      <c r="AA24" s="390">
        <v>102.42731961</v>
      </c>
      <c r="AB24" s="350">
        <f t="shared" si="10"/>
        <v>-79.5</v>
      </c>
      <c r="AC24" s="76"/>
      <c r="AD24" s="390"/>
      <c r="AE24" s="350"/>
      <c r="AF24" s="390">
        <f t="shared" ref="AF24:AG29" si="18">B24+E24+H24+K24+N24+Q24+T24+W24+Z24</f>
        <v>1070.37714256</v>
      </c>
      <c r="AG24" s="390">
        <f t="shared" si="18"/>
        <v>550.71299584000008</v>
      </c>
      <c r="AH24" s="350">
        <f t="shared" si="4"/>
        <v>-48.5</v>
      </c>
      <c r="AI24" s="390">
        <f t="shared" ref="AI24:AJ29" si="19">B24+E24+H24+K24+N24+Q24+T24+W24+Z24+AC24</f>
        <v>1070.37714256</v>
      </c>
      <c r="AJ24" s="390">
        <f t="shared" si="19"/>
        <v>550.71299584000008</v>
      </c>
      <c r="AK24" s="350">
        <f t="shared" si="6"/>
        <v>-48.5</v>
      </c>
    </row>
    <row r="25" spans="1:37" s="362" customFormat="1" ht="20.100000000000001" customHeight="1" x14ac:dyDescent="0.3">
      <c r="A25" s="453" t="s">
        <v>178</v>
      </c>
      <c r="B25" s="734">
        <v>77.833772119999992</v>
      </c>
      <c r="C25" s="715">
        <v>469.42899999999997</v>
      </c>
      <c r="D25" s="350">
        <f t="shared" si="7"/>
        <v>503.1</v>
      </c>
      <c r="E25" s="144">
        <v>3.0506998800000025</v>
      </c>
      <c r="F25" s="350">
        <v>8.0223046700000094</v>
      </c>
      <c r="G25" s="350">
        <f>IF(E25=0, "    ---- ", IF(ABS(ROUND(100/E25*F25-100,1))&lt;999,ROUND(100/E25*F25-100,1),IF(ROUND(100/E25*F25-100,1)&gt;999,999,-999)))</f>
        <v>163</v>
      </c>
      <c r="H25" s="144">
        <v>60.969000000000001</v>
      </c>
      <c r="I25" s="350">
        <v>105.292</v>
      </c>
      <c r="J25" s="350">
        <f t="shared" si="15"/>
        <v>72.7</v>
      </c>
      <c r="K25" s="76"/>
      <c r="L25" s="390"/>
      <c r="M25" s="390"/>
      <c r="N25" s="76">
        <v>0.85260990000000003</v>
      </c>
      <c r="O25" s="390">
        <v>-1E-8</v>
      </c>
      <c r="P25" s="350">
        <f t="shared" si="1"/>
        <v>-100</v>
      </c>
      <c r="Q25" s="76">
        <v>2.92</v>
      </c>
      <c r="R25" s="390">
        <v>2.84</v>
      </c>
      <c r="S25" s="350">
        <f t="shared" si="16"/>
        <v>-2.7</v>
      </c>
      <c r="T25" s="76"/>
      <c r="U25" s="390"/>
      <c r="V25" s="350"/>
      <c r="W25" s="76">
        <v>1270.136</v>
      </c>
      <c r="X25" s="390">
        <v>527.64300000000003</v>
      </c>
      <c r="Y25" s="350">
        <f t="shared" si="2"/>
        <v>-58.5</v>
      </c>
      <c r="Z25" s="76"/>
      <c r="AA25" s="390"/>
      <c r="AB25" s="350" t="str">
        <f t="shared" si="10"/>
        <v xml:space="preserve">    ---- </v>
      </c>
      <c r="AC25" s="76">
        <v>33</v>
      </c>
      <c r="AD25" s="390"/>
      <c r="AE25" s="350">
        <f t="shared" si="17"/>
        <v>-100</v>
      </c>
      <c r="AF25" s="390">
        <f t="shared" si="18"/>
        <v>1415.7620818999999</v>
      </c>
      <c r="AG25" s="390">
        <f t="shared" si="18"/>
        <v>1113.2263046600001</v>
      </c>
      <c r="AH25" s="350">
        <f t="shared" si="4"/>
        <v>-21.4</v>
      </c>
      <c r="AI25" s="390">
        <f t="shared" si="19"/>
        <v>1448.7620818999999</v>
      </c>
      <c r="AJ25" s="390">
        <f t="shared" si="19"/>
        <v>1113.2263046600001</v>
      </c>
      <c r="AK25" s="350">
        <f t="shared" si="6"/>
        <v>-23.2</v>
      </c>
    </row>
    <row r="26" spans="1:37" s="362" customFormat="1" ht="20.100000000000001" customHeight="1" x14ac:dyDescent="0.3">
      <c r="A26" s="453" t="s">
        <v>179</v>
      </c>
      <c r="B26" s="734"/>
      <c r="C26" s="715"/>
      <c r="D26" s="350"/>
      <c r="E26" s="144"/>
      <c r="F26" s="350"/>
      <c r="G26" s="350"/>
      <c r="H26" s="144"/>
      <c r="I26" s="350"/>
      <c r="J26" s="350"/>
      <c r="K26" s="76"/>
      <c r="L26" s="390"/>
      <c r="M26" s="390"/>
      <c r="N26" s="76"/>
      <c r="O26" s="390"/>
      <c r="P26" s="350"/>
      <c r="Q26" s="76"/>
      <c r="R26" s="390"/>
      <c r="S26" s="350"/>
      <c r="T26" s="76"/>
      <c r="U26" s="390"/>
      <c r="V26" s="350"/>
      <c r="W26" s="76"/>
      <c r="X26" s="390"/>
      <c r="Y26" s="350"/>
      <c r="Z26" s="76"/>
      <c r="AA26" s="390"/>
      <c r="AB26" s="350"/>
      <c r="AC26" s="76"/>
      <c r="AD26" s="390"/>
      <c r="AE26" s="350"/>
      <c r="AF26" s="390">
        <f t="shared" si="18"/>
        <v>0</v>
      </c>
      <c r="AG26" s="390">
        <f t="shared" si="18"/>
        <v>0</v>
      </c>
      <c r="AH26" s="350" t="str">
        <f t="shared" si="4"/>
        <v xml:space="preserve">    ---- </v>
      </c>
      <c r="AI26" s="390">
        <f t="shared" si="19"/>
        <v>0</v>
      </c>
      <c r="AJ26" s="390">
        <f t="shared" si="19"/>
        <v>0</v>
      </c>
      <c r="AK26" s="350" t="str">
        <f t="shared" si="6"/>
        <v xml:space="preserve">    ---- </v>
      </c>
    </row>
    <row r="27" spans="1:37" s="362" customFormat="1" ht="20.100000000000001" customHeight="1" x14ac:dyDescent="0.3">
      <c r="A27" s="487" t="s">
        <v>180</v>
      </c>
      <c r="B27" s="734">
        <f>SUM(B14+B15+B16+B20+B26)</f>
        <v>31890.637673650002</v>
      </c>
      <c r="C27" s="715">
        <f>SUM(C14+C15+C16+C20+C26)</f>
        <v>30654.041344170004</v>
      </c>
      <c r="D27" s="350">
        <f t="shared" si="7"/>
        <v>-3.9</v>
      </c>
      <c r="E27" s="144">
        <f>SUM(E14+E15+E16+E20+E26)</f>
        <v>3291.9987371100005</v>
      </c>
      <c r="F27" s="350">
        <f>SUM(F14+F15+F16+F20+F26)</f>
        <v>3565.9378852600003</v>
      </c>
      <c r="G27" s="350">
        <f>IF(E27=0, "    ---- ", IF(ABS(ROUND(100/E27*F27-100,1))&lt;999,ROUND(100/E27*F27-100,1),IF(ROUND(100/E27*F27-100,1)&gt;999,999,-999)))</f>
        <v>8.3000000000000007</v>
      </c>
      <c r="H27" s="144">
        <f>SUM(H14+H15+H16+H20+H26)</f>
        <v>400.67500000000001</v>
      </c>
      <c r="I27" s="350">
        <f>SUM(I14+I15+I16+I20+I26)</f>
        <v>439.06999999999994</v>
      </c>
      <c r="J27" s="350">
        <f t="shared" si="15"/>
        <v>9.6</v>
      </c>
      <c r="K27" s="76">
        <f>SUM(K14+K15+K16+K20+K26)</f>
        <v>1152</v>
      </c>
      <c r="L27" s="390">
        <f>SUM(L14+L15+L16+L20+L26)</f>
        <v>1281</v>
      </c>
      <c r="M27" s="390">
        <f t="shared" si="14"/>
        <v>11.2</v>
      </c>
      <c r="N27" s="76">
        <v>45252.169958779996</v>
      </c>
      <c r="O27" s="390">
        <v>48189.413490599996</v>
      </c>
      <c r="P27" s="350">
        <f t="shared" si="1"/>
        <v>6.5</v>
      </c>
      <c r="Q27" s="76">
        <f>SUM(Q14+Q15+Q16+Q20+Q26)</f>
        <v>10762.49</v>
      </c>
      <c r="R27" s="390">
        <f>SUM(R14+R15+R16+R20+R26)</f>
        <v>10890.970000000001</v>
      </c>
      <c r="S27" s="350">
        <f t="shared" si="16"/>
        <v>1.2</v>
      </c>
      <c r="T27" s="76">
        <f>SUM(T14+T15+T16+T20+T26)</f>
        <v>10263</v>
      </c>
      <c r="U27" s="390">
        <f>SUM(U14+U15+U16+U20+U26)</f>
        <v>11439</v>
      </c>
      <c r="V27" s="350">
        <f t="shared" si="9"/>
        <v>11.5</v>
      </c>
      <c r="W27" s="76">
        <f>SUM(W14+W15+W16+W20+W26)</f>
        <v>6810.9490000000005</v>
      </c>
      <c r="X27" s="390">
        <f>SUM(X14+X15+X16+X20+X26)</f>
        <v>5804.2579999999998</v>
      </c>
      <c r="Y27" s="350">
        <f t="shared" si="2"/>
        <v>-14.8</v>
      </c>
      <c r="Z27" s="76">
        <f>SUM(Z14+Z15+Z16+Z20+Z26)</f>
        <v>36209.497456019999</v>
      </c>
      <c r="AA27" s="390">
        <f>SUM(AA14+AA15+AA16+AA20+AA26)</f>
        <v>33955.295380169999</v>
      </c>
      <c r="AB27" s="350">
        <f t="shared" si="10"/>
        <v>-6.2</v>
      </c>
      <c r="AC27" s="76">
        <f>SUM(AC14+AC15+AC16+AC20+AC26)</f>
        <v>33</v>
      </c>
      <c r="AD27" s="390">
        <f>SUM(AD14+AD15+AD16+AD20+AD26)</f>
        <v>46</v>
      </c>
      <c r="AE27" s="350">
        <f>IF(AC27=0, "    ---- ", IF(ABS(ROUND(100/AC27*AD27-100,1))&lt;999,ROUND(100/AC27*AD27-100,1),IF(ROUND(100/AC27*AD27-100,1)&gt;999,999,-999)))</f>
        <v>39.4</v>
      </c>
      <c r="AF27" s="390">
        <f t="shared" si="18"/>
        <v>146033.41782556003</v>
      </c>
      <c r="AG27" s="390">
        <f t="shared" si="18"/>
        <v>146218.98610020001</v>
      </c>
      <c r="AH27" s="350">
        <f t="shared" si="4"/>
        <v>0.1</v>
      </c>
      <c r="AI27" s="390">
        <f t="shared" si="19"/>
        <v>146066.41782556003</v>
      </c>
      <c r="AJ27" s="390">
        <f t="shared" si="19"/>
        <v>146264.98610020001</v>
      </c>
      <c r="AK27" s="350">
        <f t="shared" si="6"/>
        <v>0.1</v>
      </c>
    </row>
    <row r="28" spans="1:37" s="362" customFormat="1" ht="20.100000000000001" customHeight="1" x14ac:dyDescent="0.3">
      <c r="A28" s="453" t="s">
        <v>181</v>
      </c>
      <c r="B28" s="734">
        <v>1056</v>
      </c>
      <c r="C28" s="715">
        <v>1265.2</v>
      </c>
      <c r="D28" s="350">
        <f t="shared" si="7"/>
        <v>19.8</v>
      </c>
      <c r="E28" s="144">
        <v>938.88218688999962</v>
      </c>
      <c r="F28" s="350">
        <v>953.00639512999976</v>
      </c>
      <c r="G28" s="350">
        <f>IF(E28=0, "    ---- ", IF(ABS(ROUND(100/E28*F28-100,1))&lt;999,ROUND(100/E28*F28-100,1),IF(ROUND(100/E28*F28-100,1)&gt;999,999,-999)))</f>
        <v>1.5</v>
      </c>
      <c r="H28" s="144">
        <v>133.44800000000001</v>
      </c>
      <c r="I28" s="350">
        <v>210.92400000000001</v>
      </c>
      <c r="J28" s="350">
        <f t="shared" si="15"/>
        <v>58.1</v>
      </c>
      <c r="K28" s="76">
        <v>450</v>
      </c>
      <c r="L28" s="390">
        <v>421</v>
      </c>
      <c r="M28" s="390">
        <f t="shared" si="14"/>
        <v>-6.4</v>
      </c>
      <c r="N28" s="76">
        <v>4746.8275944400002</v>
      </c>
      <c r="O28" s="390">
        <v>9180.877510979999</v>
      </c>
      <c r="P28" s="350">
        <f t="shared" si="1"/>
        <v>93.4</v>
      </c>
      <c r="Q28" s="76">
        <v>1549.89</v>
      </c>
      <c r="R28" s="390">
        <v>1360.78</v>
      </c>
      <c r="S28" s="350">
        <f t="shared" si="16"/>
        <v>-12.2</v>
      </c>
      <c r="T28" s="76">
        <f>45+2471+42+34</f>
        <v>2592</v>
      </c>
      <c r="U28" s="390">
        <f>16+97+467+18</f>
        <v>598</v>
      </c>
      <c r="V28" s="350">
        <f t="shared" si="9"/>
        <v>-76.900000000000006</v>
      </c>
      <c r="W28" s="76">
        <v>685.74300000000005</v>
      </c>
      <c r="X28" s="390">
        <v>920.54100000000005</v>
      </c>
      <c r="Y28" s="350">
        <f t="shared" si="2"/>
        <v>34.200000000000003</v>
      </c>
      <c r="Z28" s="76">
        <v>45732.042418636192</v>
      </c>
      <c r="AA28" s="390">
        <v>47987.822940029997</v>
      </c>
      <c r="AB28" s="350">
        <f t="shared" si="10"/>
        <v>4.9000000000000004</v>
      </c>
      <c r="AC28" s="76">
        <v>21</v>
      </c>
      <c r="AD28" s="390">
        <v>81</v>
      </c>
      <c r="AE28" s="350">
        <f>IF(AC28=0, "    ---- ", IF(ABS(ROUND(100/AC28*AD28-100,1))&lt;999,ROUND(100/AC28*AD28-100,1),IF(ROUND(100/AC28*AD28-100,1)&gt;999,999,-999)))</f>
        <v>285.7</v>
      </c>
      <c r="AF28" s="390">
        <f t="shared" si="18"/>
        <v>57884.83319996619</v>
      </c>
      <c r="AG28" s="390">
        <f t="shared" si="18"/>
        <v>62898.151846139997</v>
      </c>
      <c r="AH28" s="350">
        <f t="shared" si="4"/>
        <v>8.6999999999999993</v>
      </c>
      <c r="AI28" s="390">
        <f t="shared" si="19"/>
        <v>57905.83319996619</v>
      </c>
      <c r="AJ28" s="390">
        <f t="shared" si="19"/>
        <v>62979.151846139997</v>
      </c>
      <c r="AK28" s="350">
        <f t="shared" si="6"/>
        <v>8.8000000000000007</v>
      </c>
    </row>
    <row r="29" spans="1:37" s="362" customFormat="1" ht="20.100000000000001" customHeight="1" x14ac:dyDescent="0.3">
      <c r="A29" s="453" t="s">
        <v>182</v>
      </c>
      <c r="B29" s="734">
        <f>SUM(B27+B28)</f>
        <v>32946.637673650002</v>
      </c>
      <c r="C29" s="715">
        <f>SUM(C27+C28)</f>
        <v>31919.241344170005</v>
      </c>
      <c r="D29" s="350">
        <f>IF(B29=0, "    ---- ", IF(ABS(ROUND(100/B29*C29-100,1))&lt;999,ROUND(100/B29*C29-100,1),IF(ROUND(100/B29*C29-100,1)&gt;999,999,-999)))</f>
        <v>-3.1</v>
      </c>
      <c r="E29" s="144">
        <f>SUM(E27+E28)</f>
        <v>4230.8809240000001</v>
      </c>
      <c r="F29" s="350">
        <f>SUM(F27+F28)</f>
        <v>4518.9442803900001</v>
      </c>
      <c r="G29" s="350">
        <f>IF(E29=0, "    ---- ", IF(ABS(ROUND(100/E29*F29-100,1))&lt;999,ROUND(100/E29*F29-100,1),IF(ROUND(100/E29*F29-100,1)&gt;999,999,-999)))</f>
        <v>6.8</v>
      </c>
      <c r="H29" s="144">
        <f>SUM(H27+H28)</f>
        <v>534.12300000000005</v>
      </c>
      <c r="I29" s="350">
        <f>SUM(I27+I28)</f>
        <v>649.99399999999991</v>
      </c>
      <c r="J29" s="350">
        <f>IF(H29=0, "    ---- ", IF(ABS(ROUND(100/H29*I29-100,1))&lt;999,ROUND(100/H29*I29-100,1),IF(ROUND(100/H29*I29-100,1)&gt;999,999,-999)))</f>
        <v>21.7</v>
      </c>
      <c r="K29" s="144">
        <f>SUM(K27+K28)</f>
        <v>1602</v>
      </c>
      <c r="L29" s="350">
        <f>SUM(L27+L28)</f>
        <v>1702</v>
      </c>
      <c r="M29" s="350">
        <f>IF(K29=0, "    ---- ", IF(ABS(ROUND(100/K29*L29-100,1))&lt;999,ROUND(100/K29*L29-100,1),IF(ROUND(100/K29*L29-100,1)&gt;999,999,-999)))</f>
        <v>6.2</v>
      </c>
      <c r="N29" s="144">
        <v>49998.997553219997</v>
      </c>
      <c r="O29" s="350">
        <v>57370.291001579993</v>
      </c>
      <c r="P29" s="350">
        <f>IF(N29=0, "    ---- ", IF(ABS(ROUND(100/N29*O29-100,1))&lt;999,ROUND(100/N29*O29-100,1),IF(ROUND(100/N29*O29-100,1)&gt;999,999,-999)))</f>
        <v>14.7</v>
      </c>
      <c r="Q29" s="144">
        <f>SUM(Q27+Q28)</f>
        <v>12312.38</v>
      </c>
      <c r="R29" s="350">
        <f>SUM(R27+R28)</f>
        <v>12251.750000000002</v>
      </c>
      <c r="S29" s="350">
        <f>IF(Q29=0, "    ---- ", IF(ABS(ROUND(100/Q29*R29-100,1))&lt;999,ROUND(100/Q29*R29-100,1),IF(ROUND(100/Q29*R29-100,1)&gt;999,999,-999)))</f>
        <v>-0.5</v>
      </c>
      <c r="T29" s="144">
        <f>SUM(T27+T28)</f>
        <v>12855</v>
      </c>
      <c r="U29" s="350">
        <f>SUM(U27+U28)</f>
        <v>12037</v>
      </c>
      <c r="V29" s="350">
        <f>IF(T29=0, "    ---- ", IF(ABS(ROUND(100/T29*U29-100,1))&lt;999,ROUND(100/T29*U29-100,1),IF(ROUND(100/T29*U29-100,1)&gt;999,999,-999)))</f>
        <v>-6.4</v>
      </c>
      <c r="W29" s="144">
        <f>SUM(W27+W28)</f>
        <v>7496.6920000000009</v>
      </c>
      <c r="X29" s="350">
        <f>SUM(X27+X28)</f>
        <v>6724.799</v>
      </c>
      <c r="Y29" s="350">
        <f>IF(W29=0, "    ---- ", IF(ABS(ROUND(100/W29*X29-100,1))&lt;999,ROUND(100/W29*X29-100,1),IF(ROUND(100/W29*X29-100,1)&gt;999,999,-999)))</f>
        <v>-10.3</v>
      </c>
      <c r="Z29" s="144">
        <f>SUM(Z27+Z28)</f>
        <v>81941.539874656184</v>
      </c>
      <c r="AA29" s="350">
        <f>SUM(AA27+AA28)</f>
        <v>81943.118320199996</v>
      </c>
      <c r="AB29" s="350">
        <f>IF(Z29=0, "    ---- ", IF(ABS(ROUND(100/Z29*AA29-100,1))&lt;999,ROUND(100/Z29*AA29-100,1),IF(ROUND(100/Z29*AA29-100,1)&gt;999,999,-999)))</f>
        <v>0</v>
      </c>
      <c r="AC29" s="144">
        <f>SUM(AC27+AC28)</f>
        <v>54</v>
      </c>
      <c r="AD29" s="350">
        <f>SUM(AD27+AD28)</f>
        <v>127</v>
      </c>
      <c r="AE29" s="350">
        <f>IF(AC29=0, "    ---- ", IF(ABS(ROUND(100/AC29*AD29-100,1))&lt;999,ROUND(100/AC29*AD29-100,1),IF(ROUND(100/AC29*AD29-100,1)&gt;999,999,-999)))</f>
        <v>135.19999999999999</v>
      </c>
      <c r="AF29" s="390">
        <f t="shared" si="18"/>
        <v>203918.2510255262</v>
      </c>
      <c r="AG29" s="390">
        <f t="shared" si="18"/>
        <v>209117.13794633999</v>
      </c>
      <c r="AH29" s="350">
        <f>IF(AF29=0, "    ---- ", IF(ABS(ROUND(100/AF29*AG29-100,1))&lt;999,ROUND(100/AF29*AG29-100,1),IF(ROUND(100/AF29*AG29-100,1)&gt;999,999,-999)))</f>
        <v>2.5</v>
      </c>
      <c r="AI29" s="390">
        <f t="shared" si="19"/>
        <v>203972.2510255262</v>
      </c>
      <c r="AJ29" s="390">
        <f t="shared" si="19"/>
        <v>209244.13794633999</v>
      </c>
      <c r="AK29" s="488">
        <f t="shared" si="6"/>
        <v>2.6</v>
      </c>
    </row>
    <row r="30" spans="1:37" s="362" customFormat="1" ht="20.100000000000001" customHeight="1" x14ac:dyDescent="0.3">
      <c r="A30" s="453"/>
      <c r="B30" s="735"/>
      <c r="C30" s="714"/>
      <c r="D30" s="350"/>
      <c r="E30" s="460"/>
      <c r="F30" s="347"/>
      <c r="G30" s="350"/>
      <c r="H30" s="460"/>
      <c r="I30" s="347"/>
      <c r="J30" s="350"/>
      <c r="K30" s="144"/>
      <c r="L30" s="350"/>
      <c r="M30" s="347"/>
      <c r="N30" s="460"/>
      <c r="O30" s="347"/>
      <c r="P30" s="271"/>
      <c r="Q30" s="460"/>
      <c r="R30" s="347"/>
      <c r="S30" s="271"/>
      <c r="T30" s="460"/>
      <c r="U30" s="347"/>
      <c r="V30" s="271"/>
      <c r="W30" s="460"/>
      <c r="X30" s="347"/>
      <c r="Y30" s="271"/>
      <c r="Z30" s="460"/>
      <c r="AA30" s="347"/>
      <c r="AB30" s="271"/>
      <c r="AC30" s="460"/>
      <c r="AD30" s="347"/>
      <c r="AE30" s="271"/>
      <c r="AF30" s="347"/>
      <c r="AG30" s="347"/>
      <c r="AH30" s="271"/>
      <c r="AI30" s="347"/>
      <c r="AJ30" s="347"/>
      <c r="AK30" s="351"/>
    </row>
    <row r="31" spans="1:37" s="362" customFormat="1" ht="20.100000000000001" customHeight="1" x14ac:dyDescent="0.3">
      <c r="A31" s="465" t="s">
        <v>183</v>
      </c>
      <c r="B31" s="734"/>
      <c r="C31" s="715"/>
      <c r="D31" s="350"/>
      <c r="E31" s="144"/>
      <c r="F31" s="350"/>
      <c r="G31" s="350"/>
      <c r="H31" s="144"/>
      <c r="I31" s="350"/>
      <c r="J31" s="350"/>
      <c r="K31" s="144"/>
      <c r="L31" s="350"/>
      <c r="M31" s="347"/>
      <c r="N31" s="144"/>
      <c r="O31" s="350"/>
      <c r="P31" s="271"/>
      <c r="Q31" s="144"/>
      <c r="R31" s="350"/>
      <c r="S31" s="271"/>
      <c r="T31" s="144"/>
      <c r="U31" s="350"/>
      <c r="V31" s="271"/>
      <c r="W31" s="144"/>
      <c r="X31" s="350"/>
      <c r="Y31" s="271"/>
      <c r="Z31" s="144"/>
      <c r="AA31" s="350"/>
      <c r="AB31" s="271"/>
      <c r="AC31" s="144"/>
      <c r="AD31" s="350"/>
      <c r="AE31" s="271"/>
      <c r="AF31" s="347"/>
      <c r="AG31" s="347"/>
      <c r="AH31" s="271"/>
      <c r="AI31" s="347"/>
      <c r="AJ31" s="347"/>
      <c r="AK31" s="351"/>
    </row>
    <row r="32" spans="1:37" s="362" customFormat="1" ht="20.100000000000001" customHeight="1" x14ac:dyDescent="0.3">
      <c r="A32" s="465" t="s">
        <v>184</v>
      </c>
      <c r="B32" s="734"/>
      <c r="C32" s="715"/>
      <c r="D32" s="271"/>
      <c r="E32" s="144"/>
      <c r="F32" s="350"/>
      <c r="G32" s="271"/>
      <c r="H32" s="144"/>
      <c r="I32" s="350"/>
      <c r="J32" s="271"/>
      <c r="K32" s="144"/>
      <c r="L32" s="350"/>
      <c r="M32" s="347"/>
      <c r="N32" s="144"/>
      <c r="O32" s="350"/>
      <c r="P32" s="271"/>
      <c r="Q32" s="144"/>
      <c r="R32" s="350"/>
      <c r="S32" s="271"/>
      <c r="T32" s="144"/>
      <c r="U32" s="350"/>
      <c r="V32" s="271"/>
      <c r="W32" s="144"/>
      <c r="X32" s="350"/>
      <c r="Y32" s="271"/>
      <c r="Z32" s="144"/>
      <c r="AA32" s="350"/>
      <c r="AB32" s="271"/>
      <c r="AC32" s="144"/>
      <c r="AD32" s="350"/>
      <c r="AE32" s="271"/>
      <c r="AF32" s="347"/>
      <c r="AG32" s="347"/>
      <c r="AH32" s="271"/>
      <c r="AI32" s="347"/>
      <c r="AJ32" s="347"/>
      <c r="AK32" s="351"/>
    </row>
    <row r="33" spans="1:37" s="362" customFormat="1" ht="20.100000000000001" customHeight="1" x14ac:dyDescent="0.3">
      <c r="A33" s="453" t="s">
        <v>185</v>
      </c>
      <c r="B33" s="734">
        <v>14</v>
      </c>
      <c r="C33" s="715">
        <v>14.226000000000001</v>
      </c>
      <c r="D33" s="350">
        <f t="shared" ref="D33:D93" si="20">IF(B33=0, "    ---- ", IF(ABS(ROUND(100/B33*C33-100,1))&lt;999,ROUND(100/B33*C33-100,1),IF(ROUND(100/B33*C33-100,1)&gt;999,999,-999)))</f>
        <v>1.6</v>
      </c>
      <c r="E33" s="144"/>
      <c r="F33" s="350"/>
      <c r="G33" s="350"/>
      <c r="H33" s="144"/>
      <c r="I33" s="350"/>
      <c r="J33" s="350"/>
      <c r="K33" s="144"/>
      <c r="L33" s="350"/>
      <c r="M33" s="347"/>
      <c r="N33" s="144"/>
      <c r="O33" s="350"/>
      <c r="P33" s="271"/>
      <c r="Q33" s="144"/>
      <c r="R33" s="350"/>
      <c r="S33" s="271"/>
      <c r="T33" s="144"/>
      <c r="U33" s="350"/>
      <c r="V33" s="271"/>
      <c r="W33" s="144"/>
      <c r="X33" s="350"/>
      <c r="Y33" s="271" t="str">
        <f t="shared" ref="Y33:Y93" si="21">IF(W33=0, "    ---- ", IF(ABS(ROUND(100/W33*X33-100,1))&lt;999,ROUND(100/W33*X33-100,1),IF(ROUND(100/W33*X33-100,1)&gt;999,999,-999)))</f>
        <v xml:space="preserve">    ---- </v>
      </c>
      <c r="Z33" s="144"/>
      <c r="AA33" s="350"/>
      <c r="AB33" s="271"/>
      <c r="AC33" s="144"/>
      <c r="AD33" s="350"/>
      <c r="AE33" s="271"/>
      <c r="AF33" s="390">
        <f t="shared" ref="AF33:AG46" si="22">B33+E33+H33+K33+N33+Q33+T33+W33+Z33</f>
        <v>14</v>
      </c>
      <c r="AG33" s="390">
        <f t="shared" si="22"/>
        <v>14.226000000000001</v>
      </c>
      <c r="AH33" s="271">
        <f t="shared" ref="AH33:AH93" si="23">IF(AF33=0, "    ---- ", IF(ABS(ROUND(100/AF33*AG33-100,1))&lt;999,ROUND(100/AF33*AG33-100,1),IF(ROUND(100/AF33*AG33-100,1)&gt;999,999,-999)))</f>
        <v>1.6</v>
      </c>
      <c r="AI33" s="390">
        <f t="shared" ref="AI33:AJ46" si="24">B33+E33+H33+K33+N33+Q33+T33+W33+Z33+AC33</f>
        <v>14</v>
      </c>
      <c r="AJ33" s="390">
        <f t="shared" si="24"/>
        <v>14.226000000000001</v>
      </c>
      <c r="AK33" s="351">
        <f t="shared" ref="AK33:AK93" si="25">IF(AI33=0, "    ---- ", IF(ABS(ROUND(100/AI33*AJ33-100,1))&lt;999,ROUND(100/AI33*AJ33-100,1),IF(ROUND(100/AI33*AJ33-100,1)&gt;999,999,-999)))</f>
        <v>1.6</v>
      </c>
    </row>
    <row r="34" spans="1:37" s="362" customFormat="1" ht="20.100000000000001" customHeight="1" x14ac:dyDescent="0.3">
      <c r="A34" s="453" t="s">
        <v>186</v>
      </c>
      <c r="B34" s="734">
        <v>19325.23815153</v>
      </c>
      <c r="C34" s="715">
        <v>17547.187000000002</v>
      </c>
      <c r="D34" s="350">
        <f t="shared" si="20"/>
        <v>-9.1999999999999993</v>
      </c>
      <c r="E34" s="144">
        <v>435.34202730999993</v>
      </c>
      <c r="F34" s="350">
        <v>450.51099035999994</v>
      </c>
      <c r="G34" s="350">
        <f t="shared" ref="G34:G37" si="26">IF(E34=0, "    ---- ", IF(ABS(ROUND(100/E34*F34-100,1))&lt;999,ROUND(100/E34*F34-100,1),IF(ROUND(100/E34*F34-100,1)&gt;999,999,-999)))</f>
        <v>3.5</v>
      </c>
      <c r="H34" s="144"/>
      <c r="I34" s="350"/>
      <c r="J34" s="350"/>
      <c r="K34" s="144">
        <v>674</v>
      </c>
      <c r="L34" s="350">
        <v>308</v>
      </c>
      <c r="M34" s="347">
        <f>IF(K34=0, "    ---- ", IF(ABS(ROUND(100/K34*L34-100,1))&lt;999,ROUND(100/K34*L34-100,1),IF(ROUND(100/K34*L34-100,1)&gt;999,999,-999)))</f>
        <v>-54.3</v>
      </c>
      <c r="N34" s="144">
        <v>91540.370137610007</v>
      </c>
      <c r="O34" s="350">
        <v>98560.376092940001</v>
      </c>
      <c r="P34" s="271">
        <f>IF(N34=0, "    ---- ", IF(ABS(ROUND(100/N34*O34-100,1))&lt;999,ROUND(100/N34*O34-100,1),IF(ROUND(100/N34*O34-100,1)&gt;999,999,-999)))</f>
        <v>7.7</v>
      </c>
      <c r="Q34" s="144">
        <v>6041.4055761199998</v>
      </c>
      <c r="R34" s="350">
        <v>6181.6548137099999</v>
      </c>
      <c r="S34" s="271">
        <f t="shared" ref="S34:S93" si="27">IF(Q34=0, "    ---- ", IF(ABS(ROUND(100/Q34*R34-100,1))&lt;999,ROUND(100/Q34*R34-100,1),IF(ROUND(100/Q34*R34-100,1)&gt;999,999,-999)))</f>
        <v>2.2999999999999998</v>
      </c>
      <c r="T34" s="144">
        <v>19724</v>
      </c>
      <c r="U34" s="350">
        <v>20404</v>
      </c>
      <c r="V34" s="271">
        <f t="shared" ref="V34:V42" si="28">IF(T34=0, "    ---- ", IF(ABS(ROUND(100/T34*U34-100,1))&lt;999,ROUND(100/T34*U34-100,1),IF(ROUND(100/T34*U34-100,1)&gt;999,999,-999)))</f>
        <v>3.4</v>
      </c>
      <c r="W34" s="144">
        <v>4344.893</v>
      </c>
      <c r="X34" s="350">
        <v>4169.7629999999999</v>
      </c>
      <c r="Y34" s="271">
        <f t="shared" si="21"/>
        <v>-4</v>
      </c>
      <c r="Z34" s="144">
        <v>22226.242329880002</v>
      </c>
      <c r="AA34" s="350">
        <v>21297.332005640001</v>
      </c>
      <c r="AB34" s="271">
        <f t="shared" ref="AB34:AB93" si="29">IF(Z34=0, "    ---- ", IF(ABS(ROUND(100/Z34*AA34-100,1))&lt;999,ROUND(100/Z34*AA34-100,1),IF(ROUND(100/Z34*AA34-100,1)&gt;999,999,-999)))</f>
        <v>-4.2</v>
      </c>
      <c r="AC34" s="144"/>
      <c r="AD34" s="350"/>
      <c r="AE34" s="271"/>
      <c r="AF34" s="390">
        <f t="shared" si="22"/>
        <v>164311.49122245001</v>
      </c>
      <c r="AG34" s="390">
        <f t="shared" si="22"/>
        <v>168918.82390265001</v>
      </c>
      <c r="AH34" s="271">
        <f t="shared" si="23"/>
        <v>2.8</v>
      </c>
      <c r="AI34" s="390">
        <f t="shared" si="24"/>
        <v>164311.49122245001</v>
      </c>
      <c r="AJ34" s="390">
        <f t="shared" si="24"/>
        <v>168918.82390265001</v>
      </c>
      <c r="AK34" s="351">
        <f t="shared" si="25"/>
        <v>2.8</v>
      </c>
    </row>
    <row r="35" spans="1:37" s="362" customFormat="1" ht="20.100000000000001" customHeight="1" x14ac:dyDescent="0.3">
      <c r="A35" s="453" t="s">
        <v>187</v>
      </c>
      <c r="B35" s="734">
        <f>SUM(B36+B38)</f>
        <v>132906.52746079999</v>
      </c>
      <c r="C35" s="715">
        <f>SUM(C36+C38)</f>
        <v>134131.81299999999</v>
      </c>
      <c r="D35" s="350">
        <f t="shared" si="20"/>
        <v>0.9</v>
      </c>
      <c r="E35" s="144">
        <f>SUM(E36+E38)</f>
        <v>5258.4252882099991</v>
      </c>
      <c r="F35" s="350">
        <f>SUM(F36+F38)</f>
        <v>5630.4682022700008</v>
      </c>
      <c r="G35" s="350">
        <f t="shared" si="26"/>
        <v>7.1</v>
      </c>
      <c r="H35" s="144">
        <f>SUM(H36+H38)</f>
        <v>560.08600000000001</v>
      </c>
      <c r="I35" s="350">
        <f>SUM(I36+I38)</f>
        <v>754.17700000000002</v>
      </c>
      <c r="J35" s="350">
        <f t="shared" ref="J35:J37" si="30">IF(H35=0, "    ---- ", IF(ABS(ROUND(100/H35*I35-100,1))&lt;999,ROUND(100/H35*I35-100,1),IF(ROUND(100/H35*I35-100,1)&gt;999,999,-999)))</f>
        <v>34.700000000000003</v>
      </c>
      <c r="K35" s="144">
        <f>SUM(K36+K38)</f>
        <v>7709</v>
      </c>
      <c r="L35" s="350">
        <f>SUM(L36+L38)</f>
        <v>9031</v>
      </c>
      <c r="M35" s="347">
        <f>IF(K35=0, "    ---- ", IF(ABS(ROUND(100/K35*L35-100,1))&lt;999,ROUND(100/K35*L35-100,1),IF(ROUND(100/K35*L35-100,1)&gt;999,999,-999)))</f>
        <v>17.100000000000001</v>
      </c>
      <c r="N35" s="144">
        <v>288086.06396275002</v>
      </c>
      <c r="O35" s="350">
        <v>297388.45949067001</v>
      </c>
      <c r="P35" s="271">
        <f>IF(N35=0, "    ---- ", IF(ABS(ROUND(100/N35*O35-100,1))&lt;999,ROUND(100/N35*O35-100,1),IF(ROUND(100/N35*O35-100,1)&gt;999,999,-999)))</f>
        <v>3.2</v>
      </c>
      <c r="Q35" s="144">
        <f>SUM(Q36+Q38)</f>
        <v>40401.880175050006</v>
      </c>
      <c r="R35" s="350">
        <f>SUM(R36+R38)</f>
        <v>39740.423966029899</v>
      </c>
      <c r="S35" s="271">
        <f t="shared" si="27"/>
        <v>-1.6</v>
      </c>
      <c r="T35" s="144">
        <f>SUM(T36+T38)</f>
        <v>27690</v>
      </c>
      <c r="U35" s="350">
        <f>SUM(U36+U38)</f>
        <v>30677</v>
      </c>
      <c r="V35" s="271">
        <f t="shared" si="28"/>
        <v>10.8</v>
      </c>
      <c r="W35" s="144">
        <f>SUM(W36+W38)</f>
        <v>10595.858</v>
      </c>
      <c r="X35" s="350">
        <f>SUM(X36+X38)</f>
        <v>11532.14</v>
      </c>
      <c r="Y35" s="271">
        <f t="shared" si="21"/>
        <v>8.8000000000000007</v>
      </c>
      <c r="Z35" s="144">
        <f>SUM(Z36+Z38)</f>
        <v>160436.62450172997</v>
      </c>
      <c r="AA35" s="350">
        <f>SUM(AA36+AA38)</f>
        <v>163828.76795975</v>
      </c>
      <c r="AB35" s="271">
        <f t="shared" si="29"/>
        <v>2.1</v>
      </c>
      <c r="AC35" s="144"/>
      <c r="AD35" s="350"/>
      <c r="AE35" s="271"/>
      <c r="AF35" s="390">
        <f t="shared" si="22"/>
        <v>673644.46538853995</v>
      </c>
      <c r="AG35" s="390">
        <f t="shared" si="22"/>
        <v>692714.24961871991</v>
      </c>
      <c r="AH35" s="271">
        <f t="shared" si="23"/>
        <v>2.8</v>
      </c>
      <c r="AI35" s="390">
        <f t="shared" si="24"/>
        <v>673644.46538853995</v>
      </c>
      <c r="AJ35" s="390">
        <f t="shared" si="24"/>
        <v>692714.24961871991</v>
      </c>
      <c r="AK35" s="351">
        <f t="shared" si="25"/>
        <v>2.8</v>
      </c>
    </row>
    <row r="36" spans="1:37" s="362" customFormat="1" ht="20.100000000000001" customHeight="1" x14ac:dyDescent="0.3">
      <c r="A36" s="453" t="s">
        <v>463</v>
      </c>
      <c r="B36" s="734">
        <v>117086.13076544</v>
      </c>
      <c r="C36" s="715">
        <v>128814.38</v>
      </c>
      <c r="D36" s="271">
        <f t="shared" si="20"/>
        <v>10</v>
      </c>
      <c r="E36" s="144">
        <v>5258.4252882099991</v>
      </c>
      <c r="F36" s="350">
        <v>5630.4682022700008</v>
      </c>
      <c r="G36" s="350">
        <f t="shared" si="26"/>
        <v>7.1</v>
      </c>
      <c r="H36" s="144">
        <v>560.08600000000001</v>
      </c>
      <c r="I36" s="350">
        <v>754.17700000000002</v>
      </c>
      <c r="J36" s="350">
        <f t="shared" si="30"/>
        <v>34.700000000000003</v>
      </c>
      <c r="K36" s="144"/>
      <c r="L36" s="350"/>
      <c r="M36" s="347"/>
      <c r="N36" s="144">
        <v>0</v>
      </c>
      <c r="O36" s="350">
        <v>0</v>
      </c>
      <c r="P36" s="271" t="str">
        <f>IF(N36=0, "    ---- ", IF(ABS(ROUND(100/N36*O36-100,1))&lt;999,ROUND(100/N36*O36-100,1),IF(ROUND(100/N36*O36-100,1)&gt;999,999,-999)))</f>
        <v xml:space="preserve">    ---- </v>
      </c>
      <c r="Q36" s="144">
        <v>40401.880175050006</v>
      </c>
      <c r="R36" s="350">
        <v>39740.423966029899</v>
      </c>
      <c r="S36" s="271">
        <f t="shared" si="27"/>
        <v>-1.6</v>
      </c>
      <c r="T36" s="144">
        <v>23541</v>
      </c>
      <c r="U36" s="350">
        <v>25905</v>
      </c>
      <c r="V36" s="271">
        <f t="shared" si="28"/>
        <v>10</v>
      </c>
      <c r="W36" s="144">
        <v>10595.858</v>
      </c>
      <c r="X36" s="350">
        <v>11532.14</v>
      </c>
      <c r="Y36" s="271">
        <f t="shared" si="21"/>
        <v>8.8000000000000007</v>
      </c>
      <c r="Z36" s="58"/>
      <c r="AA36" s="350"/>
      <c r="AB36" s="271" t="str">
        <f t="shared" si="29"/>
        <v xml:space="preserve">    ---- </v>
      </c>
      <c r="AC36" s="144"/>
      <c r="AD36" s="350"/>
      <c r="AE36" s="271"/>
      <c r="AF36" s="390">
        <f t="shared" si="22"/>
        <v>197443.3802287</v>
      </c>
      <c r="AG36" s="390">
        <f t="shared" si="22"/>
        <v>212376.58916829992</v>
      </c>
      <c r="AH36" s="271">
        <f t="shared" si="23"/>
        <v>7.6</v>
      </c>
      <c r="AI36" s="390">
        <f t="shared" si="24"/>
        <v>197443.3802287</v>
      </c>
      <c r="AJ36" s="390">
        <f t="shared" si="24"/>
        <v>212376.58916829992</v>
      </c>
      <c r="AK36" s="351">
        <f t="shared" si="25"/>
        <v>7.6</v>
      </c>
    </row>
    <row r="37" spans="1:37" s="362" customFormat="1" ht="20.100000000000001" customHeight="1" x14ac:dyDescent="0.3">
      <c r="A37" s="453" t="s">
        <v>172</v>
      </c>
      <c r="B37" s="734">
        <v>117086.13076544</v>
      </c>
      <c r="C37" s="715">
        <v>128814.38</v>
      </c>
      <c r="D37" s="350">
        <f t="shared" si="20"/>
        <v>10</v>
      </c>
      <c r="E37" s="144">
        <v>5258.4252882099991</v>
      </c>
      <c r="F37" s="350">
        <v>5630.4682022700008</v>
      </c>
      <c r="G37" s="350">
        <f t="shared" si="26"/>
        <v>7.1</v>
      </c>
      <c r="H37" s="144">
        <v>560.08600000000001</v>
      </c>
      <c r="I37" s="350">
        <v>754.17700000000002</v>
      </c>
      <c r="J37" s="350">
        <f t="shared" si="30"/>
        <v>34.700000000000003</v>
      </c>
      <c r="K37" s="144"/>
      <c r="L37" s="350"/>
      <c r="M37" s="347"/>
      <c r="N37" s="144">
        <v>0</v>
      </c>
      <c r="O37" s="350">
        <v>0</v>
      </c>
      <c r="P37" s="271" t="str">
        <f>IF(N37=0, "    ---- ", IF(ABS(ROUND(100/N37*O37-100,1))&lt;999,ROUND(100/N37*O37-100,1),IF(ROUND(100/N37*O37-100,1)&gt;999,999,-999)))</f>
        <v xml:space="preserve">    ---- </v>
      </c>
      <c r="Q37" s="144">
        <v>40401.880175050006</v>
      </c>
      <c r="R37" s="350">
        <v>39740.423966029899</v>
      </c>
      <c r="S37" s="271">
        <f t="shared" si="27"/>
        <v>-1.6</v>
      </c>
      <c r="T37" s="144"/>
      <c r="U37" s="350"/>
      <c r="V37" s="271"/>
      <c r="W37" s="144">
        <v>246.92474213999915</v>
      </c>
      <c r="X37" s="350">
        <v>33.752145900000102</v>
      </c>
      <c r="Y37" s="271">
        <f t="shared" si="21"/>
        <v>-86.3</v>
      </c>
      <c r="Z37" s="58"/>
      <c r="AA37" s="350"/>
      <c r="AB37" s="271" t="str">
        <f t="shared" si="29"/>
        <v xml:space="preserve">    ---- </v>
      </c>
      <c r="AC37" s="144"/>
      <c r="AD37" s="350"/>
      <c r="AE37" s="271"/>
      <c r="AF37" s="390">
        <f t="shared" si="22"/>
        <v>163553.44697083998</v>
      </c>
      <c r="AG37" s="390">
        <f t="shared" si="22"/>
        <v>174973.20131419992</v>
      </c>
      <c r="AH37" s="271">
        <f t="shared" si="23"/>
        <v>7</v>
      </c>
      <c r="AI37" s="390">
        <f t="shared" si="24"/>
        <v>163553.44697083998</v>
      </c>
      <c r="AJ37" s="390">
        <f t="shared" si="24"/>
        <v>174973.20131419992</v>
      </c>
      <c r="AK37" s="351">
        <f t="shared" si="25"/>
        <v>7</v>
      </c>
    </row>
    <row r="38" spans="1:37" s="362" customFormat="1" ht="20.100000000000001" customHeight="1" x14ac:dyDescent="0.3">
      <c r="A38" s="453" t="s">
        <v>188</v>
      </c>
      <c r="B38" s="734">
        <v>15820.396695360001</v>
      </c>
      <c r="C38" s="715">
        <v>5317.433</v>
      </c>
      <c r="D38" s="350">
        <f t="shared" si="20"/>
        <v>-66.400000000000006</v>
      </c>
      <c r="E38" s="144"/>
      <c r="F38" s="350"/>
      <c r="G38" s="350"/>
      <c r="H38" s="144"/>
      <c r="I38" s="350"/>
      <c r="J38" s="350"/>
      <c r="K38" s="144">
        <v>7709</v>
      </c>
      <c r="L38" s="350">
        <v>9031</v>
      </c>
      <c r="M38" s="347">
        <f>IF(K38=0, "    ---- ", IF(ABS(ROUND(100/K38*L38-100,1))&lt;999,ROUND(100/K38*L38-100,1),IF(ROUND(100/K38*L38-100,1)&gt;999,999,-999)))</f>
        <v>17.100000000000001</v>
      </c>
      <c r="N38" s="144">
        <v>288086.06396275002</v>
      </c>
      <c r="O38" s="350">
        <v>297388.45949067001</v>
      </c>
      <c r="P38" s="271">
        <f t="shared" ref="P38:P45" si="31">IF(N38=0, "    ---- ", IF(ABS(ROUND(100/N38*O38-100,1))&lt;999,ROUND(100/N38*O38-100,1),IF(ROUND(100/N38*O38-100,1)&gt;999,999,-999)))</f>
        <v>3.2</v>
      </c>
      <c r="Q38" s="144">
        <v>0</v>
      </c>
      <c r="R38" s="350">
        <v>0</v>
      </c>
      <c r="S38" s="271" t="str">
        <f t="shared" si="27"/>
        <v xml:space="preserve">    ---- </v>
      </c>
      <c r="T38" s="144">
        <v>4149</v>
      </c>
      <c r="U38" s="350">
        <v>4772</v>
      </c>
      <c r="V38" s="271">
        <f t="shared" si="28"/>
        <v>15</v>
      </c>
      <c r="W38" s="144">
        <v>0</v>
      </c>
      <c r="X38" s="350"/>
      <c r="Y38" s="271" t="str">
        <f t="shared" si="21"/>
        <v xml:space="preserve">    ---- </v>
      </c>
      <c r="Z38" s="144">
        <v>160436.62450172997</v>
      </c>
      <c r="AA38" s="350">
        <v>163828.76795975</v>
      </c>
      <c r="AB38" s="271">
        <f t="shared" si="29"/>
        <v>2.1</v>
      </c>
      <c r="AC38" s="144"/>
      <c r="AD38" s="350"/>
      <c r="AE38" s="271"/>
      <c r="AF38" s="390">
        <f t="shared" si="22"/>
        <v>476201.08515984</v>
      </c>
      <c r="AG38" s="390">
        <f t="shared" si="22"/>
        <v>480337.66045041999</v>
      </c>
      <c r="AH38" s="271">
        <f t="shared" si="23"/>
        <v>0.9</v>
      </c>
      <c r="AI38" s="390">
        <f t="shared" si="24"/>
        <v>476201.08515984</v>
      </c>
      <c r="AJ38" s="390">
        <f t="shared" si="24"/>
        <v>480337.66045041999</v>
      </c>
      <c r="AK38" s="351">
        <f t="shared" si="25"/>
        <v>0.9</v>
      </c>
    </row>
    <row r="39" spans="1:37" s="362" customFormat="1" ht="20.100000000000001" customHeight="1" x14ac:dyDescent="0.3">
      <c r="A39" s="453" t="s">
        <v>189</v>
      </c>
      <c r="B39" s="734">
        <f>SUM(B40:B44)</f>
        <v>40071.083224200003</v>
      </c>
      <c r="C39" s="715">
        <f>SUM(C40+C41+C42+C43+C44)</f>
        <v>35704.721000000005</v>
      </c>
      <c r="D39" s="350">
        <f t="shared" si="20"/>
        <v>-10.9</v>
      </c>
      <c r="E39" s="144">
        <f>SUM(E40:E44)</f>
        <v>3219.1486570400002</v>
      </c>
      <c r="F39" s="350">
        <f>SUM(F40+F41+F42+F43+F44)</f>
        <v>3509.8232536600003</v>
      </c>
      <c r="G39" s="350">
        <f>IF(E39=0, "    ---- ", IF(ABS(ROUND(100/E39*F39-100,1))&lt;999,ROUND(100/E39*F39-100,1),IF(ROUND(100/E39*F39-100,1)&gt;999,999,-999)))</f>
        <v>9</v>
      </c>
      <c r="H39" s="144">
        <f>SUM(H40:H44)</f>
        <v>1217.5709999999999</v>
      </c>
      <c r="I39" s="350">
        <f>SUM(I40+I41+I42+I43+I44)</f>
        <v>1305.6390000000001</v>
      </c>
      <c r="J39" s="350">
        <f t="shared" ref="J39:J46" si="32">IF(H39=0, "    ---- ", IF(ABS(ROUND(100/H39*I39-100,1))&lt;999,ROUND(100/H39*I39-100,1),IF(ROUND(100/H39*I39-100,1)&gt;999,999,-999)))</f>
        <v>7.2</v>
      </c>
      <c r="K39" s="144">
        <f>SUM(K40:K44)</f>
        <v>538</v>
      </c>
      <c r="L39" s="350">
        <f>SUM(L40+L41+L42+L43+L44)</f>
        <v>534</v>
      </c>
      <c r="M39" s="390">
        <f>IF(K39=0, "    ---- ", IF(ABS(ROUND(100/K39*L39-100,1))&lt;999,ROUND(100/K39*L39-100,1),IF(ROUND(100/K39*L39-100,1)&gt;999,999,-999)))</f>
        <v>-0.7</v>
      </c>
      <c r="N39" s="144">
        <v>354710.78050178004</v>
      </c>
      <c r="O39" s="350">
        <v>407492.26373478002</v>
      </c>
      <c r="P39" s="350">
        <f t="shared" si="31"/>
        <v>14.9</v>
      </c>
      <c r="Q39" s="144">
        <f>SUM(Q40:Q44)</f>
        <v>8178.4080292699991</v>
      </c>
      <c r="R39" s="350">
        <f>SUM(R40+R41+R42+R43+R44)</f>
        <v>9428.2311305099993</v>
      </c>
      <c r="S39" s="350">
        <f t="shared" si="27"/>
        <v>15.3</v>
      </c>
      <c r="T39" s="144">
        <f>SUM(T40:T44)</f>
        <v>76418</v>
      </c>
      <c r="U39" s="350">
        <f>SUM(U40+U41+U42+U43+U44)</f>
        <v>83517</v>
      </c>
      <c r="V39" s="350">
        <f t="shared" si="28"/>
        <v>9.3000000000000007</v>
      </c>
      <c r="W39" s="144">
        <f>SUM(W40:W44)</f>
        <v>8545.5960000000014</v>
      </c>
      <c r="X39" s="350">
        <f>SUM(X40+X41+X42+X43+X44)</f>
        <v>8896.9879999999976</v>
      </c>
      <c r="Y39" s="350">
        <f t="shared" si="21"/>
        <v>4.0999999999999996</v>
      </c>
      <c r="Z39" s="144">
        <f>SUM(Z40:Z44)</f>
        <v>30518.768513789986</v>
      </c>
      <c r="AA39" s="350">
        <f>SUM(AA40+AA41+AA42+AA43+AA44)</f>
        <v>32736.778320699999</v>
      </c>
      <c r="AB39" s="350">
        <f t="shared" si="29"/>
        <v>7.3</v>
      </c>
      <c r="AC39" s="144">
        <f>SUM(AC40:AC44)</f>
        <v>18</v>
      </c>
      <c r="AD39" s="350">
        <f>SUM(AD40+AD41+AD42+AD43+AD44)</f>
        <v>20</v>
      </c>
      <c r="AE39" s="271">
        <f t="shared" ref="AE39:AE45" si="33">IF(AC39=0, "    ---- ", IF(ABS(ROUND(100/AC39*AD39-100,1))&lt;999,ROUND(100/AC39*AD39-100,1),IF(ROUND(100/AC39*AD39-100,1)&gt;999,999,-999)))</f>
        <v>11.1</v>
      </c>
      <c r="AF39" s="390">
        <f t="shared" si="22"/>
        <v>523417.35592608002</v>
      </c>
      <c r="AG39" s="390">
        <f t="shared" si="22"/>
        <v>583125.44443965005</v>
      </c>
      <c r="AH39" s="271">
        <f t="shared" si="23"/>
        <v>11.4</v>
      </c>
      <c r="AI39" s="390">
        <f t="shared" si="24"/>
        <v>523435.35592608002</v>
      </c>
      <c r="AJ39" s="390">
        <f t="shared" si="24"/>
        <v>583145.44443965005</v>
      </c>
      <c r="AK39" s="351">
        <f t="shared" si="25"/>
        <v>11.4</v>
      </c>
    </row>
    <row r="40" spans="1:37" s="362" customFormat="1" ht="20.100000000000001" customHeight="1" x14ac:dyDescent="0.3">
      <c r="A40" s="453" t="s">
        <v>190</v>
      </c>
      <c r="B40" s="734">
        <v>8037.6712648999992</v>
      </c>
      <c r="C40" s="715">
        <v>16808.606</v>
      </c>
      <c r="D40" s="271">
        <f t="shared" si="20"/>
        <v>109.1</v>
      </c>
      <c r="E40" s="144">
        <v>582.53620539000008</v>
      </c>
      <c r="F40" s="350">
        <v>927.48357097000007</v>
      </c>
      <c r="G40" s="271">
        <f>IF(E40=0, "    ---- ", IF(ABS(ROUND(100/E40*F40-100,1))&lt;999,ROUND(100/E40*F40-100,1),IF(ROUND(100/E40*F40-100,1)&gt;999,999,-999)))</f>
        <v>59.2</v>
      </c>
      <c r="H40" s="144">
        <v>184.02</v>
      </c>
      <c r="I40" s="350">
        <v>197.792</v>
      </c>
      <c r="J40" s="271">
        <f t="shared" si="32"/>
        <v>7.5</v>
      </c>
      <c r="K40" s="144"/>
      <c r="L40" s="350">
        <v>27</v>
      </c>
      <c r="M40" s="390" t="str">
        <f>IF(K40=0, "    ---- ", IF(ABS(ROUND(100/K40*L40-100,1))&lt;999,ROUND(100/K40*L40-100,1),IF(ROUND(100/K40*L40-100,1)&gt;999,999,-999)))</f>
        <v xml:space="preserve">    ---- </v>
      </c>
      <c r="N40" s="144">
        <v>219067.40020420999</v>
      </c>
      <c r="O40" s="350">
        <v>283542.90205715998</v>
      </c>
      <c r="P40" s="271">
        <f t="shared" si="31"/>
        <v>29.4</v>
      </c>
      <c r="Q40" s="144">
        <v>6159.9624707100002</v>
      </c>
      <c r="R40" s="350">
        <v>6677.35526372</v>
      </c>
      <c r="S40" s="271">
        <f t="shared" si="27"/>
        <v>8.4</v>
      </c>
      <c r="T40" s="144">
        <v>44391</v>
      </c>
      <c r="U40" s="350">
        <v>48378</v>
      </c>
      <c r="V40" s="271">
        <f t="shared" si="28"/>
        <v>9</v>
      </c>
      <c r="W40" s="144">
        <v>3652.8760000000002</v>
      </c>
      <c r="X40" s="350">
        <v>3432.4459999999999</v>
      </c>
      <c r="Y40" s="271">
        <f t="shared" si="21"/>
        <v>-6</v>
      </c>
      <c r="Z40" s="144">
        <v>19674.95388977999</v>
      </c>
      <c r="AA40" s="350">
        <v>22676.0345739</v>
      </c>
      <c r="AB40" s="271">
        <f t="shared" si="29"/>
        <v>15.3</v>
      </c>
      <c r="AC40" s="144"/>
      <c r="AD40" s="350"/>
      <c r="AE40" s="271"/>
      <c r="AF40" s="390">
        <f t="shared" si="22"/>
        <v>301750.42003498995</v>
      </c>
      <c r="AG40" s="390">
        <f t="shared" si="22"/>
        <v>382667.61946574994</v>
      </c>
      <c r="AH40" s="271">
        <f t="shared" si="23"/>
        <v>26.8</v>
      </c>
      <c r="AI40" s="390">
        <f t="shared" si="24"/>
        <v>301750.42003498995</v>
      </c>
      <c r="AJ40" s="390">
        <f t="shared" si="24"/>
        <v>382667.61946574994</v>
      </c>
      <c r="AK40" s="351">
        <f t="shared" si="25"/>
        <v>26.8</v>
      </c>
    </row>
    <row r="41" spans="1:37" s="362" customFormat="1" ht="20.100000000000001" customHeight="1" x14ac:dyDescent="0.3">
      <c r="A41" s="453" t="s">
        <v>464</v>
      </c>
      <c r="B41" s="734">
        <v>28002.895538830002</v>
      </c>
      <c r="C41" s="715">
        <v>17743.072</v>
      </c>
      <c r="D41" s="350">
        <f t="shared" si="20"/>
        <v>-36.6</v>
      </c>
      <c r="E41" s="144">
        <v>2633.13567896</v>
      </c>
      <c r="F41" s="350">
        <v>2696.5687849000001</v>
      </c>
      <c r="G41" s="350">
        <f>IF(E41=0, "    ---- ", IF(ABS(ROUND(100/E41*F41-100,1))&lt;999,ROUND(100/E41*F41-100,1),IF(ROUND(100/E41*F41-100,1)&gt;999,999,-999)))</f>
        <v>2.4</v>
      </c>
      <c r="H41" s="144">
        <v>763.05100000000004</v>
      </c>
      <c r="I41" s="350">
        <v>794.745</v>
      </c>
      <c r="J41" s="350">
        <f>IF(H41=0, "    ---- ", IF(ABS(ROUND(100/H41*I41-100,1))&lt;999,ROUND(100/H41*I41-100,1),IF(ROUND(100/H41*I41-100,1)&gt;999,999,-999)))</f>
        <v>4.2</v>
      </c>
      <c r="K41" s="144">
        <v>532</v>
      </c>
      <c r="L41" s="350">
        <v>484</v>
      </c>
      <c r="M41" s="347">
        <f>IF(K41=0, "    ---- ", IF(ABS(ROUND(100/K41*L41-100,1))&lt;999,ROUND(100/K41*L41-100,1),IF(ROUND(100/K41*L41-100,1)&gt;999,999,-999)))</f>
        <v>-9</v>
      </c>
      <c r="N41" s="144">
        <v>104251.81007897999</v>
      </c>
      <c r="O41" s="350">
        <v>106390.37395341</v>
      </c>
      <c r="P41" s="271">
        <f t="shared" si="31"/>
        <v>2.1</v>
      </c>
      <c r="Q41" s="144">
        <v>1775.5095094999999</v>
      </c>
      <c r="R41" s="350">
        <v>2684.5664148000001</v>
      </c>
      <c r="S41" s="271">
        <f t="shared" si="27"/>
        <v>51.2</v>
      </c>
      <c r="T41" s="144">
        <v>27259</v>
      </c>
      <c r="U41" s="350">
        <v>29605</v>
      </c>
      <c r="V41" s="271">
        <f t="shared" si="28"/>
        <v>8.6</v>
      </c>
      <c r="W41" s="144">
        <v>4737.3710000000001</v>
      </c>
      <c r="X41" s="350">
        <v>5273.0659999999998</v>
      </c>
      <c r="Y41" s="271">
        <f t="shared" si="21"/>
        <v>11.3</v>
      </c>
      <c r="Z41" s="144">
        <v>8798.3694777799974</v>
      </c>
      <c r="AA41" s="350">
        <v>8989.2833830599993</v>
      </c>
      <c r="AB41" s="271">
        <f t="shared" si="29"/>
        <v>2.2000000000000002</v>
      </c>
      <c r="AC41" s="144"/>
      <c r="AD41" s="350">
        <v>20</v>
      </c>
      <c r="AE41" s="271" t="str">
        <f t="shared" si="33"/>
        <v xml:space="preserve">    ---- </v>
      </c>
      <c r="AF41" s="390">
        <f t="shared" si="22"/>
        <v>178753.14228405</v>
      </c>
      <c r="AG41" s="390">
        <f t="shared" si="22"/>
        <v>174660.67553617002</v>
      </c>
      <c r="AH41" s="271">
        <f t="shared" si="23"/>
        <v>-2.2999999999999998</v>
      </c>
      <c r="AI41" s="390">
        <f t="shared" si="24"/>
        <v>178753.14228405</v>
      </c>
      <c r="AJ41" s="390">
        <f t="shared" si="24"/>
        <v>174680.67553617002</v>
      </c>
      <c r="AK41" s="351">
        <f t="shared" si="25"/>
        <v>-2.2999999999999998</v>
      </c>
    </row>
    <row r="42" spans="1:37" s="362" customFormat="1" ht="20.100000000000001" customHeight="1" x14ac:dyDescent="0.3">
      <c r="A42" s="453" t="s">
        <v>191</v>
      </c>
      <c r="B42" s="734">
        <v>2757.0285294099999</v>
      </c>
      <c r="C42" s="715">
        <v>636.79200000000003</v>
      </c>
      <c r="D42" s="350">
        <f t="shared" si="20"/>
        <v>-76.900000000000006</v>
      </c>
      <c r="E42" s="144">
        <v>-5.3328267199999839</v>
      </c>
      <c r="F42" s="350">
        <v>-119.33483901999996</v>
      </c>
      <c r="G42" s="350">
        <f t="shared" ref="G42:G43" si="34">IF(E42=0, "    ---- ", IF(ABS(ROUND(100/E42*F42-100,1))&lt;999,ROUND(100/E42*F42-100,1),IF(ROUND(100/E42*F42-100,1)&gt;999,999,-999)))</f>
        <v>999</v>
      </c>
      <c r="H42" s="144"/>
      <c r="I42" s="350"/>
      <c r="J42" s="350"/>
      <c r="K42" s="144"/>
      <c r="L42" s="350"/>
      <c r="M42" s="347"/>
      <c r="N42" s="144">
        <v>20788.10022755</v>
      </c>
      <c r="O42" s="350">
        <v>16424.036202299998</v>
      </c>
      <c r="P42" s="271">
        <f t="shared" si="31"/>
        <v>-21</v>
      </c>
      <c r="Q42" s="144"/>
      <c r="R42" s="350"/>
      <c r="S42" s="271"/>
      <c r="T42" s="144">
        <v>3123</v>
      </c>
      <c r="U42" s="350">
        <v>5179</v>
      </c>
      <c r="V42" s="271">
        <f t="shared" si="28"/>
        <v>65.8</v>
      </c>
      <c r="W42" s="144">
        <v>-37.265999999999998</v>
      </c>
      <c r="X42" s="350">
        <v>-9.7889999999999997</v>
      </c>
      <c r="Y42" s="271"/>
      <c r="Z42" s="144"/>
      <c r="AA42" s="350"/>
      <c r="AB42" s="271" t="str">
        <f t="shared" si="29"/>
        <v xml:space="preserve">    ---- </v>
      </c>
      <c r="AC42" s="144"/>
      <c r="AD42" s="350"/>
      <c r="AE42" s="271"/>
      <c r="AF42" s="390">
        <f t="shared" si="22"/>
        <v>26625.529930239998</v>
      </c>
      <c r="AG42" s="390">
        <f t="shared" si="22"/>
        <v>22110.704363279998</v>
      </c>
      <c r="AH42" s="271">
        <f t="shared" si="23"/>
        <v>-17</v>
      </c>
      <c r="AI42" s="390">
        <f t="shared" si="24"/>
        <v>26625.529930239998</v>
      </c>
      <c r="AJ42" s="390">
        <f t="shared" si="24"/>
        <v>22110.704363279998</v>
      </c>
      <c r="AK42" s="351">
        <f t="shared" si="25"/>
        <v>-17</v>
      </c>
    </row>
    <row r="43" spans="1:37" s="362" customFormat="1" ht="20.100000000000001" customHeight="1" x14ac:dyDescent="0.3">
      <c r="A43" s="453" t="s">
        <v>192</v>
      </c>
      <c r="B43" s="734">
        <v>670.10422662999997</v>
      </c>
      <c r="C43" s="715">
        <v>127.754</v>
      </c>
      <c r="D43" s="350">
        <f t="shared" si="20"/>
        <v>-80.900000000000006</v>
      </c>
      <c r="E43" s="144">
        <v>0</v>
      </c>
      <c r="F43" s="350">
        <v>0</v>
      </c>
      <c r="G43" s="350" t="str">
        <f t="shared" si="34"/>
        <v xml:space="preserve">    ---- </v>
      </c>
      <c r="H43" s="144"/>
      <c r="I43" s="350"/>
      <c r="J43" s="350"/>
      <c r="K43" s="144"/>
      <c r="L43" s="350"/>
      <c r="M43" s="347"/>
      <c r="N43" s="144">
        <v>9813.6813743999992</v>
      </c>
      <c r="O43" s="350">
        <v>758.15093438999997</v>
      </c>
      <c r="P43" s="271">
        <f t="shared" si="31"/>
        <v>-92.3</v>
      </c>
      <c r="Q43" s="144">
        <v>154.79997391000001</v>
      </c>
      <c r="R43" s="350">
        <v>3.3864139399999997</v>
      </c>
      <c r="S43" s="271">
        <f t="shared" si="27"/>
        <v>-97.8</v>
      </c>
      <c r="T43" s="144">
        <v>1645</v>
      </c>
      <c r="U43" s="350">
        <v>355</v>
      </c>
      <c r="V43" s="271">
        <f>IF(T43=0, "    ---- ", IF(ABS(ROUND(100/T43*U43-100,1))&lt;999,ROUND(100/T43*U43-100,1),IF(ROUND(100/T43*U43-100,1)&gt;999,999,-999)))</f>
        <v>-78.400000000000006</v>
      </c>
      <c r="W43" s="144">
        <v>111.78100000000001</v>
      </c>
      <c r="X43" s="350">
        <v>9.48</v>
      </c>
      <c r="Y43" s="271">
        <f t="shared" si="21"/>
        <v>-91.5</v>
      </c>
      <c r="Z43" s="144">
        <v>2045.4451462299999</v>
      </c>
      <c r="AA43" s="350">
        <v>1071.46036374</v>
      </c>
      <c r="AB43" s="271">
        <f t="shared" si="29"/>
        <v>-47.6</v>
      </c>
      <c r="AC43" s="144"/>
      <c r="AD43" s="350"/>
      <c r="AE43" s="271"/>
      <c r="AF43" s="390">
        <f t="shared" si="22"/>
        <v>14440.811721169999</v>
      </c>
      <c r="AG43" s="390">
        <f t="shared" si="22"/>
        <v>2325.23171207</v>
      </c>
      <c r="AH43" s="271">
        <f t="shared" si="23"/>
        <v>-83.9</v>
      </c>
      <c r="AI43" s="390">
        <f t="shared" si="24"/>
        <v>14440.811721169999</v>
      </c>
      <c r="AJ43" s="390">
        <f t="shared" si="24"/>
        <v>2325.23171207</v>
      </c>
      <c r="AK43" s="351">
        <f t="shared" si="25"/>
        <v>-83.9</v>
      </c>
    </row>
    <row r="44" spans="1:37" s="362" customFormat="1" ht="20.100000000000001" customHeight="1" x14ac:dyDescent="0.3">
      <c r="A44" s="453" t="s">
        <v>193</v>
      </c>
      <c r="B44" s="734">
        <v>603.38366442999995</v>
      </c>
      <c r="C44" s="715">
        <v>388.49700000000001</v>
      </c>
      <c r="D44" s="350">
        <f t="shared" si="20"/>
        <v>-35.6</v>
      </c>
      <c r="E44" s="144">
        <v>8.8095994100000414</v>
      </c>
      <c r="F44" s="350">
        <v>5.1057368100000176</v>
      </c>
      <c r="G44" s="350">
        <f>IF(E44=0, "    ---- ", IF(ABS(ROUND(100/E44*F44-100,1))&lt;999,ROUND(100/E44*F44-100,1),IF(ROUND(100/E44*F44-100,1)&gt;999,999,-999)))</f>
        <v>-42</v>
      </c>
      <c r="H44" s="144">
        <v>270.5</v>
      </c>
      <c r="I44" s="350">
        <v>313.10199999999998</v>
      </c>
      <c r="J44" s="350">
        <f t="shared" si="32"/>
        <v>15.7</v>
      </c>
      <c r="K44" s="144">
        <v>6</v>
      </c>
      <c r="L44" s="350">
        <v>23</v>
      </c>
      <c r="M44" s="347">
        <f>IF(K44=0, "    ---- ", IF(ABS(ROUND(100/K44*L44-100,1))&lt;999,ROUND(100/K44*L44-100,1),IF(ROUND(100/K44*L44-100,1)&gt;999,999,-999)))</f>
        <v>283.3</v>
      </c>
      <c r="N44" s="144">
        <v>789.78861663999999</v>
      </c>
      <c r="O44" s="350">
        <v>376.80058751999997</v>
      </c>
      <c r="P44" s="271">
        <f t="shared" si="31"/>
        <v>-52.3</v>
      </c>
      <c r="Q44" s="144">
        <v>88.136075150000011</v>
      </c>
      <c r="R44" s="350">
        <v>62.923038049999995</v>
      </c>
      <c r="S44" s="271">
        <f t="shared" si="27"/>
        <v>-28.6</v>
      </c>
      <c r="T44" s="144"/>
      <c r="U44" s="350"/>
      <c r="V44" s="271"/>
      <c r="W44" s="144">
        <v>80.834000000000003</v>
      </c>
      <c r="X44" s="350">
        <v>191.785</v>
      </c>
      <c r="Y44" s="271">
        <f t="shared" si="21"/>
        <v>137.30000000000001</v>
      </c>
      <c r="Z44" s="144"/>
      <c r="AA44" s="350"/>
      <c r="AB44" s="271" t="str">
        <f t="shared" si="29"/>
        <v xml:space="preserve">    ---- </v>
      </c>
      <c r="AC44" s="144">
        <v>18</v>
      </c>
      <c r="AD44" s="350"/>
      <c r="AE44" s="271">
        <f t="shared" si="33"/>
        <v>-100</v>
      </c>
      <c r="AF44" s="390">
        <f t="shared" si="22"/>
        <v>1847.4519556299999</v>
      </c>
      <c r="AG44" s="390">
        <f t="shared" si="22"/>
        <v>1361.21336238</v>
      </c>
      <c r="AH44" s="271">
        <f t="shared" si="23"/>
        <v>-26.3</v>
      </c>
      <c r="AI44" s="390">
        <f t="shared" si="24"/>
        <v>1865.4519556299999</v>
      </c>
      <c r="AJ44" s="390">
        <f t="shared" si="24"/>
        <v>1361.21336238</v>
      </c>
      <c r="AK44" s="351">
        <f t="shared" si="25"/>
        <v>-27</v>
      </c>
    </row>
    <row r="45" spans="1:37" s="362" customFormat="1" ht="20.100000000000001" customHeight="1" x14ac:dyDescent="0.3">
      <c r="A45" s="487" t="s">
        <v>194</v>
      </c>
      <c r="B45" s="734">
        <f>SUM(B33+B34+B35+B39)</f>
        <v>192316.84883653</v>
      </c>
      <c r="C45" s="736">
        <f>SUM(C33+C34+C35+C39)</f>
        <v>187397.94699999999</v>
      </c>
      <c r="D45" s="271">
        <f t="shared" si="20"/>
        <v>-2.6</v>
      </c>
      <c r="E45" s="144">
        <f>SUM(E33+E34+E35+E39)</f>
        <v>8912.9159725600002</v>
      </c>
      <c r="F45" s="350">
        <f>SUM(F33+F34+F35+F39)</f>
        <v>9590.8024462900012</v>
      </c>
      <c r="G45" s="271">
        <f>IF(E45=0, "    ---- ", IF(ABS(ROUND(100/E45*F45-100,1))&lt;999,ROUND(100/E45*F45-100,1),IF(ROUND(100/E45*F45-100,1)&gt;999,999,-999)))</f>
        <v>7.6</v>
      </c>
      <c r="H45" s="144">
        <f>SUM(H33+H34+H35+H39)</f>
        <v>1777.6569999999999</v>
      </c>
      <c r="I45" s="350">
        <f>SUM(I33+I34+I35+I39)</f>
        <v>2059.8160000000003</v>
      </c>
      <c r="J45" s="271">
        <f t="shared" si="32"/>
        <v>15.9</v>
      </c>
      <c r="K45" s="144">
        <f>SUM(K33+K34+K35+K39)</f>
        <v>8921</v>
      </c>
      <c r="L45" s="350">
        <f>SUM(L33+L34+L35+L39)</f>
        <v>9873</v>
      </c>
      <c r="M45" s="347">
        <f>IF(K45=0, "    ---- ", IF(ABS(ROUND(100/K45*L45-100,1))&lt;999,ROUND(100/K45*L45-100,1),IF(ROUND(100/K45*L45-100,1)&gt;999,999,-999)))</f>
        <v>10.7</v>
      </c>
      <c r="N45" s="144">
        <v>734337.21460214001</v>
      </c>
      <c r="O45" s="350">
        <v>803441.09931839001</v>
      </c>
      <c r="P45" s="271">
        <f t="shared" si="31"/>
        <v>9.4</v>
      </c>
      <c r="Q45" s="144">
        <f>SUM(Q33+Q34+Q35+Q39)</f>
        <v>54621.693780440008</v>
      </c>
      <c r="R45" s="350">
        <f>SUM(R33+R34+R35+R39)</f>
        <v>55350.309910249896</v>
      </c>
      <c r="S45" s="271">
        <f t="shared" si="27"/>
        <v>1.3</v>
      </c>
      <c r="T45" s="144">
        <f>SUM(T33+T34+T35+T39)</f>
        <v>123832</v>
      </c>
      <c r="U45" s="350">
        <f>SUM(U33+U34+U35+U39)</f>
        <v>134598</v>
      </c>
      <c r="V45" s="271">
        <f>IF(T45=0, "    ---- ", IF(ABS(ROUND(100/T45*U45-100,1))&lt;999,ROUND(100/T45*U45-100,1),IF(ROUND(100/T45*U45-100,1)&gt;999,999,-999)))</f>
        <v>8.6999999999999993</v>
      </c>
      <c r="W45" s="144">
        <f>SUM(W33+W34+W35+W39)</f>
        <v>23486.347000000002</v>
      </c>
      <c r="X45" s="350">
        <f>SUM(X33+X34+X35+X39)</f>
        <v>24598.890999999996</v>
      </c>
      <c r="Y45" s="271">
        <f t="shared" si="21"/>
        <v>4.7</v>
      </c>
      <c r="Z45" s="144">
        <f>SUM(Z33+Z34+Z35+Z39)</f>
        <v>213181.63534539996</v>
      </c>
      <c r="AA45" s="350">
        <f>SUM(AA33+AA34+AA35+AA39)</f>
        <v>217862.87828608998</v>
      </c>
      <c r="AB45" s="271">
        <f t="shared" si="29"/>
        <v>2.2000000000000002</v>
      </c>
      <c r="AC45" s="144">
        <f>SUM(AC33+AC34+AC35+AC39)</f>
        <v>18</v>
      </c>
      <c r="AD45" s="350">
        <f>SUM(AD33+AD34+AD35+AD39)</f>
        <v>20</v>
      </c>
      <c r="AE45" s="271">
        <f t="shared" si="33"/>
        <v>11.1</v>
      </c>
      <c r="AF45" s="390">
        <f t="shared" si="22"/>
        <v>1361387.3125370699</v>
      </c>
      <c r="AG45" s="390">
        <f t="shared" si="22"/>
        <v>1444772.7439610199</v>
      </c>
      <c r="AH45" s="271">
        <f t="shared" si="23"/>
        <v>6.1</v>
      </c>
      <c r="AI45" s="390">
        <f t="shared" si="24"/>
        <v>1361405.3125370699</v>
      </c>
      <c r="AJ45" s="390">
        <f t="shared" si="24"/>
        <v>1444792.7439610199</v>
      </c>
      <c r="AK45" s="351">
        <f t="shared" si="25"/>
        <v>6.1</v>
      </c>
    </row>
    <row r="46" spans="1:37" s="362" customFormat="1" ht="20.100000000000001" customHeight="1" x14ac:dyDescent="0.3">
      <c r="A46" s="465" t="s">
        <v>297</v>
      </c>
      <c r="B46" s="734">
        <v>526.41210591000004</v>
      </c>
      <c r="C46" s="715">
        <v>501.91199999999998</v>
      </c>
      <c r="D46" s="350">
        <f t="shared" si="20"/>
        <v>-4.7</v>
      </c>
      <c r="E46" s="144">
        <v>445.40490983000001</v>
      </c>
      <c r="F46" s="350">
        <v>369.34416279000004</v>
      </c>
      <c r="G46" s="271">
        <f>IF(E46=0, "    ---- ", IF(ABS(ROUND(100/E46*F46-100,1))&lt;999,ROUND(100/E46*F46-100,1),IF(ROUND(100/E46*F46-100,1)&gt;999,999,-999)))</f>
        <v>-17.100000000000001</v>
      </c>
      <c r="H46" s="144">
        <v>123.48</v>
      </c>
      <c r="I46" s="350">
        <v>135.04499999999999</v>
      </c>
      <c r="J46" s="271">
        <f t="shared" si="32"/>
        <v>9.4</v>
      </c>
      <c r="K46" s="144">
        <v>877</v>
      </c>
      <c r="L46" s="350">
        <v>1035</v>
      </c>
      <c r="M46" s="347">
        <f>IF(K46=0, "    ---- ", IF(ABS(ROUND(100/K46*L46-100,1))&lt;999,ROUND(100/K46*L46-100,1),IF(ROUND(100/K46*L46-100,1)&gt;999,999,-999)))</f>
        <v>18</v>
      </c>
      <c r="N46" s="144"/>
      <c r="O46" s="350"/>
      <c r="P46" s="271"/>
      <c r="Q46" s="144">
        <v>65.2</v>
      </c>
      <c r="R46" s="350">
        <v>67.290000000000006</v>
      </c>
      <c r="S46" s="271">
        <f t="shared" si="27"/>
        <v>3.2</v>
      </c>
      <c r="T46" s="144"/>
      <c r="U46" s="350"/>
      <c r="V46" s="271"/>
      <c r="W46" s="144">
        <v>11.648999999999999</v>
      </c>
      <c r="X46" s="350">
        <v>15.574</v>
      </c>
      <c r="Y46" s="271">
        <f t="shared" si="21"/>
        <v>33.700000000000003</v>
      </c>
      <c r="Z46" s="144">
        <v>174.50979440999998</v>
      </c>
      <c r="AA46" s="350">
        <v>157.27681774999999</v>
      </c>
      <c r="AB46" s="271"/>
      <c r="AC46" s="144"/>
      <c r="AD46" s="350"/>
      <c r="AE46" s="271"/>
      <c r="AF46" s="390">
        <f t="shared" si="22"/>
        <v>2223.65581015</v>
      </c>
      <c r="AG46" s="390">
        <f t="shared" si="22"/>
        <v>2281.4419805400003</v>
      </c>
      <c r="AH46" s="271">
        <f t="shared" si="23"/>
        <v>2.6</v>
      </c>
      <c r="AI46" s="390">
        <f t="shared" si="24"/>
        <v>2223.65581015</v>
      </c>
      <c r="AJ46" s="390">
        <f t="shared" si="24"/>
        <v>2281.4419805400003</v>
      </c>
      <c r="AK46" s="351">
        <f t="shared" si="25"/>
        <v>2.6</v>
      </c>
    </row>
    <row r="47" spans="1:37" s="362" customFormat="1" ht="20.100000000000001" customHeight="1" x14ac:dyDescent="0.3">
      <c r="A47" s="465" t="s">
        <v>195</v>
      </c>
      <c r="B47" s="734"/>
      <c r="C47" s="715"/>
      <c r="D47" s="350"/>
      <c r="E47" s="144"/>
      <c r="F47" s="350"/>
      <c r="G47" s="350"/>
      <c r="H47" s="144"/>
      <c r="I47" s="350"/>
      <c r="J47" s="350"/>
      <c r="K47" s="144"/>
      <c r="L47" s="350"/>
      <c r="M47" s="347"/>
      <c r="N47" s="144"/>
      <c r="O47" s="350"/>
      <c r="P47" s="271"/>
      <c r="Q47" s="144"/>
      <c r="R47" s="350"/>
      <c r="S47" s="271"/>
      <c r="T47" s="144"/>
      <c r="U47" s="350"/>
      <c r="V47" s="271"/>
      <c r="W47" s="144"/>
      <c r="X47" s="350"/>
      <c r="Y47" s="271"/>
      <c r="Z47" s="144"/>
      <c r="AA47" s="350"/>
      <c r="AB47" s="271"/>
      <c r="AC47" s="144"/>
      <c r="AD47" s="350"/>
      <c r="AE47" s="271"/>
      <c r="AF47" s="347"/>
      <c r="AG47" s="347"/>
      <c r="AH47" s="271"/>
      <c r="AI47" s="347"/>
      <c r="AJ47" s="347"/>
      <c r="AK47" s="351"/>
    </row>
    <row r="48" spans="1:37" s="362" customFormat="1" ht="20.100000000000001" customHeight="1" x14ac:dyDescent="0.3">
      <c r="A48" s="453" t="s">
        <v>196</v>
      </c>
      <c r="B48" s="734"/>
      <c r="C48" s="715"/>
      <c r="D48" s="350"/>
      <c r="E48" s="144"/>
      <c r="F48" s="350"/>
      <c r="G48" s="350"/>
      <c r="H48" s="144"/>
      <c r="I48" s="350"/>
      <c r="J48" s="350"/>
      <c r="K48" s="144"/>
      <c r="L48" s="350"/>
      <c r="M48" s="347"/>
      <c r="N48" s="144"/>
      <c r="O48" s="350"/>
      <c r="P48" s="271"/>
      <c r="Q48" s="144"/>
      <c r="R48" s="350"/>
      <c r="S48" s="271"/>
      <c r="T48" s="144"/>
      <c r="U48" s="350"/>
      <c r="V48" s="271"/>
      <c r="W48" s="144"/>
      <c r="X48" s="350"/>
      <c r="Y48" s="271"/>
      <c r="Z48" s="144"/>
      <c r="AA48" s="350"/>
      <c r="AB48" s="271"/>
      <c r="AC48" s="144"/>
      <c r="AD48" s="350"/>
      <c r="AE48" s="271"/>
      <c r="AF48" s="390">
        <f t="shared" ref="AF48:AG62" si="35">B48+E48+H48+K48+N48+Q48+T48+W48+Z48</f>
        <v>0</v>
      </c>
      <c r="AG48" s="390">
        <f t="shared" si="35"/>
        <v>0</v>
      </c>
      <c r="AH48" s="271" t="str">
        <f t="shared" si="23"/>
        <v xml:space="preserve">    ---- </v>
      </c>
      <c r="AI48" s="390">
        <f t="shared" ref="AI48:AJ62" si="36">B48+E48+H48+K48+N48+Q48+T48+W48+Z48+AC48</f>
        <v>0</v>
      </c>
      <c r="AJ48" s="390">
        <f t="shared" si="36"/>
        <v>0</v>
      </c>
      <c r="AK48" s="351" t="str">
        <f t="shared" si="25"/>
        <v xml:space="preserve">    ---- </v>
      </c>
    </row>
    <row r="49" spans="1:37" s="362" customFormat="1" ht="20.100000000000001" customHeight="1" x14ac:dyDescent="0.3">
      <c r="A49" s="453" t="s">
        <v>197</v>
      </c>
      <c r="B49" s="734">
        <v>5228.0112620110003</v>
      </c>
      <c r="C49" s="715">
        <v>6165.8519999999999</v>
      </c>
      <c r="D49" s="350">
        <f t="shared" ref="D49" si="37">IF(B49=0, "    ---- ", IF(ABS(ROUND(100/B49*C49-100,1))&lt;999,ROUND(100/B49*C49-100,1),IF(ROUND(100/B49*C49-100,1)&gt;999,999,-999)))</f>
        <v>17.899999999999999</v>
      </c>
      <c r="E49" s="144"/>
      <c r="F49" s="350"/>
      <c r="G49" s="350"/>
      <c r="H49" s="144"/>
      <c r="I49" s="350"/>
      <c r="J49" s="350"/>
      <c r="K49" s="144">
        <v>1871</v>
      </c>
      <c r="L49" s="350">
        <v>1980</v>
      </c>
      <c r="M49" s="347">
        <f>IF(K49=0, "    ---- ", IF(ABS(ROUND(100/K49*L49-100,1))&lt;999,ROUND(100/K49*L49-100,1),IF(ROUND(100/K49*L49-100,1)&gt;999,999,-999)))</f>
        <v>5.8</v>
      </c>
      <c r="N49" s="144">
        <v>353.57617983999995</v>
      </c>
      <c r="O49" s="350">
        <v>382.15449783999998</v>
      </c>
      <c r="P49" s="271">
        <f t="shared" ref="P49:P60" si="38">IF(N49=0, "    ---- ", IF(ABS(ROUND(100/N49*O49-100,1))&lt;999,ROUND(100/N49*O49-100,1),IF(ROUND(100/N49*O49-100,1)&gt;999,999,-999)))</f>
        <v>8.1</v>
      </c>
      <c r="Q49" s="144">
        <v>2774.09</v>
      </c>
      <c r="R49" s="350">
        <v>3467.65</v>
      </c>
      <c r="S49" s="271">
        <f t="shared" si="27"/>
        <v>25</v>
      </c>
      <c r="T49" s="144"/>
      <c r="U49" s="350"/>
      <c r="V49" s="271"/>
      <c r="W49" s="144">
        <v>1267.28</v>
      </c>
      <c r="X49" s="350">
        <v>1216.2</v>
      </c>
      <c r="Y49" s="271"/>
      <c r="Z49" s="144">
        <v>6318.5223657200004</v>
      </c>
      <c r="AA49" s="350">
        <v>7817.7921718799998</v>
      </c>
      <c r="AB49" s="271">
        <f t="shared" si="29"/>
        <v>23.7</v>
      </c>
      <c r="AC49" s="144"/>
      <c r="AD49" s="350"/>
      <c r="AE49" s="271"/>
      <c r="AF49" s="390">
        <f t="shared" si="35"/>
        <v>17812.479807570999</v>
      </c>
      <c r="AG49" s="390">
        <f t="shared" si="35"/>
        <v>21029.648669720002</v>
      </c>
      <c r="AH49" s="271">
        <f t="shared" si="23"/>
        <v>18.100000000000001</v>
      </c>
      <c r="AI49" s="390">
        <f t="shared" si="36"/>
        <v>17812.479807570999</v>
      </c>
      <c r="AJ49" s="390">
        <f t="shared" si="36"/>
        <v>21029.648669720002</v>
      </c>
      <c r="AK49" s="351">
        <f t="shared" si="25"/>
        <v>18.100000000000001</v>
      </c>
    </row>
    <row r="50" spans="1:37" s="362" customFormat="1" ht="20.100000000000001" customHeight="1" x14ac:dyDescent="0.3">
      <c r="A50" s="453" t="s">
        <v>198</v>
      </c>
      <c r="B50" s="734"/>
      <c r="C50" s="715"/>
      <c r="D50" s="350"/>
      <c r="E50" s="144"/>
      <c r="F50" s="350"/>
      <c r="G50" s="350"/>
      <c r="H50" s="144"/>
      <c r="I50" s="350"/>
      <c r="J50" s="350"/>
      <c r="K50" s="144"/>
      <c r="L50" s="350"/>
      <c r="M50" s="347"/>
      <c r="N50" s="144">
        <v>988.84655342999997</v>
      </c>
      <c r="O50" s="350">
        <v>1024.04442924</v>
      </c>
      <c r="P50" s="271">
        <f t="shared" si="38"/>
        <v>3.6</v>
      </c>
      <c r="Q50" s="144"/>
      <c r="R50" s="350"/>
      <c r="S50" s="271"/>
      <c r="T50" s="144"/>
      <c r="U50" s="350"/>
      <c r="V50" s="271"/>
      <c r="W50" s="144"/>
      <c r="X50" s="350">
        <f>SUM(X51+X53)</f>
        <v>0</v>
      </c>
      <c r="Y50" s="271"/>
      <c r="Z50" s="144">
        <f>SUM(Z51+Z53)</f>
        <v>1269.4108680900001</v>
      </c>
      <c r="AA50" s="350">
        <f>SUM(AA51+AA53)</f>
        <v>1672.0258863700001</v>
      </c>
      <c r="AB50" s="271"/>
      <c r="AC50" s="144"/>
      <c r="AD50" s="350"/>
      <c r="AE50" s="271"/>
      <c r="AF50" s="390">
        <f t="shared" si="35"/>
        <v>2258.2574215200002</v>
      </c>
      <c r="AG50" s="390">
        <f t="shared" si="35"/>
        <v>2696.0703156099999</v>
      </c>
      <c r="AH50" s="271">
        <f t="shared" si="23"/>
        <v>19.399999999999999</v>
      </c>
      <c r="AI50" s="390">
        <f t="shared" si="36"/>
        <v>2258.2574215200002</v>
      </c>
      <c r="AJ50" s="390">
        <f t="shared" si="36"/>
        <v>2696.0703156099999</v>
      </c>
      <c r="AK50" s="351">
        <f t="shared" si="25"/>
        <v>19.399999999999999</v>
      </c>
    </row>
    <row r="51" spans="1:37" s="362" customFormat="1" ht="20.100000000000001" customHeight="1" x14ac:dyDescent="0.3">
      <c r="A51" s="453" t="s">
        <v>465</v>
      </c>
      <c r="B51" s="734"/>
      <c r="C51" s="715"/>
      <c r="D51" s="271"/>
      <c r="E51" s="144"/>
      <c r="F51" s="350"/>
      <c r="G51" s="271"/>
      <c r="H51" s="144"/>
      <c r="I51" s="350"/>
      <c r="J51" s="271"/>
      <c r="K51" s="144"/>
      <c r="L51" s="350"/>
      <c r="M51" s="347"/>
      <c r="N51" s="144">
        <v>988.84655342999997</v>
      </c>
      <c r="O51" s="350">
        <v>1024.04442924</v>
      </c>
      <c r="P51" s="271">
        <f t="shared" si="38"/>
        <v>3.6</v>
      </c>
      <c r="Q51" s="144"/>
      <c r="R51" s="350"/>
      <c r="S51" s="271"/>
      <c r="T51" s="144"/>
      <c r="U51" s="350"/>
      <c r="V51" s="271"/>
      <c r="W51" s="144"/>
      <c r="X51" s="350"/>
      <c r="Y51" s="271"/>
      <c r="Z51" s="144"/>
      <c r="AA51" s="350"/>
      <c r="AB51" s="271"/>
      <c r="AC51" s="144"/>
      <c r="AD51" s="350"/>
      <c r="AE51" s="271"/>
      <c r="AF51" s="390">
        <f t="shared" si="35"/>
        <v>988.84655342999997</v>
      </c>
      <c r="AG51" s="390">
        <f t="shared" si="35"/>
        <v>1024.04442924</v>
      </c>
      <c r="AH51" s="271">
        <f t="shared" si="23"/>
        <v>3.6</v>
      </c>
      <c r="AI51" s="390">
        <f t="shared" si="36"/>
        <v>988.84655342999997</v>
      </c>
      <c r="AJ51" s="390">
        <f t="shared" si="36"/>
        <v>1024.04442924</v>
      </c>
      <c r="AK51" s="351">
        <f t="shared" si="25"/>
        <v>3.6</v>
      </c>
    </row>
    <row r="52" spans="1:37" s="362" customFormat="1" ht="20.100000000000001" customHeight="1" x14ac:dyDescent="0.3">
      <c r="A52" s="453" t="s">
        <v>172</v>
      </c>
      <c r="B52" s="734"/>
      <c r="C52" s="715"/>
      <c r="D52" s="350"/>
      <c r="E52" s="144"/>
      <c r="F52" s="350"/>
      <c r="G52" s="350"/>
      <c r="H52" s="144"/>
      <c r="I52" s="350"/>
      <c r="J52" s="350"/>
      <c r="K52" s="144"/>
      <c r="L52" s="350"/>
      <c r="M52" s="390"/>
      <c r="N52" s="144">
        <v>988.84655342999997</v>
      </c>
      <c r="O52" s="350">
        <v>1024.04442924</v>
      </c>
      <c r="P52" s="350"/>
      <c r="Q52" s="144"/>
      <c r="R52" s="350"/>
      <c r="S52" s="350"/>
      <c r="T52" s="144"/>
      <c r="U52" s="350"/>
      <c r="V52" s="350"/>
      <c r="W52" s="144"/>
      <c r="X52" s="350"/>
      <c r="Y52" s="350"/>
      <c r="Z52" s="144"/>
      <c r="AA52" s="350"/>
      <c r="AB52" s="350"/>
      <c r="AC52" s="144"/>
      <c r="AD52" s="350"/>
      <c r="AE52" s="350"/>
      <c r="AF52" s="390">
        <f t="shared" si="35"/>
        <v>988.84655342999997</v>
      </c>
      <c r="AG52" s="390">
        <f t="shared" si="35"/>
        <v>1024.04442924</v>
      </c>
      <c r="AH52" s="350">
        <f t="shared" si="23"/>
        <v>3.6</v>
      </c>
      <c r="AI52" s="390">
        <f t="shared" si="36"/>
        <v>988.84655342999997</v>
      </c>
      <c r="AJ52" s="390">
        <f t="shared" si="36"/>
        <v>1024.04442924</v>
      </c>
      <c r="AK52" s="488">
        <f t="shared" si="25"/>
        <v>3.6</v>
      </c>
    </row>
    <row r="53" spans="1:37" s="362" customFormat="1" ht="20.100000000000001" customHeight="1" x14ac:dyDescent="0.3">
      <c r="A53" s="453" t="s">
        <v>199</v>
      </c>
      <c r="B53" s="734"/>
      <c r="C53" s="715"/>
      <c r="D53" s="350"/>
      <c r="E53" s="144"/>
      <c r="F53" s="350"/>
      <c r="G53" s="350"/>
      <c r="H53" s="144"/>
      <c r="I53" s="350"/>
      <c r="J53" s="350"/>
      <c r="K53" s="144"/>
      <c r="L53" s="350"/>
      <c r="M53" s="347"/>
      <c r="N53" s="144">
        <v>0</v>
      </c>
      <c r="O53" s="350">
        <v>0</v>
      </c>
      <c r="P53" s="271" t="str">
        <f t="shared" si="38"/>
        <v xml:space="preserve">    ---- </v>
      </c>
      <c r="Q53" s="144"/>
      <c r="R53" s="350"/>
      <c r="S53" s="271"/>
      <c r="T53" s="144"/>
      <c r="U53" s="350"/>
      <c r="V53" s="271"/>
      <c r="W53" s="144"/>
      <c r="X53" s="350"/>
      <c r="Y53" s="271"/>
      <c r="Z53" s="144">
        <v>1269.4108680900001</v>
      </c>
      <c r="AA53" s="350">
        <v>1672.0258863700001</v>
      </c>
      <c r="AB53" s="271"/>
      <c r="AC53" s="144"/>
      <c r="AD53" s="350"/>
      <c r="AE53" s="271"/>
      <c r="AF53" s="390">
        <f t="shared" si="35"/>
        <v>1269.4108680900001</v>
      </c>
      <c r="AG53" s="390">
        <f t="shared" si="35"/>
        <v>1672.0258863700001</v>
      </c>
      <c r="AH53" s="271">
        <f t="shared" si="23"/>
        <v>31.7</v>
      </c>
      <c r="AI53" s="390">
        <f t="shared" si="36"/>
        <v>1269.4108680900001</v>
      </c>
      <c r="AJ53" s="390">
        <f t="shared" si="36"/>
        <v>1672.0258863700001</v>
      </c>
      <c r="AK53" s="351">
        <f t="shared" si="25"/>
        <v>31.7</v>
      </c>
    </row>
    <row r="54" spans="1:37" s="362" customFormat="1" ht="20.100000000000001" customHeight="1" x14ac:dyDescent="0.3">
      <c r="A54" s="453" t="s">
        <v>200</v>
      </c>
      <c r="B54" s="734">
        <f>SUM(B55:B59)</f>
        <v>161494.24915409231</v>
      </c>
      <c r="C54" s="715">
        <f>SUM(C55+C56+C57+C58+C59)</f>
        <v>196089.02899999998</v>
      </c>
      <c r="D54" s="350">
        <f t="shared" si="20"/>
        <v>21.4</v>
      </c>
      <c r="E54" s="144"/>
      <c r="F54" s="350"/>
      <c r="G54" s="350"/>
      <c r="H54" s="144"/>
      <c r="I54" s="350"/>
      <c r="J54" s="350"/>
      <c r="K54" s="144">
        <f>SUM(K55:K59)</f>
        <v>57985</v>
      </c>
      <c r="L54" s="350">
        <f>SUM(L55+L56+L57+L58+L59)</f>
        <v>74912</v>
      </c>
      <c r="M54" s="390">
        <f>IF(K54=0, "    ---- ", IF(ABS(ROUND(100/K54*L54-100,1))&lt;999,ROUND(100/K54*L54-100,1),IF(ROUND(100/K54*L54-100,1)&gt;999,999,-999)))</f>
        <v>29.2</v>
      </c>
      <c r="N54" s="144">
        <v>1487.9530520300002</v>
      </c>
      <c r="O54" s="350">
        <v>1728.4834318600001</v>
      </c>
      <c r="P54" s="350">
        <f t="shared" si="38"/>
        <v>16.2</v>
      </c>
      <c r="Q54" s="144">
        <f>SUM(Q55:Q59)</f>
        <v>144228.32999999999</v>
      </c>
      <c r="R54" s="350">
        <f>SUM(R55+R56+R57+R58+R59)</f>
        <v>180577.18000000002</v>
      </c>
      <c r="S54" s="350">
        <f t="shared" si="27"/>
        <v>25.2</v>
      </c>
      <c r="T54" s="144"/>
      <c r="U54" s="350"/>
      <c r="V54" s="350"/>
      <c r="W54" s="144">
        <f>SUM(W55:W59)</f>
        <v>67116.136999999988</v>
      </c>
      <c r="X54" s="350">
        <f>SUM(X55+X56+X57+X58+X59)</f>
        <v>83005.569999999992</v>
      </c>
      <c r="Y54" s="350">
        <f t="shared" si="21"/>
        <v>23.7</v>
      </c>
      <c r="Z54" s="144">
        <f>SUM(Z55:Z59)</f>
        <v>201346.15479773996</v>
      </c>
      <c r="AA54" s="350">
        <f>SUM(AA55+AA56+AA57+AA58+AA59)</f>
        <v>241116.05841254999</v>
      </c>
      <c r="AB54" s="350">
        <f t="shared" si="29"/>
        <v>19.8</v>
      </c>
      <c r="AC54" s="144"/>
      <c r="AD54" s="350"/>
      <c r="AE54" s="350"/>
      <c r="AF54" s="390">
        <f t="shared" si="35"/>
        <v>633657.82400386222</v>
      </c>
      <c r="AG54" s="390">
        <f t="shared" si="35"/>
        <v>777428.32084440999</v>
      </c>
      <c r="AH54" s="350">
        <f t="shared" si="23"/>
        <v>22.7</v>
      </c>
      <c r="AI54" s="390">
        <f t="shared" si="36"/>
        <v>633657.82400386222</v>
      </c>
      <c r="AJ54" s="390">
        <f t="shared" si="36"/>
        <v>777428.32084440999</v>
      </c>
      <c r="AK54" s="488">
        <f t="shared" si="25"/>
        <v>22.7</v>
      </c>
    </row>
    <row r="55" spans="1:37" s="362" customFormat="1" ht="20.100000000000001" customHeight="1" x14ac:dyDescent="0.3">
      <c r="A55" s="453" t="s">
        <v>201</v>
      </c>
      <c r="B55" s="734">
        <v>100658.04534949605</v>
      </c>
      <c r="C55" s="715">
        <v>127592.89200000001</v>
      </c>
      <c r="D55" s="350">
        <f t="shared" si="20"/>
        <v>26.8</v>
      </c>
      <c r="E55" s="144"/>
      <c r="F55" s="350"/>
      <c r="G55" s="350"/>
      <c r="H55" s="144"/>
      <c r="I55" s="350"/>
      <c r="J55" s="350"/>
      <c r="K55" s="144">
        <v>48177</v>
      </c>
      <c r="L55" s="350">
        <v>62546</v>
      </c>
      <c r="M55" s="347">
        <f>IF(K55=0, "    ---- ", IF(ABS(ROUND(100/K55*L55-100,1))&lt;999,ROUND(100/K55*L55-100,1),IF(ROUND(100/K55*L55-100,1)&gt;999,999,-999)))</f>
        <v>29.8</v>
      </c>
      <c r="N55" s="144">
        <v>1104.2010405599999</v>
      </c>
      <c r="O55" s="350">
        <v>1378.8381204000002</v>
      </c>
      <c r="P55" s="271">
        <f t="shared" si="38"/>
        <v>24.9</v>
      </c>
      <c r="Q55" s="144">
        <v>93319.13</v>
      </c>
      <c r="R55" s="350">
        <v>119432.32000000001</v>
      </c>
      <c r="S55" s="271">
        <f t="shared" si="27"/>
        <v>28</v>
      </c>
      <c r="T55" s="144"/>
      <c r="U55" s="350"/>
      <c r="V55" s="271"/>
      <c r="W55" s="144">
        <v>43661.803999999996</v>
      </c>
      <c r="X55" s="350">
        <v>55564.673000000003</v>
      </c>
      <c r="Y55" s="271">
        <f t="shared" si="21"/>
        <v>27.3</v>
      </c>
      <c r="Z55" s="144">
        <v>143577.36937745998</v>
      </c>
      <c r="AA55" s="350">
        <v>181407.39910114001</v>
      </c>
      <c r="AB55" s="271">
        <f t="shared" si="29"/>
        <v>26.3</v>
      </c>
      <c r="AC55" s="144"/>
      <c r="AD55" s="350"/>
      <c r="AE55" s="271"/>
      <c r="AF55" s="390">
        <f t="shared" si="35"/>
        <v>430497.54976751603</v>
      </c>
      <c r="AG55" s="390">
        <f t="shared" si="35"/>
        <v>547922.12222154008</v>
      </c>
      <c r="AH55" s="271">
        <f t="shared" si="23"/>
        <v>27.3</v>
      </c>
      <c r="AI55" s="390">
        <f t="shared" si="36"/>
        <v>430497.54976751603</v>
      </c>
      <c r="AJ55" s="390">
        <f t="shared" si="36"/>
        <v>547922.12222154008</v>
      </c>
      <c r="AK55" s="351">
        <f t="shared" si="25"/>
        <v>27.3</v>
      </c>
    </row>
    <row r="56" spans="1:37" s="362" customFormat="1" ht="20.100000000000001" customHeight="1" x14ac:dyDescent="0.3">
      <c r="A56" s="453" t="s">
        <v>466</v>
      </c>
      <c r="B56" s="734">
        <v>59297.173149886279</v>
      </c>
      <c r="C56" s="715">
        <v>66632.451000000001</v>
      </c>
      <c r="D56" s="350">
        <f t="shared" si="20"/>
        <v>12.4</v>
      </c>
      <c r="E56" s="144"/>
      <c r="F56" s="350"/>
      <c r="G56" s="350"/>
      <c r="H56" s="144"/>
      <c r="I56" s="350"/>
      <c r="J56" s="350"/>
      <c r="K56" s="144">
        <v>9722</v>
      </c>
      <c r="L56" s="350">
        <v>12082</v>
      </c>
      <c r="M56" s="347">
        <f>IF(K56=0, "    ---- ", IF(ABS(ROUND(100/K56*L56-100,1))&lt;999,ROUND(100/K56*L56-100,1),IF(ROUND(100/K56*L56-100,1)&gt;999,999,-999)))</f>
        <v>24.3</v>
      </c>
      <c r="N56" s="144">
        <v>257.20745527000003</v>
      </c>
      <c r="O56" s="350">
        <v>311.09005279000002</v>
      </c>
      <c r="P56" s="271">
        <f t="shared" si="38"/>
        <v>20.9</v>
      </c>
      <c r="Q56" s="144">
        <v>49551.97</v>
      </c>
      <c r="R56" s="350">
        <v>61614.15</v>
      </c>
      <c r="S56" s="271">
        <f t="shared" si="27"/>
        <v>24.3</v>
      </c>
      <c r="T56" s="144"/>
      <c r="U56" s="350"/>
      <c r="V56" s="271"/>
      <c r="W56" s="144">
        <v>22303.171999999999</v>
      </c>
      <c r="X56" s="350">
        <v>26800.9</v>
      </c>
      <c r="Y56" s="271">
        <f t="shared" si="21"/>
        <v>20.2</v>
      </c>
      <c r="Z56" s="144">
        <v>54052.108922040003</v>
      </c>
      <c r="AA56" s="350">
        <v>59414.406023789998</v>
      </c>
      <c r="AB56" s="271">
        <f t="shared" si="29"/>
        <v>9.9</v>
      </c>
      <c r="AC56" s="144"/>
      <c r="AD56" s="350"/>
      <c r="AE56" s="271"/>
      <c r="AF56" s="390">
        <f t="shared" si="35"/>
        <v>195183.6315271963</v>
      </c>
      <c r="AG56" s="390">
        <f t="shared" si="35"/>
        <v>226854.99707658001</v>
      </c>
      <c r="AH56" s="271">
        <f t="shared" si="23"/>
        <v>16.2</v>
      </c>
      <c r="AI56" s="390">
        <f t="shared" si="36"/>
        <v>195183.6315271963</v>
      </c>
      <c r="AJ56" s="390">
        <f t="shared" si="36"/>
        <v>226854.99707658001</v>
      </c>
      <c r="AK56" s="351">
        <f t="shared" si="25"/>
        <v>16.2</v>
      </c>
    </row>
    <row r="57" spans="1:37" s="362" customFormat="1" ht="20.100000000000001" customHeight="1" x14ac:dyDescent="0.3">
      <c r="A57" s="453" t="s">
        <v>202</v>
      </c>
      <c r="B57" s="734">
        <v>1539.0306547100001</v>
      </c>
      <c r="C57" s="715">
        <v>1863.6859999999999</v>
      </c>
      <c r="D57" s="271">
        <f t="shared" si="20"/>
        <v>21.1</v>
      </c>
      <c r="E57" s="144"/>
      <c r="F57" s="350"/>
      <c r="G57" s="271"/>
      <c r="H57" s="144"/>
      <c r="I57" s="350"/>
      <c r="J57" s="271"/>
      <c r="K57" s="144">
        <v>-30</v>
      </c>
      <c r="L57" s="350">
        <v>36</v>
      </c>
      <c r="M57" s="271">
        <f>IF(K57=0, "    ---- ", IF(ABS(ROUND(100/K57*L57-100,1))&lt;999,ROUND(100/K57*L57-100,1),IF(ROUND(100/K57*L57-100,1)&gt;999,999,-999)))</f>
        <v>-220</v>
      </c>
      <c r="N57" s="144">
        <v>102.21868687</v>
      </c>
      <c r="O57" s="350">
        <v>35.937651880000004</v>
      </c>
      <c r="P57" s="271">
        <f t="shared" si="38"/>
        <v>-64.8</v>
      </c>
      <c r="Q57" s="144"/>
      <c r="R57" s="350"/>
      <c r="S57" s="271"/>
      <c r="T57" s="144"/>
      <c r="U57" s="350"/>
      <c r="V57" s="271"/>
      <c r="W57" s="144">
        <v>76.510999999999996</v>
      </c>
      <c r="X57" s="350">
        <v>103.063</v>
      </c>
      <c r="Y57" s="271"/>
      <c r="Z57" s="144">
        <v>134.69543458999999</v>
      </c>
      <c r="AA57" s="350"/>
      <c r="AB57" s="271">
        <f t="shared" si="29"/>
        <v>-100</v>
      </c>
      <c r="AC57" s="144"/>
      <c r="AD57" s="350"/>
      <c r="AE57" s="271"/>
      <c r="AF57" s="390">
        <f t="shared" si="35"/>
        <v>1822.4557761700003</v>
      </c>
      <c r="AG57" s="390">
        <f t="shared" si="35"/>
        <v>2038.68665188</v>
      </c>
      <c r="AH57" s="271">
        <f t="shared" si="23"/>
        <v>11.9</v>
      </c>
      <c r="AI57" s="390">
        <f t="shared" si="36"/>
        <v>1822.4557761700003</v>
      </c>
      <c r="AJ57" s="390">
        <f t="shared" si="36"/>
        <v>2038.68665188</v>
      </c>
      <c r="AK57" s="351">
        <f t="shared" si="25"/>
        <v>11.9</v>
      </c>
    </row>
    <row r="58" spans="1:37" s="362" customFormat="1" ht="20.100000000000001" customHeight="1" x14ac:dyDescent="0.3">
      <c r="A58" s="453" t="s">
        <v>203</v>
      </c>
      <c r="B58" s="734"/>
      <c r="C58" s="715"/>
      <c r="D58" s="271"/>
      <c r="E58" s="144"/>
      <c r="F58" s="350"/>
      <c r="G58" s="271"/>
      <c r="H58" s="144"/>
      <c r="I58" s="350"/>
      <c r="J58" s="271"/>
      <c r="K58" s="144"/>
      <c r="L58" s="350"/>
      <c r="M58" s="271"/>
      <c r="N58" s="144">
        <v>24.34417505</v>
      </c>
      <c r="O58" s="350">
        <v>2.5865192599999998</v>
      </c>
      <c r="P58" s="271">
        <f t="shared" si="38"/>
        <v>-89.4</v>
      </c>
      <c r="Q58" s="144">
        <v>780.08</v>
      </c>
      <c r="R58" s="350">
        <v>-1124.27</v>
      </c>
      <c r="S58" s="271">
        <f t="shared" si="27"/>
        <v>-244.1</v>
      </c>
      <c r="T58" s="144"/>
      <c r="U58" s="350"/>
      <c r="V58" s="271"/>
      <c r="W58" s="144">
        <v>837.7</v>
      </c>
      <c r="X58" s="350"/>
      <c r="Y58" s="271"/>
      <c r="Z58" s="144">
        <v>3581.9810636499988</v>
      </c>
      <c r="AA58" s="350">
        <v>294.25328761999998</v>
      </c>
      <c r="AB58" s="271">
        <f t="shared" si="29"/>
        <v>-91.8</v>
      </c>
      <c r="AC58" s="144"/>
      <c r="AD58" s="350"/>
      <c r="AE58" s="271"/>
      <c r="AF58" s="390">
        <f t="shared" si="35"/>
        <v>5224.1052386999991</v>
      </c>
      <c r="AG58" s="390">
        <f t="shared" si="35"/>
        <v>-827.43019312000001</v>
      </c>
      <c r="AH58" s="271">
        <f t="shared" si="23"/>
        <v>-115.8</v>
      </c>
      <c r="AI58" s="390">
        <f t="shared" si="36"/>
        <v>5224.1052386999991</v>
      </c>
      <c r="AJ58" s="390">
        <f t="shared" si="36"/>
        <v>-827.43019312000001</v>
      </c>
      <c r="AK58" s="351">
        <f t="shared" si="25"/>
        <v>-115.8</v>
      </c>
    </row>
    <row r="59" spans="1:37" s="362" customFormat="1" ht="20.100000000000001" customHeight="1" x14ac:dyDescent="0.3">
      <c r="A59" s="453" t="s">
        <v>204</v>
      </c>
      <c r="B59" s="734"/>
      <c r="C59" s="715"/>
      <c r="D59" s="271"/>
      <c r="E59" s="144"/>
      <c r="F59" s="350"/>
      <c r="G59" s="271"/>
      <c r="H59" s="144"/>
      <c r="I59" s="350"/>
      <c r="J59" s="271"/>
      <c r="K59" s="144">
        <v>116</v>
      </c>
      <c r="L59" s="350">
        <v>248</v>
      </c>
      <c r="M59" s="271">
        <f>IF(K59=0, "    ---- ", IF(ABS(ROUND(100/K59*L59-100,1))&lt;999,ROUND(100/K59*L59-100,1),IF(ROUND(100/K59*L59-100,1)&gt;999,999,-999)))</f>
        <v>113.8</v>
      </c>
      <c r="N59" s="144">
        <v>-1.8305720000000001E-2</v>
      </c>
      <c r="O59" s="350">
        <v>3.1087529999999999E-2</v>
      </c>
      <c r="P59" s="271">
        <f t="shared" si="38"/>
        <v>-269.8</v>
      </c>
      <c r="Q59" s="144">
        <v>577.15</v>
      </c>
      <c r="R59" s="350">
        <v>654.98</v>
      </c>
      <c r="S59" s="271">
        <f t="shared" si="27"/>
        <v>13.5</v>
      </c>
      <c r="T59" s="144"/>
      <c r="U59" s="350"/>
      <c r="V59" s="271"/>
      <c r="W59" s="144">
        <v>236.95</v>
      </c>
      <c r="X59" s="350">
        <v>536.93399999999997</v>
      </c>
      <c r="Y59" s="271">
        <f t="shared" si="21"/>
        <v>126.6</v>
      </c>
      <c r="Z59" s="144"/>
      <c r="AA59" s="350"/>
      <c r="AB59" s="271" t="str">
        <f t="shared" si="29"/>
        <v xml:space="preserve">    ---- </v>
      </c>
      <c r="AC59" s="144"/>
      <c r="AD59" s="350"/>
      <c r="AE59" s="271"/>
      <c r="AF59" s="390">
        <f t="shared" si="35"/>
        <v>930.08169427999997</v>
      </c>
      <c r="AG59" s="390">
        <f t="shared" si="35"/>
        <v>1439.9450875299999</v>
      </c>
      <c r="AH59" s="271">
        <f t="shared" si="23"/>
        <v>54.8</v>
      </c>
      <c r="AI59" s="390">
        <f t="shared" si="36"/>
        <v>930.08169427999997</v>
      </c>
      <c r="AJ59" s="390">
        <f t="shared" si="36"/>
        <v>1439.9450875299999</v>
      </c>
      <c r="AK59" s="351">
        <f t="shared" si="25"/>
        <v>54.8</v>
      </c>
    </row>
    <row r="60" spans="1:37" s="362" customFormat="1" ht="20.100000000000001" customHeight="1" x14ac:dyDescent="0.3">
      <c r="A60" s="487" t="s">
        <v>205</v>
      </c>
      <c r="B60" s="734">
        <f>SUM(B48+B49+B50+B54)</f>
        <v>166722.26041610329</v>
      </c>
      <c r="C60" s="715">
        <f>SUM(C48+C49+C50+C54)</f>
        <v>202254.88099999999</v>
      </c>
      <c r="D60" s="271">
        <f t="shared" si="20"/>
        <v>21.3</v>
      </c>
      <c r="E60" s="144"/>
      <c r="F60" s="350"/>
      <c r="G60" s="271"/>
      <c r="H60" s="144"/>
      <c r="I60" s="350"/>
      <c r="J60" s="271"/>
      <c r="K60" s="144">
        <f>SUM(K48+K49+K50+K54)</f>
        <v>59856</v>
      </c>
      <c r="L60" s="350">
        <f>SUM(L48+L49+L50+L54)</f>
        <v>76892</v>
      </c>
      <c r="M60" s="271">
        <f>IF(K60=0, "    ---- ", IF(ABS(ROUND(100/K60*L60-100,1))&lt;999,ROUND(100/K60*L60-100,1),IF(ROUND(100/K60*L60-100,1)&gt;999,999,-999)))</f>
        <v>28.5</v>
      </c>
      <c r="N60" s="144">
        <v>2830.3757853000002</v>
      </c>
      <c r="O60" s="350">
        <v>3134.6823589400001</v>
      </c>
      <c r="P60" s="271">
        <f t="shared" si="38"/>
        <v>10.8</v>
      </c>
      <c r="Q60" s="144">
        <f>SUM(Q48+Q49+Q50+Q54)</f>
        <v>147002.41999999998</v>
      </c>
      <c r="R60" s="350">
        <f>SUM(R48+R49+R50+R54)</f>
        <v>184044.83000000002</v>
      </c>
      <c r="S60" s="271">
        <f t="shared" si="27"/>
        <v>25.2</v>
      </c>
      <c r="T60" s="144"/>
      <c r="U60" s="350"/>
      <c r="V60" s="271"/>
      <c r="W60" s="144">
        <f>SUM(W48+W49+W50+W54)</f>
        <v>68383.416999999987</v>
      </c>
      <c r="X60" s="350">
        <f>SUM(X48+X49+X50+X54)</f>
        <v>84221.76999999999</v>
      </c>
      <c r="Y60" s="271">
        <f t="shared" si="21"/>
        <v>23.2</v>
      </c>
      <c r="Z60" s="144">
        <f>SUM(Z48+Z49+Z50+Z54)</f>
        <v>208934.08803154997</v>
      </c>
      <c r="AA60" s="350">
        <f>SUM(AA48+AA49+AA50+AA54)</f>
        <v>250605.87647079999</v>
      </c>
      <c r="AB60" s="271">
        <f t="shared" si="29"/>
        <v>19.899999999999999</v>
      </c>
      <c r="AC60" s="144"/>
      <c r="AD60" s="350"/>
      <c r="AE60" s="271"/>
      <c r="AF60" s="390">
        <f t="shared" si="35"/>
        <v>653728.56123295322</v>
      </c>
      <c r="AG60" s="390">
        <f t="shared" si="35"/>
        <v>801154.03982974007</v>
      </c>
      <c r="AH60" s="271">
        <f t="shared" si="23"/>
        <v>22.6</v>
      </c>
      <c r="AI60" s="390">
        <f t="shared" si="36"/>
        <v>653728.56123295322</v>
      </c>
      <c r="AJ60" s="390">
        <f t="shared" si="36"/>
        <v>801154.03982974007</v>
      </c>
      <c r="AK60" s="351">
        <f t="shared" si="25"/>
        <v>22.6</v>
      </c>
    </row>
    <row r="61" spans="1:37" s="362" customFormat="1" ht="20.100000000000001" customHeight="1" x14ac:dyDescent="0.3">
      <c r="A61" s="465" t="s">
        <v>298</v>
      </c>
      <c r="B61" s="734"/>
      <c r="C61" s="715"/>
      <c r="D61" s="271"/>
      <c r="E61" s="144"/>
      <c r="F61" s="350"/>
      <c r="G61" s="271"/>
      <c r="H61" s="144"/>
      <c r="I61" s="350"/>
      <c r="J61" s="271"/>
      <c r="K61" s="144">
        <v>2</v>
      </c>
      <c r="L61" s="350">
        <v>2</v>
      </c>
      <c r="M61" s="271"/>
      <c r="N61" s="144"/>
      <c r="O61" s="350"/>
      <c r="P61" s="271"/>
      <c r="Q61" s="144"/>
      <c r="R61" s="350"/>
      <c r="S61" s="271"/>
      <c r="T61" s="144"/>
      <c r="U61" s="350"/>
      <c r="V61" s="271"/>
      <c r="W61" s="144"/>
      <c r="X61" s="350"/>
      <c r="Y61" s="271"/>
      <c r="Z61" s="144"/>
      <c r="AA61" s="350"/>
      <c r="AB61" s="271"/>
      <c r="AC61" s="144"/>
      <c r="AD61" s="350"/>
      <c r="AE61" s="271"/>
      <c r="AF61" s="390">
        <f t="shared" si="35"/>
        <v>2</v>
      </c>
      <c r="AG61" s="390">
        <f t="shared" si="35"/>
        <v>2</v>
      </c>
      <c r="AH61" s="271">
        <f t="shared" si="23"/>
        <v>0</v>
      </c>
      <c r="AI61" s="390">
        <f>B61+E61+H61+K61+N61+Q61+T61+W61+Z61+AC61</f>
        <v>2</v>
      </c>
      <c r="AJ61" s="390">
        <f t="shared" si="36"/>
        <v>2</v>
      </c>
      <c r="AK61" s="351">
        <f t="shared" si="25"/>
        <v>0</v>
      </c>
    </row>
    <row r="62" spans="1:37" s="362" customFormat="1" ht="20.100000000000001" customHeight="1" x14ac:dyDescent="0.3">
      <c r="A62" s="453" t="s">
        <v>206</v>
      </c>
      <c r="B62" s="734">
        <f>SUM(B45+B46+B60+B61)</f>
        <v>359565.52135854331</v>
      </c>
      <c r="C62" s="715">
        <f>SUM(C45+C46+C60+C61)</f>
        <v>390154.74</v>
      </c>
      <c r="D62" s="271">
        <f t="shared" si="20"/>
        <v>8.5</v>
      </c>
      <c r="E62" s="144">
        <f>SUM(E45+E46+E60+E61)</f>
        <v>9358.3208823900004</v>
      </c>
      <c r="F62" s="350">
        <f>SUM(F45+F46+F60+F61)</f>
        <v>9960.1466090800004</v>
      </c>
      <c r="G62" s="271">
        <f>IF(E62=0, "    ---- ", IF(ABS(ROUND(100/E62*F62-100,1))&lt;999,ROUND(100/E62*F62-100,1),IF(ROUND(100/E62*F62-100,1)&gt;999,999,-999)))</f>
        <v>6.4</v>
      </c>
      <c r="H62" s="144">
        <f>SUM(H45+H46+H60+H61)</f>
        <v>1901.1369999999999</v>
      </c>
      <c r="I62" s="350">
        <f>SUM(I45+I46+I60+I61)</f>
        <v>2194.8610000000003</v>
      </c>
      <c r="J62" s="271">
        <f>IF(H62=0, "    ---- ", IF(ABS(ROUND(100/H62*I62-100,1))&lt;999,ROUND(100/H62*I62-100,1),IF(ROUND(100/H62*I62-100,1)&gt;999,999,-999)))</f>
        <v>15.4</v>
      </c>
      <c r="K62" s="144">
        <f>SUM(K45+K46+K60+K61)</f>
        <v>69656</v>
      </c>
      <c r="L62" s="350">
        <f>SUM(L45+L46+L60+L61)</f>
        <v>87802</v>
      </c>
      <c r="M62" s="271">
        <f>IF(K62=0, "    ---- ", IF(ABS(ROUND(100/K62*L62-100,1))&lt;999,ROUND(100/K62*L62-100,1),IF(ROUND(100/K62*L62-100,1)&gt;999,999,-999)))</f>
        <v>26.1</v>
      </c>
      <c r="N62" s="144">
        <v>737167.59038744005</v>
      </c>
      <c r="O62" s="350">
        <v>806575.78167733003</v>
      </c>
      <c r="P62" s="271">
        <f>IF(N62=0, "    ---- ", IF(ABS(ROUND(100/N62*O62-100,1))&lt;999,ROUND(100/N62*O62-100,1),IF(ROUND(100/N62*O62-100,1)&gt;999,999,-999)))</f>
        <v>9.4</v>
      </c>
      <c r="Q62" s="144">
        <f>SUM(Q45+Q46+Q60+Q61)</f>
        <v>201689.31378043999</v>
      </c>
      <c r="R62" s="350">
        <f>SUM(R45+R46+R60+R61)</f>
        <v>239462.42991024992</v>
      </c>
      <c r="S62" s="271">
        <f t="shared" si="27"/>
        <v>18.7</v>
      </c>
      <c r="T62" s="144">
        <f>SUM(T45+T46+T60+T61)</f>
        <v>123832</v>
      </c>
      <c r="U62" s="350">
        <f>SUM(U45+U46+U60+U61)</f>
        <v>134598</v>
      </c>
      <c r="V62" s="271">
        <f>IF(T62=0, "    ---- ", IF(ABS(ROUND(100/T62*U62-100,1))&lt;999,ROUND(100/T62*U62-100,1),IF(ROUND(100/T62*U62-100,1)&gt;999,999,-999)))</f>
        <v>8.6999999999999993</v>
      </c>
      <c r="W62" s="144">
        <f>SUM(W45+W46+W60+W61)</f>
        <v>91881.412999999986</v>
      </c>
      <c r="X62" s="350">
        <f>SUM(X45+X46+X60+X61)</f>
        <v>108836.23499999999</v>
      </c>
      <c r="Y62" s="271">
        <f t="shared" si="21"/>
        <v>18.5</v>
      </c>
      <c r="Z62" s="144">
        <f>SUM(Z45+Z46+Z60+Z61)</f>
        <v>422290.23317135993</v>
      </c>
      <c r="AA62" s="350">
        <f>SUM(AA45+AA46+AA60+AA61)</f>
        <v>468626.03157463996</v>
      </c>
      <c r="AB62" s="271">
        <f t="shared" si="29"/>
        <v>11</v>
      </c>
      <c r="AC62" s="144">
        <f>SUM(AC45+AC46+AC60+AC61)</f>
        <v>18</v>
      </c>
      <c r="AD62" s="350">
        <f>SUM(AD45+AD46+AD60+AD61)</f>
        <v>20</v>
      </c>
      <c r="AE62" s="271">
        <f>IF(AC62=0, "    ---- ", IF(ABS(ROUND(100/AC62*AD62-100,1))&lt;999,ROUND(100/AC62*AD62-100,1),IF(ROUND(100/AC62*AD62-100,1)&gt;999,999,-999)))</f>
        <v>11.1</v>
      </c>
      <c r="AF62" s="390">
        <f t="shared" si="35"/>
        <v>2017341.5295801731</v>
      </c>
      <c r="AG62" s="390">
        <f t="shared" si="35"/>
        <v>2248210.2257713</v>
      </c>
      <c r="AH62" s="271">
        <f t="shared" si="23"/>
        <v>11.4</v>
      </c>
      <c r="AI62" s="390">
        <f>B62+E62+H62+K62+N62+Q62+T62+W62+Z62+AC62</f>
        <v>2017359.5295801731</v>
      </c>
      <c r="AJ62" s="390">
        <f t="shared" si="36"/>
        <v>2248230.2257713</v>
      </c>
      <c r="AK62" s="351">
        <f t="shared" si="25"/>
        <v>11.4</v>
      </c>
    </row>
    <row r="63" spans="1:37" s="370" customFormat="1" ht="20.100000000000001" customHeight="1" x14ac:dyDescent="0.3">
      <c r="A63" s="465"/>
      <c r="B63" s="732"/>
      <c r="C63" s="733"/>
      <c r="D63" s="348"/>
      <c r="E63" s="146"/>
      <c r="F63" s="349"/>
      <c r="G63" s="348"/>
      <c r="H63" s="146"/>
      <c r="I63" s="349"/>
      <c r="J63" s="348"/>
      <c r="K63" s="146"/>
      <c r="L63" s="349"/>
      <c r="M63" s="352"/>
      <c r="N63" s="146"/>
      <c r="O63" s="349"/>
      <c r="P63" s="348"/>
      <c r="Q63" s="146"/>
      <c r="R63" s="349"/>
      <c r="S63" s="348"/>
      <c r="T63" s="146"/>
      <c r="U63" s="349"/>
      <c r="V63" s="348"/>
      <c r="W63" s="146"/>
      <c r="X63" s="349"/>
      <c r="Y63" s="348"/>
      <c r="Z63" s="146"/>
      <c r="AA63" s="349"/>
      <c r="AB63" s="348"/>
      <c r="AC63" s="146"/>
      <c r="AD63" s="349"/>
      <c r="AE63" s="348"/>
      <c r="AF63" s="352"/>
      <c r="AG63" s="352"/>
      <c r="AH63" s="348"/>
      <c r="AI63" s="352"/>
      <c r="AJ63" s="352"/>
      <c r="AK63" s="353"/>
    </row>
    <row r="64" spans="1:37" s="370" customFormat="1" ht="20.100000000000001" customHeight="1" x14ac:dyDescent="0.3">
      <c r="A64" s="465" t="s">
        <v>207</v>
      </c>
      <c r="B64" s="732">
        <f>SUM(B29+B62)</f>
        <v>392512.1590321933</v>
      </c>
      <c r="C64" s="733">
        <f>SUM(C29+C62)</f>
        <v>422073.98134417</v>
      </c>
      <c r="D64" s="348">
        <f t="shared" si="20"/>
        <v>7.5</v>
      </c>
      <c r="E64" s="146">
        <f>SUM(E29+E62)</f>
        <v>13589.20180639</v>
      </c>
      <c r="F64" s="349">
        <f>SUM(F29+F62)</f>
        <v>14479.090889470001</v>
      </c>
      <c r="G64" s="348">
        <f>IF(E64=0, "    ---- ", IF(ABS(ROUND(100/E64*F64-100,1))&lt;999,ROUND(100/E64*F64-100,1),IF(ROUND(100/E64*F64-100,1)&gt;999,999,-999)))</f>
        <v>6.5</v>
      </c>
      <c r="H64" s="146">
        <f>SUM(H29+H62)</f>
        <v>2435.2600000000002</v>
      </c>
      <c r="I64" s="349">
        <f>SUM(I29+I62)</f>
        <v>2844.8550000000005</v>
      </c>
      <c r="J64" s="348">
        <f>IF(H64=0, "    ---- ", IF(ABS(ROUND(100/H64*I64-100,1))&lt;999,ROUND(100/H64*I64-100,1),IF(ROUND(100/H64*I64-100,1)&gt;999,999,-999)))</f>
        <v>16.8</v>
      </c>
      <c r="K64" s="146">
        <f>SUM(K29+K62)</f>
        <v>71258</v>
      </c>
      <c r="L64" s="349">
        <f>SUM(L29+L62)</f>
        <v>89504</v>
      </c>
      <c r="M64" s="352">
        <f>IF(K64=0, "    ---- ", IF(ABS(ROUND(100/K64*L64-100,1))&lt;999,ROUND(100/K64*L64-100,1),IF(ROUND(100/K64*L64-100,1)&gt;999,999,-999)))</f>
        <v>25.6</v>
      </c>
      <c r="N64" s="146">
        <v>787166.58794066007</v>
      </c>
      <c r="O64" s="349">
        <v>863946.07267890999</v>
      </c>
      <c r="P64" s="348">
        <f>IF(N64=0, "    ---- ", IF(ABS(ROUND(100/N64*O64-100,1))&lt;999,ROUND(100/N64*O64-100,1),IF(ROUND(100/N64*O64-100,1)&gt;999,999,-999)))</f>
        <v>9.8000000000000007</v>
      </c>
      <c r="Q64" s="146">
        <f>SUM(Q29+Q62)</f>
        <v>214001.69378043999</v>
      </c>
      <c r="R64" s="349">
        <f>SUM(R29+R62)</f>
        <v>251714.17991024992</v>
      </c>
      <c r="S64" s="348">
        <f t="shared" si="27"/>
        <v>17.600000000000001</v>
      </c>
      <c r="T64" s="146">
        <f>SUM(T29+T62)</f>
        <v>136687</v>
      </c>
      <c r="U64" s="349">
        <f>SUM(U29+U62)</f>
        <v>146635</v>
      </c>
      <c r="V64" s="348">
        <f>IF(T64=0, "    ---- ", IF(ABS(ROUND(100/T64*U64-100,1))&lt;999,ROUND(100/T64*U64-100,1),IF(ROUND(100/T64*U64-100,1)&gt;999,999,-999)))</f>
        <v>7.3</v>
      </c>
      <c r="W64" s="146">
        <f>SUM(W29+W62)</f>
        <v>99378.104999999981</v>
      </c>
      <c r="X64" s="349">
        <f>SUM(X29+X62)</f>
        <v>115561.03399999999</v>
      </c>
      <c r="Y64" s="348">
        <f t="shared" si="21"/>
        <v>16.3</v>
      </c>
      <c r="Z64" s="146">
        <f>SUM(Z29+Z62)</f>
        <v>504231.77304601611</v>
      </c>
      <c r="AA64" s="349">
        <f>SUM(AA29+AA62)</f>
        <v>550569.14989483997</v>
      </c>
      <c r="AB64" s="348">
        <f t="shared" si="29"/>
        <v>9.1999999999999993</v>
      </c>
      <c r="AC64" s="146">
        <f>SUM(AC29+AC62)</f>
        <v>72</v>
      </c>
      <c r="AD64" s="349">
        <f>SUM(AD29+AD62)</f>
        <v>147</v>
      </c>
      <c r="AE64" s="348">
        <f>IF(AC64=0, "    ---- ", IF(ABS(ROUND(100/AC64*AD64-100,1))&lt;999,ROUND(100/AC64*AD64-100,1),IF(ROUND(100/AC64*AD64-100,1)&gt;999,999,-999)))</f>
        <v>104.2</v>
      </c>
      <c r="AF64" s="489">
        <f t="shared" ref="AF64:AG64" si="39">B64+E64+H64+K64+N64+Q64+T64+W64+Z64</f>
        <v>2221259.7806056994</v>
      </c>
      <c r="AG64" s="489">
        <f t="shared" si="39"/>
        <v>2457327.3637176398</v>
      </c>
      <c r="AH64" s="348">
        <f t="shared" si="23"/>
        <v>10.6</v>
      </c>
      <c r="AI64" s="489">
        <f>B64+E64+H64+K64+N64+Q64+T64+W64+Z64+AC64</f>
        <v>2221331.7806056994</v>
      </c>
      <c r="AJ64" s="489">
        <f>C64+F64+I64+L64+O64+R64+U64+X64+AA64+AD64</f>
        <v>2457474.3637176398</v>
      </c>
      <c r="AK64" s="353">
        <f t="shared" si="25"/>
        <v>10.6</v>
      </c>
    </row>
    <row r="65" spans="1:37" s="362" customFormat="1" ht="20.100000000000001" customHeight="1" x14ac:dyDescent="0.3">
      <c r="A65" s="758"/>
      <c r="B65" s="734"/>
      <c r="C65" s="715"/>
      <c r="D65" s="271"/>
      <c r="E65" s="144"/>
      <c r="F65" s="350"/>
      <c r="G65" s="271"/>
      <c r="H65" s="144"/>
      <c r="I65" s="350"/>
      <c r="J65" s="271"/>
      <c r="K65" s="144"/>
      <c r="L65" s="350"/>
      <c r="M65" s="347"/>
      <c r="N65" s="144"/>
      <c r="O65" s="350"/>
      <c r="P65" s="271"/>
      <c r="Q65" s="144"/>
      <c r="R65" s="350"/>
      <c r="S65" s="271"/>
      <c r="T65" s="144"/>
      <c r="U65" s="350"/>
      <c r="V65" s="271"/>
      <c r="W65" s="144"/>
      <c r="X65" s="350"/>
      <c r="Y65" s="271"/>
      <c r="Z65" s="144"/>
      <c r="AA65" s="350"/>
      <c r="AB65" s="271"/>
      <c r="AC65" s="144"/>
      <c r="AD65" s="350"/>
      <c r="AE65" s="271"/>
      <c r="AF65" s="347"/>
      <c r="AG65" s="347"/>
      <c r="AH65" s="271"/>
      <c r="AI65" s="347"/>
      <c r="AJ65" s="347"/>
      <c r="AK65" s="351"/>
    </row>
    <row r="66" spans="1:37" s="362" customFormat="1" ht="20.100000000000001" customHeight="1" x14ac:dyDescent="0.3">
      <c r="A66" s="465" t="s">
        <v>208</v>
      </c>
      <c r="B66" s="734"/>
      <c r="C66" s="715"/>
      <c r="D66" s="271"/>
      <c r="E66" s="144"/>
      <c r="F66" s="350"/>
      <c r="G66" s="271"/>
      <c r="H66" s="144"/>
      <c r="I66" s="350"/>
      <c r="J66" s="271"/>
      <c r="K66" s="144"/>
      <c r="L66" s="350"/>
      <c r="M66" s="347"/>
      <c r="N66" s="144"/>
      <c r="O66" s="350"/>
      <c r="P66" s="271"/>
      <c r="Q66" s="144"/>
      <c r="R66" s="350"/>
      <c r="S66" s="271"/>
      <c r="T66" s="144"/>
      <c r="U66" s="350"/>
      <c r="V66" s="271"/>
      <c r="W66" s="144"/>
      <c r="X66" s="350"/>
      <c r="Y66" s="271"/>
      <c r="Z66" s="144"/>
      <c r="AA66" s="350"/>
      <c r="AB66" s="271"/>
      <c r="AC66" s="144"/>
      <c r="AD66" s="350"/>
      <c r="AE66" s="271"/>
      <c r="AF66" s="347"/>
      <c r="AG66" s="347"/>
      <c r="AH66" s="271"/>
      <c r="AI66" s="347"/>
      <c r="AJ66" s="347"/>
      <c r="AK66" s="351"/>
    </row>
    <row r="67" spans="1:37" s="362" customFormat="1" ht="20.100000000000001" customHeight="1" x14ac:dyDescent="0.3">
      <c r="A67" s="465"/>
      <c r="B67" s="734"/>
      <c r="C67" s="715"/>
      <c r="D67" s="271"/>
      <c r="E67" s="144"/>
      <c r="F67" s="350"/>
      <c r="G67" s="271"/>
      <c r="H67" s="144"/>
      <c r="I67" s="350"/>
      <c r="J67" s="271"/>
      <c r="K67" s="144"/>
      <c r="L67" s="350"/>
      <c r="M67" s="347"/>
      <c r="N67" s="144"/>
      <c r="O67" s="350"/>
      <c r="P67" s="271"/>
      <c r="Q67" s="144"/>
      <c r="R67" s="350"/>
      <c r="S67" s="271"/>
      <c r="T67" s="144"/>
      <c r="U67" s="350"/>
      <c r="V67" s="271"/>
      <c r="W67" s="144"/>
      <c r="X67" s="350"/>
      <c r="Y67" s="271"/>
      <c r="Z67" s="144"/>
      <c r="AA67" s="350"/>
      <c r="AB67" s="271"/>
      <c r="AC67" s="144"/>
      <c r="AD67" s="350"/>
      <c r="AE67" s="271"/>
      <c r="AF67" s="347"/>
      <c r="AG67" s="347"/>
      <c r="AH67" s="271"/>
      <c r="AI67" s="347"/>
      <c r="AJ67" s="347"/>
      <c r="AK67" s="351"/>
    </row>
    <row r="68" spans="1:37" s="362" customFormat="1" ht="20.100000000000001" customHeight="1" x14ac:dyDescent="0.3">
      <c r="A68" s="453" t="s">
        <v>209</v>
      </c>
      <c r="B68" s="734">
        <v>7657</v>
      </c>
      <c r="C68" s="715">
        <v>7657</v>
      </c>
      <c r="D68" s="271">
        <f t="shared" si="20"/>
        <v>0</v>
      </c>
      <c r="E68" s="144">
        <v>2452.057311</v>
      </c>
      <c r="F68" s="350">
        <v>2452.057311</v>
      </c>
      <c r="G68" s="271">
        <f>IF(E68=0, "    ---- ", IF(ABS(ROUND(100/E68*F68-100,1))&lt;999,ROUND(100/E68*F68-100,1),IF(ROUND(100/E68*F68-100,1)&gt;999,999,-999)))</f>
        <v>0</v>
      </c>
      <c r="H68" s="144">
        <v>221.25</v>
      </c>
      <c r="I68" s="350">
        <v>221</v>
      </c>
      <c r="J68" s="271">
        <f>IF(H68=0, "    ---- ", IF(ABS(ROUND(100/H68*I68-100,1))&lt;999,ROUND(100/H68*I68-100,1),IF(ROUND(100/H68*I68-100,1)&gt;999,999,-999)))</f>
        <v>-0.1</v>
      </c>
      <c r="K68" s="144">
        <v>123</v>
      </c>
      <c r="L68" s="350">
        <v>124</v>
      </c>
      <c r="M68" s="347">
        <f>IF(K68=0, "    ---- ", IF(ABS(ROUND(100/K68*L68-100,1))&lt;999,ROUND(100/K68*L68-100,1),IF(ROUND(100/K68*L68-100,1)&gt;999,999,-999)))</f>
        <v>0.8</v>
      </c>
      <c r="N68" s="144">
        <v>22867.971839999998</v>
      </c>
      <c r="O68" s="350">
        <v>25276.526158000001</v>
      </c>
      <c r="P68" s="271">
        <f t="shared" ref="P68:P80" si="40">IF(N68=0, "    ---- ", IF(ABS(ROUND(100/N68*O68-100,1))&lt;999,ROUND(100/N68*O68-100,1),IF(ROUND(100/N68*O68-100,1)&gt;999,999,-999)))</f>
        <v>10.5</v>
      </c>
      <c r="Q68" s="144">
        <v>1126.76</v>
      </c>
      <c r="R68" s="350">
        <v>1126.76</v>
      </c>
      <c r="S68" s="271">
        <f t="shared" si="27"/>
        <v>0</v>
      </c>
      <c r="T68" s="144">
        <v>1430</v>
      </c>
      <c r="U68" s="350">
        <v>1430</v>
      </c>
      <c r="V68" s="271">
        <f>IF(T68=0, "    ---- ", IF(ABS(ROUND(100/T68*U68-100,1))&lt;999,ROUND(100/T68*U68-100,1),IF(ROUND(100/T68*U68-100,1)&gt;999,999,-999)))</f>
        <v>0</v>
      </c>
      <c r="W68" s="144">
        <v>4972.6959999999999</v>
      </c>
      <c r="X68" s="350">
        <v>4972.6959999999999</v>
      </c>
      <c r="Y68" s="271">
        <f t="shared" si="21"/>
        <v>0</v>
      </c>
      <c r="Z68" s="144">
        <v>15958.913302749999</v>
      </c>
      <c r="AA68" s="350">
        <v>16373.951613499999</v>
      </c>
      <c r="AB68" s="271">
        <f t="shared" si="29"/>
        <v>2.6</v>
      </c>
      <c r="AC68" s="144">
        <v>86</v>
      </c>
      <c r="AD68" s="350">
        <v>86</v>
      </c>
      <c r="AE68" s="271">
        <f>IF(AC68=0, "    ---- ", IF(ABS(ROUND(100/AC68*AD68-100,1))&lt;999,ROUND(100/AC68*AD68-100,1),IF(ROUND(100/AC68*AD68-100,1)&gt;999,999,-999)))</f>
        <v>0</v>
      </c>
      <c r="AF68" s="390">
        <f t="shared" ref="AF68:AG71" si="41">B68+E68+H68+K68+N68+Q68+T68+W68+Z68</f>
        <v>56809.64845375</v>
      </c>
      <c r="AG68" s="390">
        <f t="shared" si="41"/>
        <v>59633.991082500012</v>
      </c>
      <c r="AH68" s="271">
        <f t="shared" si="23"/>
        <v>5</v>
      </c>
      <c r="AI68" s="390">
        <f t="shared" ref="AI68:AJ71" si="42">B68+E68+H68+K68+N68+Q68+T68+W68+Z68+AC68</f>
        <v>56895.64845375</v>
      </c>
      <c r="AJ68" s="390">
        <f t="shared" si="42"/>
        <v>59719.991082500012</v>
      </c>
      <c r="AK68" s="351">
        <f t="shared" si="25"/>
        <v>5</v>
      </c>
    </row>
    <row r="69" spans="1:37" s="362" customFormat="1" ht="20.100000000000001" customHeight="1" x14ac:dyDescent="0.3">
      <c r="A69" s="453" t="s">
        <v>210</v>
      </c>
      <c r="B69" s="734">
        <v>17101</v>
      </c>
      <c r="C69" s="715">
        <v>16371.758</v>
      </c>
      <c r="D69" s="271">
        <f t="shared" si="20"/>
        <v>-4.3</v>
      </c>
      <c r="E69" s="144">
        <v>20.783073660000159</v>
      </c>
      <c r="F69" s="350">
        <v>6.0356077400015558</v>
      </c>
      <c r="G69" s="271">
        <f>IF(E69=0, "    ---- ", IF(ABS(ROUND(100/E69*F69-100,1))&lt;999,ROUND(100/E69*F69-100,1),IF(ROUND(100/E69*F69-100,1)&gt;999,999,-999)))</f>
        <v>-71</v>
      </c>
      <c r="H69" s="144">
        <v>329.90800000000002</v>
      </c>
      <c r="I69" s="350">
        <v>427.25700000000001</v>
      </c>
      <c r="J69" s="271">
        <f>IF(H69=0, "    ---- ", IF(ABS(ROUND(100/H69*I69-100,1))&lt;999,ROUND(100/H69*I69-100,1),IF(ROUND(100/H69*I69-100,1)&gt;999,999,-999)))</f>
        <v>29.5</v>
      </c>
      <c r="K69" s="144">
        <v>687</v>
      </c>
      <c r="L69" s="350">
        <v>879</v>
      </c>
      <c r="M69" s="347">
        <f>IF(K69=0, "    ---- ", IF(ABS(ROUND(100/K69*L69-100,1))&lt;999,ROUND(100/K69*L69-100,1),IF(ROUND(100/K69*L69-100,1)&gt;999,999,-999)))</f>
        <v>27.9</v>
      </c>
      <c r="N69" s="144">
        <v>22045.7840163</v>
      </c>
      <c r="O69" s="350">
        <v>21957.925518299999</v>
      </c>
      <c r="P69" s="271">
        <f t="shared" si="40"/>
        <v>-0.4</v>
      </c>
      <c r="Q69" s="144">
        <v>8092.04</v>
      </c>
      <c r="R69" s="350">
        <v>7443.37</v>
      </c>
      <c r="S69" s="271">
        <f t="shared" si="27"/>
        <v>-8</v>
      </c>
      <c r="T69" s="144">
        <v>10851</v>
      </c>
      <c r="U69" s="350">
        <v>11965</v>
      </c>
      <c r="V69" s="271">
        <f>IF(T69=0, "    ---- ", IF(ABS(ROUND(100/T69*U69-100,1))&lt;999,ROUND(100/T69*U69-100,1),IF(ROUND(100/T69*U69-100,1)&gt;999,999,-999)))</f>
        <v>10.3</v>
      </c>
      <c r="W69" s="144">
        <v>991.27700000000004</v>
      </c>
      <c r="X69" s="350">
        <v>1054.973</v>
      </c>
      <c r="Y69" s="271">
        <f t="shared" si="21"/>
        <v>6.4</v>
      </c>
      <c r="Z69" s="144">
        <v>10240.795280849998</v>
      </c>
      <c r="AA69" s="350">
        <v>8691.8391124722293</v>
      </c>
      <c r="AB69" s="271">
        <f t="shared" si="29"/>
        <v>-15.1</v>
      </c>
      <c r="AC69" s="144">
        <v>-81</v>
      </c>
      <c r="AD69" s="350">
        <v>-122</v>
      </c>
      <c r="AE69" s="271">
        <f>IF(AC69=0, "    ---- ", IF(ABS(ROUND(100/AC69*AD69-100,1))&lt;999,ROUND(100/AC69*AD69-100,1),IF(ROUND(100/AC69*AD69-100,1)&gt;999,999,-999)))</f>
        <v>50.6</v>
      </c>
      <c r="AF69" s="390">
        <f t="shared" si="41"/>
        <v>70359.587370810012</v>
      </c>
      <c r="AG69" s="390">
        <f t="shared" si="41"/>
        <v>68797.158238512231</v>
      </c>
      <c r="AH69" s="271">
        <f t="shared" si="23"/>
        <v>-2.2000000000000002</v>
      </c>
      <c r="AI69" s="390">
        <f t="shared" si="42"/>
        <v>70278.587370810012</v>
      </c>
      <c r="AJ69" s="390">
        <f t="shared" si="42"/>
        <v>68675.158238512231</v>
      </c>
      <c r="AK69" s="351">
        <f t="shared" si="25"/>
        <v>-2.2999999999999998</v>
      </c>
    </row>
    <row r="70" spans="1:37" s="362" customFormat="1" ht="20.100000000000001" customHeight="1" x14ac:dyDescent="0.3">
      <c r="A70" s="453" t="s">
        <v>211</v>
      </c>
      <c r="B70" s="734">
        <v>1299</v>
      </c>
      <c r="C70" s="715">
        <v>1471.6210000000001</v>
      </c>
      <c r="D70" s="271">
        <f>IF(B70=0, "    ---- ", IF(ABS(ROUND(100/B70*C70-100,1))&lt;999,ROUND(100/B70*C70-100,1),IF(ROUND(100/B70*C70-100,1)&gt;999,999,-999)))</f>
        <v>13.3</v>
      </c>
      <c r="E70" s="144"/>
      <c r="F70" s="350"/>
      <c r="G70" s="271"/>
      <c r="H70" s="144"/>
      <c r="I70" s="350"/>
      <c r="J70" s="271"/>
      <c r="K70" s="144">
        <v>53</v>
      </c>
      <c r="L70" s="350">
        <v>70</v>
      </c>
      <c r="M70" s="271">
        <f>IF(K70=0, "    ---- ", IF(ABS(ROUND(100/K70*L70-100,1))&lt;999,ROUND(100/K70*L70-100,1),IF(ROUND(100/K70*L70-100,1)&gt;999,999,-999)))</f>
        <v>32.1</v>
      </c>
      <c r="N70" s="144">
        <v>4938.0711542099998</v>
      </c>
      <c r="O70" s="350">
        <v>3999.0301622100001</v>
      </c>
      <c r="P70" s="271">
        <f t="shared" si="40"/>
        <v>-19</v>
      </c>
      <c r="Q70" s="144">
        <v>253.11</v>
      </c>
      <c r="R70" s="350">
        <v>310.41000000000003</v>
      </c>
      <c r="S70" s="271">
        <f t="shared" si="27"/>
        <v>22.6</v>
      </c>
      <c r="T70" s="144"/>
      <c r="U70" s="350"/>
      <c r="V70" s="271"/>
      <c r="W70" s="144">
        <v>269.83199999999999</v>
      </c>
      <c r="X70" s="350">
        <v>333.52800000000002</v>
      </c>
      <c r="Y70" s="271">
        <f>IF(W70=0, "    ---- ", IF(ABS(ROUND(100/W70*X70-100,1))&lt;999,ROUND(100/W70*X70-100,1),IF(ROUND(100/W70*X70-100,1)&gt;999,999,-999)))</f>
        <v>23.6</v>
      </c>
      <c r="Z70" s="144">
        <v>1066.7177170300004</v>
      </c>
      <c r="AA70" s="350">
        <v>1242.29251305</v>
      </c>
      <c r="AB70" s="271">
        <f t="shared" si="29"/>
        <v>16.5</v>
      </c>
      <c r="AC70" s="144"/>
      <c r="AD70" s="350">
        <v>1</v>
      </c>
      <c r="AE70" s="271" t="str">
        <f>IF(AC70=0, "    ---- ", IF(ABS(ROUND(100/AC70*AD70-100,1))&lt;999,ROUND(100/AC70*AD70-100,1),IF(ROUND(100/AC70*AD70-100,1)&gt;999,999,-999)))</f>
        <v xml:space="preserve">    ---- </v>
      </c>
      <c r="AF70" s="390">
        <f t="shared" si="41"/>
        <v>7879.7308712399999</v>
      </c>
      <c r="AG70" s="390">
        <f t="shared" si="41"/>
        <v>7426.8816752600005</v>
      </c>
      <c r="AH70" s="271">
        <f t="shared" si="23"/>
        <v>-5.7</v>
      </c>
      <c r="AI70" s="390">
        <f t="shared" si="42"/>
        <v>7879.7308712399999</v>
      </c>
      <c r="AJ70" s="390">
        <f t="shared" si="42"/>
        <v>7427.8816752600005</v>
      </c>
      <c r="AK70" s="351">
        <f t="shared" si="25"/>
        <v>-5.7</v>
      </c>
    </row>
    <row r="71" spans="1:37" s="362" customFormat="1" ht="20.100000000000001" customHeight="1" x14ac:dyDescent="0.3">
      <c r="A71" s="453" t="s">
        <v>212</v>
      </c>
      <c r="B71" s="734">
        <v>7000</v>
      </c>
      <c r="C71" s="715">
        <v>7000</v>
      </c>
      <c r="D71" s="271">
        <f t="shared" si="20"/>
        <v>0</v>
      </c>
      <c r="E71" s="144">
        <v>550</v>
      </c>
      <c r="F71" s="350">
        <v>550</v>
      </c>
      <c r="G71" s="271">
        <f>IF(E71=0, "    ---- ", IF(ABS(ROUND(100/E71*F71-100,1))&lt;999,ROUND(100/E71*F71-100,1),IF(ROUND(100/E71*F71-100,1)&gt;999,999,-999)))</f>
        <v>0</v>
      </c>
      <c r="H71" s="144"/>
      <c r="I71" s="350"/>
      <c r="J71" s="271"/>
      <c r="K71" s="144">
        <v>301</v>
      </c>
      <c r="L71" s="350">
        <v>301</v>
      </c>
      <c r="M71" s="347"/>
      <c r="N71" s="144">
        <v>4794.6413474700003</v>
      </c>
      <c r="O71" s="350">
        <v>4954.2602640200002</v>
      </c>
      <c r="P71" s="271">
        <f t="shared" si="40"/>
        <v>3.3</v>
      </c>
      <c r="Q71" s="144">
        <v>2830</v>
      </c>
      <c r="R71" s="350">
        <v>2830</v>
      </c>
      <c r="S71" s="271">
        <f t="shared" si="27"/>
        <v>0</v>
      </c>
      <c r="T71" s="144">
        <v>1240</v>
      </c>
      <c r="U71" s="350">
        <v>0</v>
      </c>
      <c r="V71" s="271">
        <f>IF(T71=0, "    ---- ", IF(ABS(ROUND(100/T71*U71-100,1))&lt;999,ROUND(100/T71*U71-100,1),IF(ROUND(100/T71*U71-100,1)&gt;999,999,-999)))</f>
        <v>-100</v>
      </c>
      <c r="W71" s="144"/>
      <c r="X71" s="350"/>
      <c r="Y71" s="271" t="str">
        <f t="shared" si="21"/>
        <v xml:space="preserve">    ---- </v>
      </c>
      <c r="Z71" s="144">
        <v>10672.200036</v>
      </c>
      <c r="AA71" s="350">
        <v>9978.7163019500003</v>
      </c>
      <c r="AB71" s="271">
        <f t="shared" si="29"/>
        <v>-6.5</v>
      </c>
      <c r="AC71" s="144"/>
      <c r="AD71" s="350"/>
      <c r="AE71" s="271"/>
      <c r="AF71" s="390">
        <f t="shared" si="41"/>
        <v>27387.841383470004</v>
      </c>
      <c r="AG71" s="390">
        <f t="shared" si="41"/>
        <v>25613.976565969999</v>
      </c>
      <c r="AH71" s="271">
        <f t="shared" si="23"/>
        <v>-6.5</v>
      </c>
      <c r="AI71" s="390">
        <f t="shared" si="42"/>
        <v>27387.841383470004</v>
      </c>
      <c r="AJ71" s="390">
        <f t="shared" si="42"/>
        <v>25613.976565969999</v>
      </c>
      <c r="AK71" s="351">
        <f t="shared" si="25"/>
        <v>-6.5</v>
      </c>
    </row>
    <row r="72" spans="1:37" s="362" customFormat="1" ht="20.100000000000001" customHeight="1" x14ac:dyDescent="0.3">
      <c r="A72" s="453" t="s">
        <v>213</v>
      </c>
      <c r="B72" s="734"/>
      <c r="C72" s="715"/>
      <c r="D72" s="271"/>
      <c r="E72" s="144"/>
      <c r="F72" s="350"/>
      <c r="G72" s="271"/>
      <c r="H72" s="144"/>
      <c r="I72" s="350"/>
      <c r="J72" s="271"/>
      <c r="K72" s="144"/>
      <c r="L72" s="350"/>
      <c r="M72" s="347"/>
      <c r="N72" s="144"/>
      <c r="O72" s="350">
        <v>0</v>
      </c>
      <c r="P72" s="271"/>
      <c r="Q72" s="144"/>
      <c r="R72" s="350"/>
      <c r="S72" s="271"/>
      <c r="T72" s="144"/>
      <c r="U72" s="350"/>
      <c r="V72" s="271"/>
      <c r="W72" s="144"/>
      <c r="X72" s="350"/>
      <c r="Y72" s="271"/>
      <c r="Z72" s="144"/>
      <c r="AA72" s="350"/>
      <c r="AB72" s="271"/>
      <c r="AC72" s="144"/>
      <c r="AD72" s="350"/>
      <c r="AE72" s="271"/>
      <c r="AF72" s="347"/>
      <c r="AG72" s="347"/>
      <c r="AH72" s="271"/>
      <c r="AI72" s="347"/>
      <c r="AJ72" s="347"/>
      <c r="AK72" s="351"/>
    </row>
    <row r="73" spans="1:37" s="362" customFormat="1" ht="20.100000000000001" customHeight="1" x14ac:dyDescent="0.3">
      <c r="A73" s="453" t="s">
        <v>416</v>
      </c>
      <c r="B73" s="734">
        <v>176832.16910927999</v>
      </c>
      <c r="C73" s="715">
        <v>173177.12700000001</v>
      </c>
      <c r="D73" s="271">
        <f t="shared" si="20"/>
        <v>-2.1</v>
      </c>
      <c r="E73" s="144">
        <v>8928.8447941699997</v>
      </c>
      <c r="F73" s="350">
        <v>9686.1368891700004</v>
      </c>
      <c r="G73" s="271">
        <f>IF(E73=0, "    ---- ", IF(ABS(ROUND(100/E73*F73-100,1))&lt;999,ROUND(100/E73*F73-100,1),IF(ROUND(100/E73*F73-100,1)&gt;999,999,-999)))</f>
        <v>8.5</v>
      </c>
      <c r="H73" s="144">
        <v>1709.1379999999999</v>
      </c>
      <c r="I73" s="350">
        <v>1992.164</v>
      </c>
      <c r="J73" s="271">
        <f>IF(H73=0, "    ---- ", IF(ABS(ROUND(100/H73*I73-100,1))&lt;999,ROUND(100/H73*I73-100,1),IF(ROUND(100/H73*I73-100,1)&gt;999,999,-999)))</f>
        <v>16.600000000000001</v>
      </c>
      <c r="K73" s="144">
        <v>9594</v>
      </c>
      <c r="L73" s="350">
        <v>10495</v>
      </c>
      <c r="M73" s="347">
        <f>IF(K73=0, "    ---- ", IF(ABS(ROUND(100/K73*L73-100,1))&lt;999,ROUND(100/K73*L73-100,1),IF(ROUND(100/K73*L73-100,1)&gt;999,999,-999)))</f>
        <v>9.4</v>
      </c>
      <c r="N73" s="144">
        <v>571399.32484358991</v>
      </c>
      <c r="O73" s="350">
        <v>613543.38080131996</v>
      </c>
      <c r="P73" s="271">
        <f t="shared" si="40"/>
        <v>7.4</v>
      </c>
      <c r="Q73" s="144">
        <v>47452.27</v>
      </c>
      <c r="R73" s="350">
        <v>47828.81</v>
      </c>
      <c r="S73" s="271">
        <f t="shared" si="27"/>
        <v>0.8</v>
      </c>
      <c r="T73" s="144">
        <v>85966</v>
      </c>
      <c r="U73" s="350">
        <v>91509</v>
      </c>
      <c r="V73" s="271">
        <f>IF(T73=0, "    ---- ", IF(ABS(ROUND(100/T73*U73-100,1))&lt;999,ROUND(100/T73*U73-100,1),IF(ROUND(100/T73*U73-100,1)&gt;999,999,-999)))</f>
        <v>6.4</v>
      </c>
      <c r="W73" s="144">
        <v>19486.161</v>
      </c>
      <c r="X73" s="350">
        <v>20236.294000000002</v>
      </c>
      <c r="Y73" s="271">
        <f t="shared" si="21"/>
        <v>3.8</v>
      </c>
      <c r="Z73" s="144">
        <v>191950.78432217013</v>
      </c>
      <c r="AA73" s="350">
        <v>195551.19810974001</v>
      </c>
      <c r="AB73" s="271">
        <f t="shared" si="29"/>
        <v>1.9</v>
      </c>
      <c r="AC73" s="144">
        <v>45</v>
      </c>
      <c r="AD73" s="350">
        <v>121</v>
      </c>
      <c r="AE73" s="271">
        <f t="shared" ref="AE73:AE77" si="43">IF(AC73=0, "    ---- ", IF(ABS(ROUND(100/AC73*AD73-100,1))&lt;999,ROUND(100/AC73*AD73-100,1),IF(ROUND(100/AC73*AD73-100,1)&gt;999,999,-999)))</f>
        <v>168.9</v>
      </c>
      <c r="AF73" s="390">
        <f t="shared" ref="AF73:AG80" si="44">B73+E73+H73+K73+N73+Q73+T73+W73+Z73</f>
        <v>1113318.6920692101</v>
      </c>
      <c r="AG73" s="390">
        <f t="shared" si="44"/>
        <v>1164019.1108002299</v>
      </c>
      <c r="AH73" s="271">
        <f t="shared" si="23"/>
        <v>4.5999999999999996</v>
      </c>
      <c r="AI73" s="390">
        <f t="shared" ref="AI73:AJ80" si="45">B73+E73+H73+K73+N73+Q73+T73+W73+Z73+AC73</f>
        <v>1113363.6920692101</v>
      </c>
      <c r="AJ73" s="390">
        <f t="shared" si="45"/>
        <v>1164140.1108002299</v>
      </c>
      <c r="AK73" s="351">
        <f t="shared" si="25"/>
        <v>4.5999999999999996</v>
      </c>
    </row>
    <row r="74" spans="1:37" s="362" customFormat="1" ht="20.100000000000001" customHeight="1" x14ac:dyDescent="0.3">
      <c r="A74" s="759" t="s">
        <v>479</v>
      </c>
      <c r="B74" s="734">
        <v>5236.4209922200007</v>
      </c>
      <c r="C74" s="714"/>
      <c r="D74" s="271">
        <f t="shared" si="20"/>
        <v>-100</v>
      </c>
      <c r="E74" s="144"/>
      <c r="F74" s="390"/>
      <c r="G74" s="271"/>
      <c r="H74" s="144"/>
      <c r="I74" s="390"/>
      <c r="J74" s="271"/>
      <c r="K74" s="144">
        <v>251</v>
      </c>
      <c r="L74" s="390"/>
      <c r="M74" s="347">
        <f>IF(K74=0, "    ---- ", IF(ABS(ROUND(100/K74*L74-100,1))&lt;999,ROUND(100/K74*L74-100,1),IF(ROUND(100/K74*L74-100,1)&gt;999,999,-999)))</f>
        <v>-100</v>
      </c>
      <c r="N74" s="144"/>
      <c r="O74" s="390"/>
      <c r="P74" s="271" t="str">
        <f t="shared" si="40"/>
        <v xml:space="preserve">    ---- </v>
      </c>
      <c r="Q74" s="144">
        <v>3602.86</v>
      </c>
      <c r="R74" s="390"/>
      <c r="S74" s="271">
        <f t="shared" si="27"/>
        <v>-100</v>
      </c>
      <c r="T74" s="144"/>
      <c r="U74" s="390"/>
      <c r="V74" s="271"/>
      <c r="W74" s="144">
        <v>687.33900000000006</v>
      </c>
      <c r="X74" s="390"/>
      <c r="Y74" s="271">
        <f t="shared" si="21"/>
        <v>-100</v>
      </c>
      <c r="Z74" s="144">
        <v>6919.3803979100021</v>
      </c>
      <c r="AA74" s="390"/>
      <c r="AB74" s="271">
        <f t="shared" si="29"/>
        <v>-100</v>
      </c>
      <c r="AC74" s="144">
        <v>1</v>
      </c>
      <c r="AD74" s="390"/>
      <c r="AE74" s="271">
        <f t="shared" si="43"/>
        <v>-100</v>
      </c>
      <c r="AF74" s="390">
        <f t="shared" si="44"/>
        <v>16697.000390130004</v>
      </c>
      <c r="AG74" s="76"/>
      <c r="AH74" s="271">
        <f t="shared" si="23"/>
        <v>-100</v>
      </c>
      <c r="AI74" s="390">
        <f t="shared" si="45"/>
        <v>16698.000390130004</v>
      </c>
      <c r="AJ74" s="390"/>
      <c r="AK74" s="351">
        <f t="shared" si="25"/>
        <v>-100</v>
      </c>
    </row>
    <row r="75" spans="1:37" s="362" customFormat="1" ht="20.100000000000001" customHeight="1" x14ac:dyDescent="0.3">
      <c r="A75" s="759" t="s">
        <v>475</v>
      </c>
      <c r="B75" s="734">
        <v>1151.1799504100002</v>
      </c>
      <c r="C75" s="714"/>
      <c r="D75" s="271">
        <f t="shared" si="20"/>
        <v>-100</v>
      </c>
      <c r="E75" s="144">
        <v>112.97187581999999</v>
      </c>
      <c r="F75" s="390"/>
      <c r="G75" s="271">
        <f>IF(E75=0, "    ---- ", IF(ABS(ROUND(100/E75*F75-100,1))&lt;999,ROUND(100/E75*F75-100,1),IF(ROUND(100/E75*F75-100,1)&gt;999,999,-999)))</f>
        <v>-100</v>
      </c>
      <c r="H75" s="144"/>
      <c r="I75" s="390"/>
      <c r="J75" s="271"/>
      <c r="K75" s="144">
        <v>1</v>
      </c>
      <c r="L75" s="390"/>
      <c r="M75" s="347">
        <f>IF(K75=0, "    ---- ", IF(ABS(ROUND(100/K75*L75-100,1))&lt;999,ROUND(100/K75*L75-100,1),IF(ROUND(100/K75*L75-100,1)&gt;999,999,-999)))</f>
        <v>-100</v>
      </c>
      <c r="N75" s="144">
        <v>1E-8</v>
      </c>
      <c r="O75" s="390">
        <v>1E-8</v>
      </c>
      <c r="P75" s="271">
        <f t="shared" si="40"/>
        <v>0</v>
      </c>
      <c r="Q75" s="144">
        <v>2100.02</v>
      </c>
      <c r="R75" s="390"/>
      <c r="S75" s="271">
        <f t="shared" si="27"/>
        <v>-100</v>
      </c>
      <c r="T75" s="144"/>
      <c r="U75" s="390"/>
      <c r="V75" s="271"/>
      <c r="W75" s="144">
        <v>2707.462</v>
      </c>
      <c r="X75" s="390"/>
      <c r="Y75" s="271">
        <f t="shared" si="21"/>
        <v>-100</v>
      </c>
      <c r="Z75" s="144">
        <v>2411.2163415600025</v>
      </c>
      <c r="AA75" s="390">
        <v>3.4600000000000001E-4</v>
      </c>
      <c r="AB75" s="271">
        <f t="shared" si="29"/>
        <v>-100</v>
      </c>
      <c r="AC75" s="144"/>
      <c r="AD75" s="390"/>
      <c r="AE75" s="271"/>
      <c r="AF75" s="390">
        <f t="shared" si="44"/>
        <v>8483.850167800003</v>
      </c>
      <c r="AG75" s="390">
        <f t="shared" si="44"/>
        <v>3.4601E-4</v>
      </c>
      <c r="AH75" s="271">
        <f t="shared" si="23"/>
        <v>-100</v>
      </c>
      <c r="AI75" s="390">
        <f t="shared" si="45"/>
        <v>8483.850167800003</v>
      </c>
      <c r="AJ75" s="390">
        <f t="shared" si="45"/>
        <v>3.4601E-4</v>
      </c>
      <c r="AK75" s="351">
        <f t="shared" si="25"/>
        <v>-100</v>
      </c>
    </row>
    <row r="76" spans="1:37" s="362" customFormat="1" ht="20.100000000000001" customHeight="1" x14ac:dyDescent="0.3">
      <c r="A76" s="453" t="s">
        <v>449</v>
      </c>
      <c r="B76" s="734"/>
      <c r="C76" s="715">
        <v>7680.7510000000002</v>
      </c>
      <c r="D76" s="271" t="str">
        <f>IF(B76=0, "    ---- ", IF(ABS(ROUND(100/B76*C76-100,1))&lt;999,ROUND(100/B76*C76-100,1),IF(ROUND(100/B76*C76-100,1)&gt;999,999,-999)))</f>
        <v xml:space="preserve">    ---- </v>
      </c>
      <c r="E76" s="144"/>
      <c r="F76" s="350">
        <v>9.13512111</v>
      </c>
      <c r="G76" s="271" t="str">
        <f>IF(E76=0, "    ---- ", IF(ABS(ROUND(100/E76*F76-100,1))&lt;999,ROUND(100/E76*F76-100,1),IF(ROUND(100/E76*F76-100,1)&gt;999,999,-999)))</f>
        <v xml:space="preserve">    ---- </v>
      </c>
      <c r="H76" s="144"/>
      <c r="I76" s="350"/>
      <c r="J76" s="271"/>
      <c r="K76" s="144"/>
      <c r="L76" s="390">
        <v>315</v>
      </c>
      <c r="M76" s="271" t="str">
        <f>IF(K76=0, "    ---- ", IF(ABS(ROUND(100/K76*L76-100,1))&lt;999,ROUND(100/K76*L76-100,1),IF(ROUND(100/K76*L76-100,1)&gt;999,999,-999)))</f>
        <v xml:space="preserve">    ---- </v>
      </c>
      <c r="N76" s="144">
        <v>108016.7968132</v>
      </c>
      <c r="O76" s="350">
        <v>122975.73772664</v>
      </c>
      <c r="P76" s="271">
        <f>IF(N76=0, "    ---- ", IF(ABS(ROUND(100/N76*O76-100,1))&lt;999,ROUND(100/N76*O76-100,1),IF(ROUND(100/N76*O76-100,1)&gt;999,999,-999)))</f>
        <v>13.8</v>
      </c>
      <c r="Q76" s="144"/>
      <c r="R76" s="350">
        <v>5898.67</v>
      </c>
      <c r="S76" s="271" t="str">
        <f>IF(Q76=0, "    ---- ", IF(ABS(ROUND(100/Q76*R76-100,1))&lt;999,ROUND(100/Q76*R76-100,1),IF(ROUND(100/Q76*R76-100,1)&gt;999,999,-999)))</f>
        <v xml:space="preserve">    ---- </v>
      </c>
      <c r="T76" s="144">
        <v>30008</v>
      </c>
      <c r="U76" s="350">
        <v>32468</v>
      </c>
      <c r="V76" s="271">
        <f>IF(T76=0, "    ---- ", IF(ABS(ROUND(100/T76*U76-100,1))&lt;999,ROUND(100/T76*U76-100,1),IF(ROUND(100/T76*U76-100,1)&gt;999,999,-999)))</f>
        <v>8.1999999999999993</v>
      </c>
      <c r="W76" s="144"/>
      <c r="X76" s="350">
        <v>3721.5659999999998</v>
      </c>
      <c r="Y76" s="271" t="str">
        <f>IF(W76=0, "    ---- ", IF(ABS(ROUND(100/W76*X76-100,1))&lt;999,ROUND(100/W76*X76-100,1),IF(ROUND(100/W76*X76-100,1)&gt;999,999,-999)))</f>
        <v xml:space="preserve">    ---- </v>
      </c>
      <c r="Z76" s="144">
        <v>2070.5954800000004</v>
      </c>
      <c r="AA76" s="350">
        <v>14128.322942270001</v>
      </c>
      <c r="AB76" s="271">
        <f>IF(Z76=0, "    ---- ", IF(ABS(ROUND(100/Z76*AA76-100,1))&lt;999,ROUND(100/Z76*AA76-100,1),IF(ROUND(100/Z76*AA76-100,1)&gt;999,999,-999)))</f>
        <v>582.29999999999995</v>
      </c>
      <c r="AC76" s="144"/>
      <c r="AD76" s="350">
        <v>2</v>
      </c>
      <c r="AE76" s="271" t="str">
        <f t="shared" si="43"/>
        <v xml:space="preserve">    ---- </v>
      </c>
      <c r="AF76" s="390">
        <f t="shared" si="44"/>
        <v>140095.39229319998</v>
      </c>
      <c r="AG76" s="390">
        <f t="shared" si="44"/>
        <v>187197.18279001999</v>
      </c>
      <c r="AH76" s="271">
        <f>IF(AF76=0, "    ---- ", IF(ABS(ROUND(100/AF76*AG76-100,1))&lt;999,ROUND(100/AF76*AG76-100,1),IF(ROUND(100/AF76*AG76-100,1)&gt;999,999,-999)))</f>
        <v>33.6</v>
      </c>
      <c r="AI76" s="390">
        <f t="shared" si="45"/>
        <v>140095.39229319998</v>
      </c>
      <c r="AJ76" s="390">
        <f t="shared" si="45"/>
        <v>187199.18279001999</v>
      </c>
      <c r="AK76" s="271">
        <f>IF(AI76=0, "    ---- ", IF(ABS(ROUND(100/AI76*AJ76-100,1))&lt;999,ROUND(100/AI76*AJ76-100,1),IF(ROUND(100/AI76*AJ76-100,1)&gt;999,999,-999)))</f>
        <v>33.6</v>
      </c>
    </row>
    <row r="77" spans="1:37" s="362" customFormat="1" ht="20.100000000000001" customHeight="1" x14ac:dyDescent="0.3">
      <c r="A77" s="453" t="s">
        <v>472</v>
      </c>
      <c r="B77" s="734">
        <v>364.81013638999997</v>
      </c>
      <c r="C77" s="715">
        <v>341.47899999999998</v>
      </c>
      <c r="D77" s="271">
        <f t="shared" si="20"/>
        <v>-6.4</v>
      </c>
      <c r="E77" s="144"/>
      <c r="F77" s="350"/>
      <c r="G77" s="271"/>
      <c r="H77" s="144"/>
      <c r="I77" s="350"/>
      <c r="J77" s="271"/>
      <c r="K77" s="144">
        <v>18</v>
      </c>
      <c r="L77" s="350">
        <v>39</v>
      </c>
      <c r="M77" s="271">
        <f>IF(K77=0, "    ---- ", IF(ABS(ROUND(100/K77*L77-100,1))&lt;999,ROUND(100/K77*L77-100,1),IF(ROUND(100/K77*L77-100,1)&gt;999,999,-999)))</f>
        <v>116.7</v>
      </c>
      <c r="N77" s="144">
        <v>42250.604176089997</v>
      </c>
      <c r="O77" s="350">
        <v>63370.699209650003</v>
      </c>
      <c r="P77" s="271">
        <f t="shared" si="40"/>
        <v>50</v>
      </c>
      <c r="Q77" s="144">
        <v>910.48</v>
      </c>
      <c r="R77" s="350">
        <v>1020.87</v>
      </c>
      <c r="S77" s="271">
        <f t="shared" si="27"/>
        <v>12.1</v>
      </c>
      <c r="T77" s="144">
        <v>5661</v>
      </c>
      <c r="U77" s="350">
        <v>6143</v>
      </c>
      <c r="V77" s="271">
        <f>IF(T77=0, "    ---- ", IF(ABS(ROUND(100/T77*U77-100,1))&lt;999,ROUND(100/T77*U77-100,1),IF(ROUND(100/T77*U77-100,1)&gt;999,999,-999)))</f>
        <v>8.5</v>
      </c>
      <c r="W77" s="144">
        <v>332.19499999999999</v>
      </c>
      <c r="X77" s="350">
        <v>275.39699999999999</v>
      </c>
      <c r="Y77" s="271">
        <f t="shared" si="21"/>
        <v>-17.100000000000001</v>
      </c>
      <c r="Z77" s="144">
        <v>2986.3486270100002</v>
      </c>
      <c r="AA77" s="350">
        <v>3908.4173929899998</v>
      </c>
      <c r="AB77" s="271">
        <f t="shared" si="29"/>
        <v>30.9</v>
      </c>
      <c r="AC77" s="144">
        <v>3</v>
      </c>
      <c r="AD77" s="350">
        <v>5</v>
      </c>
      <c r="AE77" s="271">
        <f t="shared" si="43"/>
        <v>66.7</v>
      </c>
      <c r="AF77" s="390">
        <f t="shared" si="44"/>
        <v>52523.437939490002</v>
      </c>
      <c r="AG77" s="390">
        <f t="shared" si="44"/>
        <v>75098.862602640002</v>
      </c>
      <c r="AH77" s="271">
        <f t="shared" si="23"/>
        <v>43</v>
      </c>
      <c r="AI77" s="390">
        <f t="shared" si="45"/>
        <v>52526.437939490002</v>
      </c>
      <c r="AJ77" s="390">
        <f t="shared" si="45"/>
        <v>75103.862602640002</v>
      </c>
      <c r="AK77" s="351">
        <f t="shared" si="25"/>
        <v>43</v>
      </c>
    </row>
    <row r="78" spans="1:37" s="362" customFormat="1" ht="20.100000000000001" customHeight="1" x14ac:dyDescent="0.3">
      <c r="A78" s="453" t="s">
        <v>450</v>
      </c>
      <c r="B78" s="734">
        <v>3112.90230247</v>
      </c>
      <c r="C78" s="715">
        <v>3478.5079999999998</v>
      </c>
      <c r="D78" s="271">
        <f t="shared" si="20"/>
        <v>11.7</v>
      </c>
      <c r="E78" s="144"/>
      <c r="F78" s="350"/>
      <c r="G78" s="271"/>
      <c r="H78" s="144">
        <v>57.387</v>
      </c>
      <c r="I78" s="350">
        <v>67.652000000000001</v>
      </c>
      <c r="J78" s="271">
        <f>IF(H78=0, "    ---- ", IF(ABS(ROUND(100/H78*I78-100,1))&lt;999,ROUND(100/H78*I78-100,1),IF(ROUND(100/H78*I78-100,1)&gt;999,999,-999)))</f>
        <v>17.899999999999999</v>
      </c>
      <c r="K78" s="144"/>
      <c r="L78" s="350"/>
      <c r="M78" s="347"/>
      <c r="N78" s="144"/>
      <c r="O78" s="350">
        <v>0</v>
      </c>
      <c r="P78" s="271"/>
      <c r="Q78" s="144">
        <v>0</v>
      </c>
      <c r="R78" s="350">
        <v>0</v>
      </c>
      <c r="S78" s="271" t="str">
        <f t="shared" si="27"/>
        <v xml:space="preserve">    ---- </v>
      </c>
      <c r="T78" s="144">
        <v>356</v>
      </c>
      <c r="U78" s="350"/>
      <c r="V78" s="271">
        <f>IF(T78=0, "    ---- ", IF(ABS(ROUND(100/T78*U78-100,1))&lt;999,ROUND(100/T78*U78-100,1),IF(ROUND(100/T78*U78-100,1)&gt;999,999,-999)))</f>
        <v>-100</v>
      </c>
      <c r="W78" s="144"/>
      <c r="X78" s="350"/>
      <c r="Y78" s="271" t="str">
        <f t="shared" si="21"/>
        <v xml:space="preserve">    ---- </v>
      </c>
      <c r="Z78" s="144">
        <v>788.38188569999988</v>
      </c>
      <c r="AA78" s="350">
        <v>905.25723943000003</v>
      </c>
      <c r="AB78" s="271">
        <f t="shared" si="29"/>
        <v>14.8</v>
      </c>
      <c r="AC78" s="144"/>
      <c r="AD78" s="350"/>
      <c r="AE78" s="271"/>
      <c r="AF78" s="390">
        <f t="shared" si="44"/>
        <v>4314.6711881700003</v>
      </c>
      <c r="AG78" s="390">
        <f t="shared" si="44"/>
        <v>4451.4172394300003</v>
      </c>
      <c r="AH78" s="271">
        <f t="shared" si="23"/>
        <v>3.2</v>
      </c>
      <c r="AI78" s="390">
        <f t="shared" si="45"/>
        <v>4314.6711881700003</v>
      </c>
      <c r="AJ78" s="390">
        <f t="shared" si="45"/>
        <v>4451.4172394300003</v>
      </c>
      <c r="AK78" s="351">
        <f t="shared" si="25"/>
        <v>3.2</v>
      </c>
    </row>
    <row r="79" spans="1:37" s="362" customFormat="1" ht="20.100000000000001" customHeight="1" x14ac:dyDescent="0.3">
      <c r="A79" s="453" t="s">
        <v>214</v>
      </c>
      <c r="B79" s="734"/>
      <c r="C79" s="715"/>
      <c r="D79" s="271"/>
      <c r="E79" s="144"/>
      <c r="F79" s="350"/>
      <c r="G79" s="271"/>
      <c r="H79" s="144"/>
      <c r="I79" s="350"/>
      <c r="J79" s="271"/>
      <c r="K79" s="144"/>
      <c r="L79" s="350"/>
      <c r="M79" s="347"/>
      <c r="N79" s="144"/>
      <c r="O79" s="350">
        <v>0</v>
      </c>
      <c r="P79" s="271"/>
      <c r="Q79" s="144"/>
      <c r="R79" s="350"/>
      <c r="S79" s="271"/>
      <c r="T79" s="144"/>
      <c r="U79" s="350"/>
      <c r="V79" s="271"/>
      <c r="W79" s="144"/>
      <c r="X79" s="350"/>
      <c r="Y79" s="271"/>
      <c r="Z79" s="144"/>
      <c r="AA79" s="350"/>
      <c r="AB79" s="271"/>
      <c r="AC79" s="144"/>
      <c r="AD79" s="350"/>
      <c r="AE79" s="271"/>
      <c r="AF79" s="390">
        <f t="shared" si="44"/>
        <v>0</v>
      </c>
      <c r="AG79" s="390">
        <f t="shared" si="44"/>
        <v>0</v>
      </c>
      <c r="AH79" s="271" t="str">
        <f t="shared" si="23"/>
        <v xml:space="preserve">    ---- </v>
      </c>
      <c r="AI79" s="390">
        <f t="shared" si="45"/>
        <v>0</v>
      </c>
      <c r="AJ79" s="390">
        <f t="shared" si="45"/>
        <v>0</v>
      </c>
      <c r="AK79" s="351" t="str">
        <f t="shared" si="25"/>
        <v xml:space="preserve">    ---- </v>
      </c>
    </row>
    <row r="80" spans="1:37" s="362" customFormat="1" ht="20.100000000000001" customHeight="1" x14ac:dyDescent="0.3">
      <c r="A80" s="487" t="s">
        <v>215</v>
      </c>
      <c r="B80" s="734">
        <f>SUM(B73:B79)</f>
        <v>186697.48249076999</v>
      </c>
      <c r="C80" s="715">
        <f>SUM(C73:C79)</f>
        <v>184677.86499999999</v>
      </c>
      <c r="D80" s="271">
        <f t="shared" si="20"/>
        <v>-1.1000000000000001</v>
      </c>
      <c r="E80" s="144">
        <f>SUM(E73:E79)</f>
        <v>9041.8166699899994</v>
      </c>
      <c r="F80" s="350">
        <f>SUM(F73:F79)</f>
        <v>9695.2720102800013</v>
      </c>
      <c r="G80" s="271">
        <f>IF(E80=0, "    ---- ", IF(ABS(ROUND(100/E80*F80-100,1))&lt;999,ROUND(100/E80*F80-100,1),IF(ROUND(100/E80*F80-100,1)&gt;999,999,-999)))</f>
        <v>7.2</v>
      </c>
      <c r="H80" s="144">
        <f>SUM(H73:H79)</f>
        <v>1766.5249999999999</v>
      </c>
      <c r="I80" s="350">
        <f>SUM(I73:I79)</f>
        <v>2059.8159999999998</v>
      </c>
      <c r="J80" s="271">
        <f>IF(H80=0, "    ---- ", IF(ABS(ROUND(100/H80*I80-100,1))&lt;999,ROUND(100/H80*I80-100,1),IF(ROUND(100/H80*I80-100,1)&gt;999,999,-999)))</f>
        <v>16.600000000000001</v>
      </c>
      <c r="K80" s="144">
        <f>SUM(K73:K79)</f>
        <v>9864</v>
      </c>
      <c r="L80" s="350">
        <f>SUM(L73:L79)</f>
        <v>10849</v>
      </c>
      <c r="M80" s="347">
        <f>IF(K80=0, "    ---- ", IF(ABS(ROUND(100/K80*L80-100,1))&lt;999,ROUND(100/K80*L80-100,1),IF(ROUND(100/K80*L80-100,1)&gt;999,999,-999)))</f>
        <v>10</v>
      </c>
      <c r="N80" s="144">
        <v>721666.7258328899</v>
      </c>
      <c r="O80" s="350">
        <v>799889.81773761997</v>
      </c>
      <c r="P80" s="271">
        <f t="shared" si="40"/>
        <v>10.8</v>
      </c>
      <c r="Q80" s="144">
        <f>SUM(Q73:Q79)</f>
        <v>54065.63</v>
      </c>
      <c r="R80" s="350">
        <f>SUM(R73:R79)</f>
        <v>54748.35</v>
      </c>
      <c r="S80" s="271">
        <f t="shared" si="27"/>
        <v>1.3</v>
      </c>
      <c r="T80" s="144">
        <f>SUM(T73:T79)</f>
        <v>121991</v>
      </c>
      <c r="U80" s="350">
        <f>SUM(U73:U79)</f>
        <v>130120</v>
      </c>
      <c r="V80" s="271">
        <f>IF(T80=0, "    ---- ", IF(ABS(ROUND(100/T80*U80-100,1))&lt;999,ROUND(100/T80*U80-100,1),IF(ROUND(100/T80*U80-100,1)&gt;999,999,-999)))</f>
        <v>6.7</v>
      </c>
      <c r="W80" s="144">
        <f>SUM(W73:W79)</f>
        <v>23213.156999999999</v>
      </c>
      <c r="X80" s="350">
        <f>SUM(X73:X79)</f>
        <v>24233.257000000001</v>
      </c>
      <c r="Y80" s="271">
        <f t="shared" si="21"/>
        <v>4.4000000000000004</v>
      </c>
      <c r="Z80" s="144">
        <f>SUM(Z73:Z79)</f>
        <v>207126.70705435012</v>
      </c>
      <c r="AA80" s="350">
        <f>SUM(AA73:AA79)</f>
        <v>214493.19603043</v>
      </c>
      <c r="AB80" s="271">
        <f t="shared" si="29"/>
        <v>3.6</v>
      </c>
      <c r="AC80" s="144">
        <f>SUM(AC73:AC79)</f>
        <v>49</v>
      </c>
      <c r="AD80" s="350">
        <f>SUM(AD73:AD79)</f>
        <v>128</v>
      </c>
      <c r="AE80" s="271">
        <f>IF(AC80=0, "    ---- ", IF(ABS(ROUND(100/AC80*AD80-100,1))&lt;999,ROUND(100/AC80*AD80-100,1),IF(ROUND(100/AC80*AD80-100,1)&gt;999,999,-999)))</f>
        <v>161.19999999999999</v>
      </c>
      <c r="AF80" s="390">
        <f t="shared" si="44"/>
        <v>1335433.0440479999</v>
      </c>
      <c r="AG80" s="390">
        <f t="shared" si="44"/>
        <v>1430766.5737783301</v>
      </c>
      <c r="AH80" s="271">
        <f t="shared" si="23"/>
        <v>7.1</v>
      </c>
      <c r="AI80" s="390">
        <f t="shared" si="45"/>
        <v>1335482.0440479999</v>
      </c>
      <c r="AJ80" s="390">
        <f t="shared" si="45"/>
        <v>1430894.5737783301</v>
      </c>
      <c r="AK80" s="351">
        <f t="shared" si="25"/>
        <v>7.1</v>
      </c>
    </row>
    <row r="81" spans="1:37" s="362" customFormat="1" ht="20.100000000000001" customHeight="1" x14ac:dyDescent="0.3">
      <c r="A81" s="453" t="s">
        <v>216</v>
      </c>
      <c r="B81" s="734"/>
      <c r="C81" s="715"/>
      <c r="D81" s="271"/>
      <c r="E81" s="144"/>
      <c r="F81" s="350"/>
      <c r="G81" s="271"/>
      <c r="H81" s="144"/>
      <c r="I81" s="350"/>
      <c r="J81" s="271"/>
      <c r="K81" s="144"/>
      <c r="L81" s="350"/>
      <c r="M81" s="347"/>
      <c r="N81" s="144"/>
      <c r="O81" s="350"/>
      <c r="P81" s="271"/>
      <c r="Q81" s="144"/>
      <c r="R81" s="350"/>
      <c r="S81" s="271"/>
      <c r="T81" s="144"/>
      <c r="U81" s="350"/>
      <c r="V81" s="271"/>
      <c r="W81" s="144"/>
      <c r="X81" s="350"/>
      <c r="Y81" s="271"/>
      <c r="Z81" s="144"/>
      <c r="AA81" s="350"/>
      <c r="AB81" s="271"/>
      <c r="AC81" s="144"/>
      <c r="AD81" s="350"/>
      <c r="AE81" s="271"/>
      <c r="AF81" s="347"/>
      <c r="AG81" s="347"/>
      <c r="AH81" s="271"/>
      <c r="AI81" s="347"/>
      <c r="AJ81" s="347"/>
      <c r="AK81" s="351"/>
    </row>
    <row r="82" spans="1:37" s="362" customFormat="1" ht="20.100000000000001" customHeight="1" x14ac:dyDescent="0.3">
      <c r="A82" s="453" t="s">
        <v>451</v>
      </c>
      <c r="B82" s="734">
        <v>166446.13845018332</v>
      </c>
      <c r="C82" s="715">
        <v>202011.88399999999</v>
      </c>
      <c r="D82" s="271">
        <f t="shared" si="20"/>
        <v>21.4</v>
      </c>
      <c r="E82" s="144"/>
      <c r="F82" s="350"/>
      <c r="G82" s="271"/>
      <c r="H82" s="144"/>
      <c r="I82" s="350"/>
      <c r="J82" s="271"/>
      <c r="K82" s="144">
        <v>59760</v>
      </c>
      <c r="L82" s="350">
        <v>76786</v>
      </c>
      <c r="M82" s="347">
        <f>IF(K82=0, "    ---- ", IF(ABS(ROUND(100/K82*L82-100,1))&lt;999,ROUND(100/K82*L82-100,1),IF(ROUND(100/K82*L82-100,1)&gt;999,999,-999)))</f>
        <v>28.5</v>
      </c>
      <c r="N82" s="144">
        <v>2173.3966015400001</v>
      </c>
      <c r="O82" s="350">
        <v>2290.2169535399998</v>
      </c>
      <c r="P82" s="271">
        <f t="shared" ref="P82:P93" si="46">IF(N82=0, "    ---- ", IF(ABS(ROUND(100/N82*O82-100,1))&lt;999,ROUND(100/N82*O82-100,1),IF(ROUND(100/N82*O82-100,1)&gt;999,999,-999)))</f>
        <v>5.4</v>
      </c>
      <c r="Q82" s="144">
        <v>147002.43</v>
      </c>
      <c r="R82" s="350">
        <v>184044.04</v>
      </c>
      <c r="S82" s="271">
        <f t="shared" si="27"/>
        <v>25.2</v>
      </c>
      <c r="T82" s="144"/>
      <c r="U82" s="350"/>
      <c r="V82" s="271"/>
      <c r="W82" s="144">
        <v>67612.161999999997</v>
      </c>
      <c r="X82" s="350">
        <v>82844.668000000005</v>
      </c>
      <c r="Y82" s="271">
        <f t="shared" si="21"/>
        <v>22.5</v>
      </c>
      <c r="Z82" s="144">
        <v>209317.44546124915</v>
      </c>
      <c r="AA82" s="350">
        <v>248179.15064440001</v>
      </c>
      <c r="AB82" s="271">
        <f t="shared" si="29"/>
        <v>18.600000000000001</v>
      </c>
      <c r="AC82" s="144"/>
      <c r="AD82" s="350"/>
      <c r="AE82" s="271"/>
      <c r="AF82" s="390">
        <f t="shared" ref="AF82:AG91" si="47">B82+E82+H82+K82+N82+Q82+T82+W82+Z82</f>
        <v>652311.5725129724</v>
      </c>
      <c r="AG82" s="390">
        <f t="shared" si="47"/>
        <v>796155.95959793997</v>
      </c>
      <c r="AH82" s="271">
        <f t="shared" si="23"/>
        <v>22.1</v>
      </c>
      <c r="AI82" s="390">
        <f t="shared" ref="AI82:AJ91" si="48">B82+E82+H82+K82+N82+Q82+T82+W82+Z82+AC82</f>
        <v>652311.5725129724</v>
      </c>
      <c r="AJ82" s="390">
        <f t="shared" si="48"/>
        <v>796155.95959793997</v>
      </c>
      <c r="AK82" s="351">
        <f t="shared" si="25"/>
        <v>22.1</v>
      </c>
    </row>
    <row r="83" spans="1:37" s="362" customFormat="1" ht="20.100000000000001" customHeight="1" x14ac:dyDescent="0.3">
      <c r="A83" s="759" t="s">
        <v>479</v>
      </c>
      <c r="B83" s="734"/>
      <c r="C83" s="714"/>
      <c r="D83" s="271"/>
      <c r="E83" s="144"/>
      <c r="F83" s="390"/>
      <c r="G83" s="271"/>
      <c r="H83" s="144"/>
      <c r="I83" s="390"/>
      <c r="J83" s="271"/>
      <c r="K83" s="144"/>
      <c r="L83" s="390"/>
      <c r="M83" s="271"/>
      <c r="N83" s="144"/>
      <c r="O83" s="390">
        <v>0</v>
      </c>
      <c r="P83" s="271"/>
      <c r="Q83" s="144"/>
      <c r="R83" s="390"/>
      <c r="S83" s="271"/>
      <c r="T83" s="144"/>
      <c r="U83" s="390"/>
      <c r="V83" s="271"/>
      <c r="W83" s="144">
        <v>0</v>
      </c>
      <c r="X83" s="390"/>
      <c r="Y83" s="271" t="str">
        <f t="shared" si="21"/>
        <v xml:space="preserve">    ---- </v>
      </c>
      <c r="Z83" s="144"/>
      <c r="AA83" s="390"/>
      <c r="AB83" s="271" t="str">
        <f t="shared" si="29"/>
        <v xml:space="preserve">    ---- </v>
      </c>
      <c r="AC83" s="144"/>
      <c r="AD83" s="390"/>
      <c r="AE83" s="271"/>
      <c r="AF83" s="390">
        <f t="shared" si="47"/>
        <v>0</v>
      </c>
      <c r="AG83" s="76"/>
      <c r="AH83" s="271" t="str">
        <f t="shared" si="23"/>
        <v xml:space="preserve">    ---- </v>
      </c>
      <c r="AI83" s="390">
        <f t="shared" si="48"/>
        <v>0</v>
      </c>
      <c r="AJ83" s="390"/>
      <c r="AK83" s="351" t="str">
        <f t="shared" si="25"/>
        <v xml:space="preserve">    ---- </v>
      </c>
    </row>
    <row r="84" spans="1:37" s="362" customFormat="1" ht="20.100000000000001" customHeight="1" x14ac:dyDescent="0.3">
      <c r="A84" s="453" t="s">
        <v>452</v>
      </c>
      <c r="B84" s="734"/>
      <c r="C84" s="715"/>
      <c r="D84" s="271"/>
      <c r="E84" s="144"/>
      <c r="F84" s="350"/>
      <c r="G84" s="271"/>
      <c r="H84" s="144"/>
      <c r="I84" s="350"/>
      <c r="J84" s="271"/>
      <c r="K84" s="144"/>
      <c r="L84" s="350"/>
      <c r="M84" s="271"/>
      <c r="N84" s="144">
        <v>185.05750487</v>
      </c>
      <c r="O84" s="350">
        <v>259.79510754</v>
      </c>
      <c r="P84" s="271"/>
      <c r="Q84" s="144"/>
      <c r="R84" s="350"/>
      <c r="S84" s="271"/>
      <c r="T84" s="144"/>
      <c r="U84" s="350"/>
      <c r="V84" s="271"/>
      <c r="W84" s="144"/>
      <c r="X84" s="350"/>
      <c r="Y84" s="271"/>
      <c r="Z84" s="144"/>
      <c r="AA84" s="350"/>
      <c r="AB84" s="271"/>
      <c r="AC84" s="144"/>
      <c r="AD84" s="350"/>
      <c r="AE84" s="271"/>
      <c r="AF84" s="390">
        <f t="shared" si="47"/>
        <v>185.05750487</v>
      </c>
      <c r="AG84" s="390">
        <f t="shared" si="47"/>
        <v>259.79510754</v>
      </c>
      <c r="AH84" s="271"/>
      <c r="AI84" s="390">
        <f t="shared" si="48"/>
        <v>185.05750487</v>
      </c>
      <c r="AJ84" s="390">
        <f t="shared" si="48"/>
        <v>259.79510754</v>
      </c>
      <c r="AK84" s="351"/>
    </row>
    <row r="85" spans="1:37" s="362" customFormat="1" ht="20.100000000000001" customHeight="1" x14ac:dyDescent="0.3">
      <c r="A85" s="453" t="s">
        <v>453</v>
      </c>
      <c r="B85" s="734">
        <v>276.12196592000004</v>
      </c>
      <c r="C85" s="715">
        <v>242.99700000000001</v>
      </c>
      <c r="D85" s="271">
        <f t="shared" si="20"/>
        <v>-12</v>
      </c>
      <c r="E85" s="461"/>
      <c r="F85" s="271"/>
      <c r="G85" s="271"/>
      <c r="H85" s="461"/>
      <c r="I85" s="271"/>
      <c r="J85" s="271"/>
      <c r="K85" s="461">
        <v>96</v>
      </c>
      <c r="L85" s="271">
        <v>106</v>
      </c>
      <c r="M85" s="271">
        <f>IF(K85=0, "    ---- ", IF(ABS(ROUND(100/K85*L85-100,1))&lt;999,ROUND(100/K85*L85-100,1),IF(ROUND(100/K85*L85-100,1)&gt;999,999,-999)))</f>
        <v>10.4</v>
      </c>
      <c r="N85" s="144">
        <v>491.26229892000003</v>
      </c>
      <c r="O85" s="350">
        <v>596.55018525000003</v>
      </c>
      <c r="P85" s="271">
        <f t="shared" si="46"/>
        <v>21.4</v>
      </c>
      <c r="Q85" s="461"/>
      <c r="R85" s="271"/>
      <c r="S85" s="271"/>
      <c r="T85" s="461"/>
      <c r="U85" s="271"/>
      <c r="V85" s="271"/>
      <c r="W85" s="144">
        <v>737.74900000000002</v>
      </c>
      <c r="X85" s="271">
        <v>911.24400000000003</v>
      </c>
      <c r="Y85" s="271">
        <f t="shared" si="21"/>
        <v>23.5</v>
      </c>
      <c r="Z85" s="461"/>
      <c r="AA85" s="271"/>
      <c r="AB85" s="271" t="str">
        <f t="shared" si="29"/>
        <v xml:space="preserve">    ---- </v>
      </c>
      <c r="AC85" s="461"/>
      <c r="AD85" s="271"/>
      <c r="AE85" s="271"/>
      <c r="AF85" s="390">
        <f t="shared" si="47"/>
        <v>1601.13326484</v>
      </c>
      <c r="AG85" s="390">
        <f t="shared" si="47"/>
        <v>1856.7911852500001</v>
      </c>
      <c r="AH85" s="271">
        <f t="shared" si="23"/>
        <v>16</v>
      </c>
      <c r="AI85" s="390">
        <f t="shared" si="48"/>
        <v>1601.13326484</v>
      </c>
      <c r="AJ85" s="390">
        <f t="shared" si="48"/>
        <v>1856.7911852500001</v>
      </c>
      <c r="AK85" s="351">
        <f t="shared" si="25"/>
        <v>16</v>
      </c>
    </row>
    <row r="86" spans="1:37" s="362" customFormat="1" ht="20.100000000000001" customHeight="1" x14ac:dyDescent="0.3">
      <c r="A86" s="453" t="s">
        <v>214</v>
      </c>
      <c r="B86" s="734"/>
      <c r="C86" s="715"/>
      <c r="D86" s="350"/>
      <c r="E86" s="144"/>
      <c r="F86" s="350"/>
      <c r="G86" s="350"/>
      <c r="H86" s="144"/>
      <c r="I86" s="350"/>
      <c r="J86" s="350"/>
      <c r="K86" s="144"/>
      <c r="L86" s="350"/>
      <c r="M86" s="347"/>
      <c r="N86" s="144"/>
      <c r="O86" s="350">
        <v>0</v>
      </c>
      <c r="P86" s="271"/>
      <c r="Q86" s="144"/>
      <c r="R86" s="350"/>
      <c r="S86" s="271"/>
      <c r="T86" s="144"/>
      <c r="U86" s="350"/>
      <c r="V86" s="271"/>
      <c r="W86" s="144"/>
      <c r="X86" s="350"/>
      <c r="Y86" s="271"/>
      <c r="Z86" s="144"/>
      <c r="AA86" s="350"/>
      <c r="AB86" s="271"/>
      <c r="AC86" s="144"/>
      <c r="AD86" s="350"/>
      <c r="AE86" s="271"/>
      <c r="AF86" s="390">
        <f t="shared" si="47"/>
        <v>0</v>
      </c>
      <c r="AG86" s="390">
        <f t="shared" si="47"/>
        <v>0</v>
      </c>
      <c r="AH86" s="271" t="str">
        <f t="shared" si="23"/>
        <v xml:space="preserve">    ---- </v>
      </c>
      <c r="AI86" s="390">
        <f t="shared" si="48"/>
        <v>0</v>
      </c>
      <c r="AJ86" s="390">
        <f t="shared" si="48"/>
        <v>0</v>
      </c>
      <c r="AK86" s="351" t="str">
        <f t="shared" si="25"/>
        <v xml:space="preserve">    ---- </v>
      </c>
    </row>
    <row r="87" spans="1:37" s="362" customFormat="1" ht="20.100000000000001" customHeight="1" x14ac:dyDescent="0.3">
      <c r="A87" s="487" t="s">
        <v>217</v>
      </c>
      <c r="B87" s="734">
        <f>SUM(B82:B86)</f>
        <v>166722.26041610332</v>
      </c>
      <c r="C87" s="715">
        <f>SUM(C82:C86)</f>
        <v>202254.88099999999</v>
      </c>
      <c r="D87" s="350">
        <f t="shared" si="20"/>
        <v>21.3</v>
      </c>
      <c r="E87" s="144"/>
      <c r="F87" s="350"/>
      <c r="G87" s="350"/>
      <c r="H87" s="144"/>
      <c r="I87" s="350"/>
      <c r="J87" s="350"/>
      <c r="K87" s="144">
        <f>SUM(K82:K86)</f>
        <v>59856</v>
      </c>
      <c r="L87" s="350">
        <f>SUM(L82:L86)</f>
        <v>76892</v>
      </c>
      <c r="M87" s="347">
        <f>IF(K87=0, "    ---- ", IF(ABS(ROUND(100/K87*L87-100,1))&lt;999,ROUND(100/K87*L87-100,1),IF(ROUND(100/K87*L87-100,1)&gt;999,999,-999)))</f>
        <v>28.5</v>
      </c>
      <c r="N87" s="144">
        <v>2849.7164053300003</v>
      </c>
      <c r="O87" s="350">
        <v>3146.5622463300001</v>
      </c>
      <c r="P87" s="271">
        <f t="shared" si="46"/>
        <v>10.4</v>
      </c>
      <c r="Q87" s="144">
        <f>SUM(Q82:Q86)</f>
        <v>147002.43</v>
      </c>
      <c r="R87" s="350">
        <f>SUM(R82:R86)</f>
        <v>184044.04</v>
      </c>
      <c r="S87" s="271">
        <f t="shared" si="27"/>
        <v>25.2</v>
      </c>
      <c r="T87" s="144"/>
      <c r="U87" s="350"/>
      <c r="V87" s="271"/>
      <c r="W87" s="144">
        <f>SUM(W82:W86)</f>
        <v>68349.910999999993</v>
      </c>
      <c r="X87" s="350">
        <f>SUM(X82:X86)</f>
        <v>83755.912000000011</v>
      </c>
      <c r="Y87" s="271">
        <f t="shared" si="21"/>
        <v>22.5</v>
      </c>
      <c r="Z87" s="144">
        <f>SUM(Z82:Z86)</f>
        <v>209317.44546124915</v>
      </c>
      <c r="AA87" s="350">
        <f>SUM(AA82:AA86)</f>
        <v>248179.15064440001</v>
      </c>
      <c r="AB87" s="271">
        <f t="shared" si="29"/>
        <v>18.600000000000001</v>
      </c>
      <c r="AC87" s="144"/>
      <c r="AD87" s="350"/>
      <c r="AE87" s="271"/>
      <c r="AF87" s="390">
        <f t="shared" si="47"/>
        <v>654097.76328268251</v>
      </c>
      <c r="AG87" s="390">
        <f t="shared" si="47"/>
        <v>798272.54589073011</v>
      </c>
      <c r="AH87" s="271">
        <f t="shared" si="23"/>
        <v>22</v>
      </c>
      <c r="AI87" s="390">
        <f t="shared" si="48"/>
        <v>654097.76328268251</v>
      </c>
      <c r="AJ87" s="390">
        <f t="shared" si="48"/>
        <v>798272.54589073011</v>
      </c>
      <c r="AK87" s="351">
        <f t="shared" si="25"/>
        <v>22</v>
      </c>
    </row>
    <row r="88" spans="1:37" s="362" customFormat="1" ht="20.100000000000001" customHeight="1" x14ac:dyDescent="0.3">
      <c r="A88" s="453" t="s">
        <v>218</v>
      </c>
      <c r="B88" s="734">
        <v>1521.6025441899999</v>
      </c>
      <c r="C88" s="715">
        <v>1391.8679999999999</v>
      </c>
      <c r="D88" s="271">
        <f t="shared" si="20"/>
        <v>-8.5</v>
      </c>
      <c r="E88" s="144">
        <v>1111.7021028400002</v>
      </c>
      <c r="F88" s="350">
        <v>1413.3474659699998</v>
      </c>
      <c r="G88" s="271">
        <f>IF(E88=0, "    ---- ", IF(ABS(ROUND(100/E88*F88-100,1))&lt;999,ROUND(100/E88*F88-100,1),IF(ROUND(100/E88*F88-100,1)&gt;999,999,-999)))</f>
        <v>27.1</v>
      </c>
      <c r="H88" s="144">
        <v>72.131</v>
      </c>
      <c r="I88" s="350">
        <v>38.920999999999999</v>
      </c>
      <c r="J88" s="271">
        <f>IF(H88=0, "    ---- ", IF(ABS(ROUND(100/H88*I88-100,1))&lt;999,ROUND(100/H88*I88-100,1),IF(ROUND(100/H88*I88-100,1)&gt;999,999,-999)))</f>
        <v>-46</v>
      </c>
      <c r="K88" s="144">
        <v>70</v>
      </c>
      <c r="L88" s="350">
        <v>131</v>
      </c>
      <c r="M88" s="271">
        <f>IF(K88=0, "    ---- ", IF(ABS(ROUND(100/K88*L88-100,1))&lt;999,ROUND(100/K88*L88-100,1),IF(ROUND(100/K88*L88-100,1)&gt;999,999,-999)))</f>
        <v>87.1</v>
      </c>
      <c r="N88" s="144">
        <v>1377.1930045699999</v>
      </c>
      <c r="O88" s="350">
        <v>1463.05176536</v>
      </c>
      <c r="P88" s="271">
        <f t="shared" si="46"/>
        <v>6.2</v>
      </c>
      <c r="Q88" s="144">
        <v>506.99</v>
      </c>
      <c r="R88" s="350">
        <v>997.11</v>
      </c>
      <c r="S88" s="271">
        <f t="shared" si="27"/>
        <v>96.7</v>
      </c>
      <c r="T88" s="144">
        <f>706+393+76</f>
        <v>1175</v>
      </c>
      <c r="U88" s="350">
        <f>734+2312+73+1</f>
        <v>3120</v>
      </c>
      <c r="V88" s="271">
        <f>IF(T88=0, "    ---- ", IF(ABS(ROUND(100/T88*U88-100,1))&lt;999,ROUND(100/T88*U88-100,1),IF(ROUND(100/T88*U88-100,1)&gt;999,999,-999)))</f>
        <v>165.5</v>
      </c>
      <c r="W88" s="144">
        <v>230.66399999999999</v>
      </c>
      <c r="X88" s="350">
        <v>205.23699999999999</v>
      </c>
      <c r="Y88" s="271">
        <f t="shared" si="21"/>
        <v>-11</v>
      </c>
      <c r="Z88" s="144">
        <v>198.62623305959812</v>
      </c>
      <c r="AA88" s="350">
        <v>158.26531091999999</v>
      </c>
      <c r="AB88" s="271">
        <f t="shared" si="29"/>
        <v>-20.3</v>
      </c>
      <c r="AC88" s="144"/>
      <c r="AD88" s="350"/>
      <c r="AE88" s="271"/>
      <c r="AF88" s="390">
        <f t="shared" si="47"/>
        <v>6263.9088846595978</v>
      </c>
      <c r="AG88" s="390">
        <f t="shared" si="47"/>
        <v>8918.8005422499973</v>
      </c>
      <c r="AH88" s="271">
        <f t="shared" si="23"/>
        <v>42.4</v>
      </c>
      <c r="AI88" s="390">
        <f t="shared" si="48"/>
        <v>6263.9088846595978</v>
      </c>
      <c r="AJ88" s="390">
        <f t="shared" si="48"/>
        <v>8918.8005422499973</v>
      </c>
      <c r="AK88" s="351">
        <f t="shared" si="25"/>
        <v>42.4</v>
      </c>
    </row>
    <row r="89" spans="1:37" s="362" customFormat="1" ht="20.100000000000001" customHeight="1" x14ac:dyDescent="0.3">
      <c r="A89" s="453" t="s">
        <v>219</v>
      </c>
      <c r="B89" s="734"/>
      <c r="C89" s="715"/>
      <c r="D89" s="271"/>
      <c r="E89" s="144">
        <v>295.75337427999995</v>
      </c>
      <c r="F89" s="350">
        <v>230.82745503999999</v>
      </c>
      <c r="G89" s="271">
        <f>IF(E89=0, "    ---- ", IF(ABS(ROUND(100/E89*F89-100,1))&lt;999,ROUND(100/E89*F89-100,1),IF(ROUND(100/E89*F89-100,1)&gt;999,999,-999)))</f>
        <v>-22</v>
      </c>
      <c r="H89" s="144"/>
      <c r="I89" s="350"/>
      <c r="J89" s="271"/>
      <c r="K89" s="144"/>
      <c r="L89" s="350"/>
      <c r="M89" s="271"/>
      <c r="N89" s="144"/>
      <c r="O89" s="350">
        <v>0</v>
      </c>
      <c r="P89" s="271"/>
      <c r="Q89" s="144"/>
      <c r="R89" s="350"/>
      <c r="S89" s="271"/>
      <c r="T89" s="144"/>
      <c r="U89" s="350"/>
      <c r="V89" s="271"/>
      <c r="W89" s="144">
        <v>11.648999999999999</v>
      </c>
      <c r="X89" s="350">
        <v>15.574</v>
      </c>
      <c r="Y89" s="271">
        <f t="shared" si="21"/>
        <v>33.700000000000003</v>
      </c>
      <c r="Z89" s="144"/>
      <c r="AA89" s="350"/>
      <c r="AB89" s="271"/>
      <c r="AC89" s="144"/>
      <c r="AD89" s="350"/>
      <c r="AE89" s="271"/>
      <c r="AF89" s="390">
        <f t="shared" si="47"/>
        <v>307.40237427999995</v>
      </c>
      <c r="AG89" s="390">
        <f t="shared" si="47"/>
        <v>246.40145504</v>
      </c>
      <c r="AH89" s="271">
        <f t="shared" si="23"/>
        <v>-19.8</v>
      </c>
      <c r="AI89" s="390">
        <f t="shared" si="48"/>
        <v>307.40237427999995</v>
      </c>
      <c r="AJ89" s="390">
        <f t="shared" si="48"/>
        <v>246.40145504</v>
      </c>
      <c r="AK89" s="351">
        <f t="shared" si="25"/>
        <v>-19.8</v>
      </c>
    </row>
    <row r="90" spans="1:37" s="362" customFormat="1" ht="20.100000000000001" customHeight="1" x14ac:dyDescent="0.3">
      <c r="A90" s="453" t="s">
        <v>220</v>
      </c>
      <c r="B90" s="734">
        <v>5744</v>
      </c>
      <c r="C90" s="715">
        <v>2638.6469999999999</v>
      </c>
      <c r="D90" s="350">
        <f t="shared" si="20"/>
        <v>-54.1</v>
      </c>
      <c r="E90" s="144">
        <v>117.08927462000003</v>
      </c>
      <c r="F90" s="350">
        <v>131.55103943999995</v>
      </c>
      <c r="G90" s="271">
        <f>IF(E90=0, "    ---- ", IF(ABS(ROUND(100/E90*F90-100,1))&lt;999,ROUND(100/E90*F90-100,1),IF(ROUND(100/E90*F90-100,1)&gt;999,999,-999)))</f>
        <v>12.4</v>
      </c>
      <c r="H90" s="144">
        <v>28.013999999999999</v>
      </c>
      <c r="I90" s="350">
        <v>59.497999999999998</v>
      </c>
      <c r="J90" s="271">
        <f>IF(H90=0, "    ---- ", IF(ABS(ROUND(100/H90*I90-100,1))&lt;999,ROUND(100/H90*I90-100,1),IF(ROUND(100/H90*I90-100,1)&gt;999,999,-999)))</f>
        <v>112.4</v>
      </c>
      <c r="K90" s="144">
        <v>322</v>
      </c>
      <c r="L90" s="350">
        <v>289</v>
      </c>
      <c r="M90" s="347">
        <f>IF(K90=0, "    ---- ", IF(ABS(ROUND(100/K90*L90-100,1))&lt;999,ROUND(100/K90*L90-100,1),IF(ROUND(100/K90*L90-100,1)&gt;999,999,-999)))</f>
        <v>-10.199999999999999</v>
      </c>
      <c r="N90" s="144">
        <v>11330.077477049999</v>
      </c>
      <c r="O90" s="350">
        <v>6888.5925043199995</v>
      </c>
      <c r="P90" s="271">
        <f t="shared" si="46"/>
        <v>-39.200000000000003</v>
      </c>
      <c r="Q90" s="144">
        <v>330.7</v>
      </c>
      <c r="R90" s="350">
        <v>473.71</v>
      </c>
      <c r="S90" s="271">
        <f t="shared" si="27"/>
        <v>43.2</v>
      </c>
      <c r="T90" s="144"/>
      <c r="U90" s="350"/>
      <c r="V90" s="271"/>
      <c r="W90" s="144">
        <v>1544.691</v>
      </c>
      <c r="X90" s="350">
        <v>1275.654</v>
      </c>
      <c r="Y90" s="271">
        <f t="shared" si="21"/>
        <v>-17.399999999999999</v>
      </c>
      <c r="Z90" s="144">
        <v>50402.892686609899</v>
      </c>
      <c r="AA90" s="350">
        <v>52479.639697469996</v>
      </c>
      <c r="AB90" s="271">
        <f t="shared" si="29"/>
        <v>4.0999999999999996</v>
      </c>
      <c r="AC90" s="144">
        <v>18</v>
      </c>
      <c r="AD90" s="350">
        <v>43</v>
      </c>
      <c r="AE90" s="271">
        <f>IF(AC90=0, "    ---- ", IF(ABS(ROUND(100/AC90*AD90-100,1))&lt;999,ROUND(100/AC90*AD90-100,1),IF(ROUND(100/AC90*AD90-100,1)&gt;999,999,-999)))</f>
        <v>138.9</v>
      </c>
      <c r="AF90" s="390">
        <f t="shared" si="47"/>
        <v>69819.464438279902</v>
      </c>
      <c r="AG90" s="390">
        <f t="shared" si="47"/>
        <v>64236.292241229996</v>
      </c>
      <c r="AH90" s="271">
        <f t="shared" si="23"/>
        <v>-8</v>
      </c>
      <c r="AI90" s="390">
        <f t="shared" si="48"/>
        <v>69837.464438279902</v>
      </c>
      <c r="AJ90" s="390">
        <f t="shared" si="48"/>
        <v>64279.292241229996</v>
      </c>
      <c r="AK90" s="351">
        <f t="shared" si="25"/>
        <v>-8</v>
      </c>
    </row>
    <row r="91" spans="1:37" s="362" customFormat="1" ht="20.100000000000001" customHeight="1" x14ac:dyDescent="0.3">
      <c r="A91" s="453" t="s">
        <v>221</v>
      </c>
      <c r="B91" s="734">
        <v>69.015239510000001</v>
      </c>
      <c r="C91" s="715">
        <v>82.368899999999996</v>
      </c>
      <c r="D91" s="350">
        <f t="shared" si="20"/>
        <v>19.3</v>
      </c>
      <c r="E91" s="144"/>
      <c r="F91" s="350"/>
      <c r="G91" s="350"/>
      <c r="H91" s="144">
        <v>17.433</v>
      </c>
      <c r="I91" s="350">
        <v>38.113999999999997</v>
      </c>
      <c r="J91" s="350">
        <f>IF(H91=0, "    ---- ", IF(ABS(ROUND(100/H91*I91-100,1))&lt;999,ROUND(100/H91*I91-100,1),IF(ROUND(100/H91*I91-100,1)&gt;999,999,-999)))</f>
        <v>118.6</v>
      </c>
      <c r="K91" s="144">
        <v>35</v>
      </c>
      <c r="L91" s="350">
        <v>39</v>
      </c>
      <c r="M91" s="271">
        <f>IF(K91=0, "    ---- ", IF(ABS(ROUND(100/K91*L91-100,1))&lt;999,ROUND(100/K91*L91-100,1),IF(ROUND(100/K91*L91-100,1)&gt;999,999,-999)))</f>
        <v>11.4</v>
      </c>
      <c r="N91" s="144">
        <v>234.47801731999999</v>
      </c>
      <c r="O91" s="350">
        <v>369.33648497000001</v>
      </c>
      <c r="P91" s="271">
        <f t="shared" si="46"/>
        <v>57.5</v>
      </c>
      <c r="Q91" s="144">
        <v>47.25</v>
      </c>
      <c r="R91" s="350">
        <v>50.81</v>
      </c>
      <c r="S91" s="271">
        <f t="shared" si="27"/>
        <v>7.5</v>
      </c>
      <c r="T91" s="144"/>
      <c r="U91" s="350"/>
      <c r="V91" s="271"/>
      <c r="W91" s="144">
        <v>64.06</v>
      </c>
      <c r="X91" s="350">
        <v>47.732999999999997</v>
      </c>
      <c r="Y91" s="271">
        <f t="shared" si="21"/>
        <v>-25.5</v>
      </c>
      <c r="Z91" s="144">
        <v>314.20258929999989</v>
      </c>
      <c r="AA91" s="350">
        <v>214.36661089805401</v>
      </c>
      <c r="AB91" s="271">
        <f t="shared" si="29"/>
        <v>-31.8</v>
      </c>
      <c r="AC91" s="144"/>
      <c r="AD91" s="350">
        <v>12</v>
      </c>
      <c r="AE91" s="271" t="str">
        <f>IF(AC91=0, "    ---- ", IF(ABS(ROUND(100/AC91*AD91-100,1))&lt;999,ROUND(100/AC91*AD91-100,1),IF(ROUND(100/AC91*AD91-100,1)&gt;999,999,-999)))</f>
        <v xml:space="preserve">    ---- </v>
      </c>
      <c r="AF91" s="390">
        <f t="shared" si="47"/>
        <v>781.43884612999989</v>
      </c>
      <c r="AG91" s="390">
        <f t="shared" si="47"/>
        <v>841.72899586805397</v>
      </c>
      <c r="AH91" s="271">
        <f t="shared" si="23"/>
        <v>7.7</v>
      </c>
      <c r="AI91" s="390">
        <f t="shared" si="48"/>
        <v>781.43884612999989</v>
      </c>
      <c r="AJ91" s="390">
        <f t="shared" si="48"/>
        <v>853.72899586805397</v>
      </c>
      <c r="AK91" s="351">
        <f t="shared" si="25"/>
        <v>9.3000000000000007</v>
      </c>
    </row>
    <row r="92" spans="1:37" s="362" customFormat="1" ht="20.100000000000001" customHeight="1" x14ac:dyDescent="0.3">
      <c r="A92" s="453"/>
      <c r="B92" s="734"/>
      <c r="C92" s="715"/>
      <c r="D92" s="271"/>
      <c r="E92" s="144"/>
      <c r="F92" s="350"/>
      <c r="G92" s="271"/>
      <c r="H92" s="144"/>
      <c r="I92" s="350"/>
      <c r="J92" s="271"/>
      <c r="K92" s="144"/>
      <c r="L92" s="350"/>
      <c r="M92" s="271"/>
      <c r="N92" s="144"/>
      <c r="O92" s="350"/>
      <c r="P92" s="271"/>
      <c r="Q92" s="144"/>
      <c r="R92" s="350"/>
      <c r="S92" s="271"/>
      <c r="T92" s="144"/>
      <c r="U92" s="350"/>
      <c r="V92" s="271"/>
      <c r="W92" s="144"/>
      <c r="X92" s="350"/>
      <c r="Y92" s="271"/>
      <c r="Z92" s="144"/>
      <c r="AA92" s="350"/>
      <c r="AB92" s="271"/>
      <c r="AC92" s="144"/>
      <c r="AD92" s="350"/>
      <c r="AE92" s="271"/>
      <c r="AF92" s="347"/>
      <c r="AG92" s="347"/>
      <c r="AH92" s="271"/>
      <c r="AI92" s="347"/>
      <c r="AJ92" s="347"/>
      <c r="AK92" s="351"/>
    </row>
    <row r="93" spans="1:37" s="370" customFormat="1" ht="20.100000000000001" customHeight="1" x14ac:dyDescent="0.3">
      <c r="A93" s="464" t="s">
        <v>222</v>
      </c>
      <c r="B93" s="737">
        <f>SUM(B68+B69+B71+B80+B87+B88+B89+B90+B91)</f>
        <v>392512.36069057335</v>
      </c>
      <c r="C93" s="716">
        <f>SUM(C68+C69+C71+C80+C87+C88+C89+C90+C91)</f>
        <v>422074.38789999997</v>
      </c>
      <c r="D93" s="355">
        <f t="shared" si="20"/>
        <v>7.5</v>
      </c>
      <c r="E93" s="147">
        <f>SUM(E68+E69+E71+E80+E87+E88+E89+E90+E91)</f>
        <v>13589.201806390001</v>
      </c>
      <c r="F93" s="354">
        <f>SUM(F68+F69+F71+F80+F87+F88+F89+F90+F91)</f>
        <v>14479.090889470004</v>
      </c>
      <c r="G93" s="355">
        <f>IF(E93=0, "    ---- ", IF(ABS(ROUND(100/E93*F93-100,1))&lt;999,ROUND(100/E93*F93-100,1),IF(ROUND(100/E93*F93-100,1)&gt;999,999,-999)))</f>
        <v>6.5</v>
      </c>
      <c r="H93" s="147">
        <f>SUM(H68+H69+H71+H80+H87+H88+H89+H90+H91)</f>
        <v>2435.261</v>
      </c>
      <c r="I93" s="354">
        <f>SUM(I68+I69+I71+I80+I87+I88+I89+I90+I91)</f>
        <v>2844.6059999999998</v>
      </c>
      <c r="J93" s="355">
        <f>IF(H93=0, "    ---- ", IF(ABS(ROUND(100/H93*I93-100,1))&lt;999,ROUND(100/H93*I93-100,1),IF(ROUND(100/H93*I93-100,1)&gt;999,999,-999)))</f>
        <v>16.8</v>
      </c>
      <c r="K93" s="147">
        <f>SUM(K68+K69+K71+K80+K87+K88+K89+K90+K91)</f>
        <v>71258</v>
      </c>
      <c r="L93" s="354">
        <f>SUM(L68+L69+L71+L80+L87+L88+L89+L90+L91)</f>
        <v>89504</v>
      </c>
      <c r="M93" s="355">
        <f>IF(K93=0, "    ---- ", IF(ABS(ROUND(100/K93*L93-100,1))&lt;999,ROUND(100/K93*L93-100,1),IF(ROUND(100/K93*L93-100,1)&gt;999,999,-999)))</f>
        <v>25.6</v>
      </c>
      <c r="N93" s="147">
        <v>787166.58794092992</v>
      </c>
      <c r="O93" s="354">
        <v>863946.07267891988</v>
      </c>
      <c r="P93" s="355">
        <f t="shared" si="46"/>
        <v>9.8000000000000007</v>
      </c>
      <c r="Q93" s="147">
        <f>SUM(Q68+Q69+Q71+Q80+Q87+Q88+Q89+Q90+Q91)</f>
        <v>214001.8</v>
      </c>
      <c r="R93" s="354">
        <f>SUM(R68+R69+R71+R80+R87+R88+R89+R90+R91)</f>
        <v>251714.15</v>
      </c>
      <c r="S93" s="355">
        <f t="shared" si="27"/>
        <v>17.600000000000001</v>
      </c>
      <c r="T93" s="147">
        <f>SUM(T68+T69+T71+T80+T87+T88+T89+T90+T91)</f>
        <v>136687</v>
      </c>
      <c r="U93" s="354">
        <f>SUM(U68+U69+U71+U80+U87+U88+U89+U90+U91)</f>
        <v>146635</v>
      </c>
      <c r="V93" s="355">
        <f>IF(T93=0, "    ---- ", IF(ABS(ROUND(100/T93*U93-100,1))&lt;999,ROUND(100/T93*U93-100,1),IF(ROUND(100/T93*U93-100,1)&gt;999,999,-999)))</f>
        <v>7.3</v>
      </c>
      <c r="W93" s="147">
        <f>SUM(W68+W69+W71+W80+W87+W88+W89+W90+W91)</f>
        <v>99378.10500000001</v>
      </c>
      <c r="X93" s="354">
        <f>SUM(X68+X69+X71+X80+X87+X88+X89+X90+X91)</f>
        <v>115561.03599999999</v>
      </c>
      <c r="Y93" s="355">
        <f t="shared" si="21"/>
        <v>16.3</v>
      </c>
      <c r="Z93" s="147">
        <f>SUM(Z68+Z69+Z71+Z80+Z87+Z88+Z89+Z90+Z91)</f>
        <v>504231.78264416876</v>
      </c>
      <c r="AA93" s="354">
        <f>SUM(AA68+AA69+AA71+AA80+AA87+AA88+AA89+AA90+AA91)</f>
        <v>550569.12532204029</v>
      </c>
      <c r="AB93" s="355">
        <f t="shared" si="29"/>
        <v>9.1999999999999993</v>
      </c>
      <c r="AC93" s="147">
        <f>SUM(AC68+AC69+AC71+AC80+AC87+AC88+AC89+AC90+AC91)</f>
        <v>72</v>
      </c>
      <c r="AD93" s="354">
        <f>SUM(AD68+AD69+AD71+AD80+AD87+AD88+AD89+AD90+AD91)</f>
        <v>147</v>
      </c>
      <c r="AE93" s="355">
        <f>IF(AC93=0, "    ---- ", IF(ABS(ROUND(100/AC93*AD93-100,1))&lt;999,ROUND(100/AC93*AD93-100,1),IF(ROUND(100/AC93*AD93-100,1)&gt;999,999,-999)))</f>
        <v>104.2</v>
      </c>
      <c r="AF93" s="587">
        <f t="shared" ref="AF93:AG93" si="49">B93+E93+H93+K93+N93+Q93+T93+W93+Z93</f>
        <v>2221260.099082062</v>
      </c>
      <c r="AG93" s="587">
        <f t="shared" si="49"/>
        <v>2457327.4687904301</v>
      </c>
      <c r="AH93" s="355">
        <f t="shared" si="23"/>
        <v>10.6</v>
      </c>
      <c r="AI93" s="354">
        <f>B93+E93+H93+K93+N93+Q93+T93+W93+Z93+AC93</f>
        <v>2221332.099082062</v>
      </c>
      <c r="AJ93" s="354">
        <f>C93+F93+I93+L93+O93+R93+U93+X93+AA93+AD93</f>
        <v>2457474.4687904301</v>
      </c>
      <c r="AK93" s="356">
        <f t="shared" si="25"/>
        <v>10.6</v>
      </c>
    </row>
    <row r="94" spans="1:37" ht="18.75" customHeight="1" x14ac:dyDescent="0.3">
      <c r="A94" s="360" t="s">
        <v>223</v>
      </c>
      <c r="N94" s="360"/>
      <c r="R94" s="490"/>
      <c r="S94" s="490"/>
      <c r="T94" s="490"/>
      <c r="U94" s="490"/>
      <c r="V94" s="490"/>
      <c r="W94" s="360"/>
      <c r="Z94" s="360"/>
      <c r="AC94" s="360"/>
    </row>
    <row r="95" spans="1:37" ht="18.75" customHeight="1" x14ac:dyDescent="0.3">
      <c r="A95" s="360" t="s">
        <v>224</v>
      </c>
      <c r="N95" s="360"/>
      <c r="R95" s="490"/>
      <c r="S95" s="490"/>
      <c r="T95" s="490"/>
      <c r="U95" s="490"/>
      <c r="V95" s="490"/>
      <c r="W95" s="360"/>
      <c r="Z95" s="360"/>
      <c r="AC95" s="360"/>
    </row>
    <row r="96" spans="1:37" s="363" customFormat="1" ht="18.75" customHeight="1" x14ac:dyDescent="0.3">
      <c r="A96" s="360" t="s">
        <v>225</v>
      </c>
      <c r="S96" s="491"/>
      <c r="T96" s="491"/>
      <c r="U96" s="491"/>
      <c r="V96" s="491"/>
    </row>
    <row r="97" s="363" customFormat="1" ht="18.75" x14ac:dyDescent="0.3"/>
    <row r="98" s="363" customFormat="1" ht="18.75" x14ac:dyDescent="0.3"/>
    <row r="99" s="363" customFormat="1" ht="18.75" x14ac:dyDescent="0.3"/>
    <row r="100" s="363" customFormat="1" ht="18.75" x14ac:dyDescent="0.3"/>
    <row r="101" s="363" customFormat="1" ht="18.75" x14ac:dyDescent="0.3"/>
    <row r="102" s="363" customFormat="1" ht="18.75" x14ac:dyDescent="0.3"/>
    <row r="103" s="363" customFormat="1" ht="18.75" x14ac:dyDescent="0.3"/>
    <row r="104" s="363" customFormat="1" ht="18.75" x14ac:dyDescent="0.3"/>
    <row r="105" s="363" customFormat="1" ht="18.75" x14ac:dyDescent="0.3"/>
    <row r="106" s="363" customFormat="1" ht="18.75" x14ac:dyDescent="0.3"/>
    <row r="107" s="363" customFormat="1" ht="18.75" x14ac:dyDescent="0.3"/>
    <row r="108" s="363" customFormat="1" ht="18.75" x14ac:dyDescent="0.3"/>
    <row r="109" s="363" customFormat="1" ht="18.75" x14ac:dyDescent="0.3"/>
    <row r="110" s="363" customFormat="1" ht="18.75" x14ac:dyDescent="0.3"/>
    <row r="111" s="363" customFormat="1" ht="18.75" x14ac:dyDescent="0.3"/>
    <row r="112" s="363" customFormat="1" ht="18.75" x14ac:dyDescent="0.3"/>
    <row r="113" s="371" customFormat="1" ht="15.75" x14ac:dyDescent="0.25"/>
    <row r="114" s="371" customFormat="1" ht="15.75" x14ac:dyDescent="0.25"/>
  </sheetData>
  <mergeCells count="30">
    <mergeCell ref="AT6:AV6"/>
    <mergeCell ref="AW6:AY6"/>
    <mergeCell ref="Z6:AB6"/>
    <mergeCell ref="AC6:AE6"/>
    <mergeCell ref="AF6:AH6"/>
    <mergeCell ref="AI6:AK6"/>
    <mergeCell ref="AN6:AP6"/>
    <mergeCell ref="AQ6:AS6"/>
    <mergeCell ref="AT5:AV5"/>
    <mergeCell ref="AW5:AY5"/>
    <mergeCell ref="B6:D6"/>
    <mergeCell ref="E6:G6"/>
    <mergeCell ref="H6:J6"/>
    <mergeCell ref="K6:M6"/>
    <mergeCell ref="N6:P6"/>
    <mergeCell ref="Q6:S6"/>
    <mergeCell ref="T6:V6"/>
    <mergeCell ref="W6:Y6"/>
    <mergeCell ref="Z5:AB5"/>
    <mergeCell ref="AC5:AE5"/>
    <mergeCell ref="AF5:AH5"/>
    <mergeCell ref="AI5:AK5"/>
    <mergeCell ref="AN5:AP5"/>
    <mergeCell ref="AQ5:AS5"/>
    <mergeCell ref="W5:Y5"/>
    <mergeCell ref="B5:D5"/>
    <mergeCell ref="E5:G5"/>
    <mergeCell ref="H5:J5"/>
    <mergeCell ref="K5:M5"/>
    <mergeCell ref="T5:V5"/>
  </mergeCells>
  <conditionalFormatting sqref="B35:C35">
    <cfRule type="expression" dxfId="211" priority="53">
      <formula>#REF! ="35≠36+38"</formula>
    </cfRule>
  </conditionalFormatting>
  <conditionalFormatting sqref="B39:C39">
    <cfRule type="expression" dxfId="210" priority="54">
      <formula>#REF! ="39≠40+41+42+43+44"</formula>
    </cfRule>
  </conditionalFormatting>
  <conditionalFormatting sqref="B45:C45">
    <cfRule type="expression" dxfId="209" priority="55">
      <formula>#REF! ="45≠33+34+35+39"</formula>
    </cfRule>
  </conditionalFormatting>
  <conditionalFormatting sqref="B50:C50">
    <cfRule type="expression" dxfId="208" priority="56">
      <formula>#REF! ="50≠51+53"</formula>
    </cfRule>
  </conditionalFormatting>
  <conditionalFormatting sqref="B54:C54">
    <cfRule type="expression" dxfId="207" priority="57">
      <formula>#REF! ="54≠55+56+57+58+59"</formula>
    </cfRule>
  </conditionalFormatting>
  <conditionalFormatting sqref="B60:C60">
    <cfRule type="expression" dxfId="206" priority="58">
      <formula>#REF! ="60≠48+49+50+54"</formula>
    </cfRule>
  </conditionalFormatting>
  <conditionalFormatting sqref="B62:C62">
    <cfRule type="expression" dxfId="205" priority="59">
      <formula>#REF! ="62≠45+46+60+61"</formula>
    </cfRule>
  </conditionalFormatting>
  <conditionalFormatting sqref="B64:C64">
    <cfRule type="expression" dxfId="204" priority="60">
      <formula>#REF! ="64≠29+62"</formula>
    </cfRule>
  </conditionalFormatting>
  <conditionalFormatting sqref="B80:C80">
    <cfRule type="expression" dxfId="203" priority="61">
      <formula>#REF! ="80≠73+74+75+76+77+78+79"</formula>
    </cfRule>
  </conditionalFormatting>
  <conditionalFormatting sqref="B87:C87">
    <cfRule type="expression" dxfId="202" priority="62">
      <formula>#REF! ="88≠82+83+84+85+86+87"</formula>
    </cfRule>
  </conditionalFormatting>
  <conditionalFormatting sqref="B93:C93">
    <cfRule type="expression" dxfId="201" priority="63">
      <formula>#REF! = "64≠94"</formula>
    </cfRule>
    <cfRule type="expression" dxfId="200" priority="64">
      <formula>#REF! = "94≠68+69+71+80+88+89+90+91+92"</formula>
    </cfRule>
  </conditionalFormatting>
  <conditionalFormatting sqref="C74:C75">
    <cfRule type="expression" dxfId="199" priority="68">
      <formula>kvartal &lt; 4</formula>
    </cfRule>
  </conditionalFormatting>
  <conditionalFormatting sqref="C83">
    <cfRule type="expression" dxfId="198" priority="67">
      <formula>kvartal &lt; 4</formula>
    </cfRule>
  </conditionalFormatting>
  <conditionalFormatting sqref="E35:F35">
    <cfRule type="expression" dxfId="197" priority="27">
      <formula>#REF! ="35≠36+38"</formula>
    </cfRule>
  </conditionalFormatting>
  <conditionalFormatting sqref="E39:F39">
    <cfRule type="expression" dxfId="196" priority="28">
      <formula>#REF! ="39≠40+41+42+43+44"</formula>
    </cfRule>
  </conditionalFormatting>
  <conditionalFormatting sqref="E45:F45">
    <cfRule type="expression" dxfId="195" priority="29">
      <formula>#REF! ="45≠33+34+35+39"</formula>
    </cfRule>
  </conditionalFormatting>
  <conditionalFormatting sqref="E50:F50">
    <cfRule type="expression" dxfId="194" priority="30">
      <formula>#REF! ="50≠51+53"</formula>
    </cfRule>
  </conditionalFormatting>
  <conditionalFormatting sqref="E54:F54">
    <cfRule type="expression" dxfId="193" priority="31">
      <formula>#REF! ="54≠55+56+57+58+59"</formula>
    </cfRule>
  </conditionalFormatting>
  <conditionalFormatting sqref="E60:F60">
    <cfRule type="expression" dxfId="192" priority="32">
      <formula>#REF! ="60≠48+49+50+54"</formula>
    </cfRule>
  </conditionalFormatting>
  <conditionalFormatting sqref="E62:F62">
    <cfRule type="expression" dxfId="191" priority="33">
      <formula>#REF! ="62≠45+46+60+61"</formula>
    </cfRule>
  </conditionalFormatting>
  <conditionalFormatting sqref="E64:F64">
    <cfRule type="expression" dxfId="190" priority="34">
      <formula>#REF! ="64≠29+62"</formula>
    </cfRule>
  </conditionalFormatting>
  <conditionalFormatting sqref="E80:F80">
    <cfRule type="expression" dxfId="189" priority="35">
      <formula>#REF! ="80≠73+74+75+76+77+78+79"</formula>
    </cfRule>
  </conditionalFormatting>
  <conditionalFormatting sqref="E87:F87">
    <cfRule type="expression" dxfId="188" priority="36">
      <formula>#REF! ="88≠82+83+84+85+86+87"</formula>
    </cfRule>
  </conditionalFormatting>
  <conditionalFormatting sqref="E93:F93">
    <cfRule type="expression" dxfId="187" priority="37">
      <formula>#REF! = "64≠94"</formula>
    </cfRule>
    <cfRule type="expression" dxfId="186" priority="38">
      <formula>#REF! = "94≠68+69+71+80+88+89+90+91+92"</formula>
    </cfRule>
  </conditionalFormatting>
  <conditionalFormatting sqref="F74:F75">
    <cfRule type="expression" dxfId="185" priority="40">
      <formula>kvartal &lt; 4</formula>
    </cfRule>
  </conditionalFormatting>
  <conditionalFormatting sqref="F83">
    <cfRule type="expression" dxfId="184" priority="39">
      <formula>kvartal &lt; 4</formula>
    </cfRule>
  </conditionalFormatting>
  <conditionalFormatting sqref="H35:I35">
    <cfRule type="expression" dxfId="183" priority="79">
      <formula>#REF! ="35≠36+38"</formula>
    </cfRule>
  </conditionalFormatting>
  <conditionalFormatting sqref="H39:I39">
    <cfRule type="expression" dxfId="182" priority="80">
      <formula>#REF! ="39≠40+41+42+43+44"</formula>
    </cfRule>
  </conditionalFormatting>
  <conditionalFormatting sqref="H45:I45">
    <cfRule type="expression" dxfId="181" priority="81">
      <formula>#REF! ="45≠33+34+35+39"</formula>
    </cfRule>
  </conditionalFormatting>
  <conditionalFormatting sqref="H50:I50">
    <cfRule type="expression" dxfId="180" priority="82">
      <formula>#REF! ="50≠51+53"</formula>
    </cfRule>
  </conditionalFormatting>
  <conditionalFormatting sqref="H54:I54">
    <cfRule type="expression" dxfId="179" priority="83">
      <formula>#REF! ="54≠55+56+57+58+59"</formula>
    </cfRule>
  </conditionalFormatting>
  <conditionalFormatting sqref="H60:I60">
    <cfRule type="expression" dxfId="178" priority="84">
      <formula>#REF! ="60≠48+49+50+54"</formula>
    </cfRule>
  </conditionalFormatting>
  <conditionalFormatting sqref="H62:I62">
    <cfRule type="expression" dxfId="177" priority="85">
      <formula>#REF! ="62≠45+46+60+61"</formula>
    </cfRule>
  </conditionalFormatting>
  <conditionalFormatting sqref="H64:I64">
    <cfRule type="expression" dxfId="176" priority="86">
      <formula>#REF! ="64≠29+62"</formula>
    </cfRule>
  </conditionalFormatting>
  <conditionalFormatting sqref="H80:I80">
    <cfRule type="expression" dxfId="175" priority="87">
      <formula>#REF! ="80≠73+74+75+76+77+78+79"</formula>
    </cfRule>
  </conditionalFormatting>
  <conditionalFormatting sqref="H87:I87">
    <cfRule type="expression" dxfId="174" priority="88">
      <formula>#REF! ="88≠82+83+84+85+86+87"</formula>
    </cfRule>
  </conditionalFormatting>
  <conditionalFormatting sqref="H93:I93">
    <cfRule type="expression" dxfId="173" priority="90">
      <formula>#REF! = "94≠68+69+71+80+88+89+90+91+92"</formula>
    </cfRule>
    <cfRule type="expression" dxfId="172" priority="89">
      <formula>#REF! = "64≠94"</formula>
    </cfRule>
  </conditionalFormatting>
  <conditionalFormatting sqref="I74:I75">
    <cfRule type="expression" dxfId="171" priority="94">
      <formula>kvartal &lt; 4</formula>
    </cfRule>
  </conditionalFormatting>
  <conditionalFormatting sqref="I83">
    <cfRule type="expression" dxfId="170" priority="93">
      <formula>kvartal &lt; 4</formula>
    </cfRule>
  </conditionalFormatting>
  <conditionalFormatting sqref="K35:L35">
    <cfRule type="expression" dxfId="169" priority="183">
      <formula>#REF! ="35≠36+38"</formula>
    </cfRule>
  </conditionalFormatting>
  <conditionalFormatting sqref="K39:L39">
    <cfRule type="expression" dxfId="168" priority="184">
      <formula>#REF! ="39≠40+41+42+43+44"</formula>
    </cfRule>
  </conditionalFormatting>
  <conditionalFormatting sqref="K45:L45">
    <cfRule type="expression" dxfId="167" priority="185">
      <formula>#REF! ="45≠33+34+35+39"</formula>
    </cfRule>
  </conditionalFormatting>
  <conditionalFormatting sqref="K50:L50">
    <cfRule type="expression" dxfId="166" priority="186">
      <formula>#REF! ="50≠51+53"</formula>
    </cfRule>
  </conditionalFormatting>
  <conditionalFormatting sqref="K54:L54">
    <cfRule type="expression" dxfId="165" priority="187">
      <formula>#REF! ="54≠55+56+57+58+59"</formula>
    </cfRule>
  </conditionalFormatting>
  <conditionalFormatting sqref="K60:L60">
    <cfRule type="expression" dxfId="164" priority="188">
      <formula>#REF! ="60≠48+49+50+54"</formula>
    </cfRule>
  </conditionalFormatting>
  <conditionalFormatting sqref="K62:L62">
    <cfRule type="expression" dxfId="163" priority="189">
      <formula>#REF! ="62≠45+46+60+61"</formula>
    </cfRule>
  </conditionalFormatting>
  <conditionalFormatting sqref="K64:L64">
    <cfRule type="expression" dxfId="162" priority="190">
      <formula>#REF! ="64≠29+62"</formula>
    </cfRule>
  </conditionalFormatting>
  <conditionalFormatting sqref="K80:L80">
    <cfRule type="expression" dxfId="161" priority="191">
      <formula>#REF! ="80≠73+74+75+76+77+78+79"</formula>
    </cfRule>
  </conditionalFormatting>
  <conditionalFormatting sqref="K87:L87">
    <cfRule type="expression" dxfId="160" priority="192">
      <formula>#REF! ="88≠82+83+84+85+86+87"</formula>
    </cfRule>
  </conditionalFormatting>
  <conditionalFormatting sqref="K93:L93">
    <cfRule type="expression" dxfId="159" priority="194">
      <formula>#REF! = "94≠68+69+71+80+88+89+90+91+92"</formula>
    </cfRule>
    <cfRule type="expression" dxfId="158" priority="193">
      <formula>#REF! = "64≠94"</formula>
    </cfRule>
  </conditionalFormatting>
  <conditionalFormatting sqref="L74:L76">
    <cfRule type="expression" dxfId="157" priority="198">
      <formula>kvartal &lt; 4</formula>
    </cfRule>
  </conditionalFormatting>
  <conditionalFormatting sqref="L83">
    <cfRule type="expression" dxfId="156" priority="197">
      <formula>kvartal &lt; 4</formula>
    </cfRule>
  </conditionalFormatting>
  <conditionalFormatting sqref="N35:O35">
    <cfRule type="expression" dxfId="155" priority="1">
      <formula>#REF! ="35≠36+38"</formula>
    </cfRule>
  </conditionalFormatting>
  <conditionalFormatting sqref="N39:O39">
    <cfRule type="expression" dxfId="154" priority="2">
      <formula>#REF! ="39≠40+41+42+43+44"</formula>
    </cfRule>
  </conditionalFormatting>
  <conditionalFormatting sqref="N45:O45">
    <cfRule type="expression" dxfId="153" priority="3">
      <formula>#REF! ="45≠33+34+35+39"</formula>
    </cfRule>
  </conditionalFormatting>
  <conditionalFormatting sqref="N50:O50">
    <cfRule type="expression" dxfId="152" priority="4">
      <formula>#REF! ="50≠51+53"</formula>
    </cfRule>
  </conditionalFormatting>
  <conditionalFormatting sqref="N54:O54">
    <cfRule type="expression" dxfId="151" priority="5">
      <formula>#REF! ="54≠55+56+57+58+59"</formula>
    </cfRule>
  </conditionalFormatting>
  <conditionalFormatting sqref="N60:O60">
    <cfRule type="expression" dxfId="150" priority="6">
      <formula>#REF! ="60≠48+49+50+54"</formula>
    </cfRule>
  </conditionalFormatting>
  <conditionalFormatting sqref="N62:O62">
    <cfRule type="expression" dxfId="149" priority="7">
      <formula>#REF! ="62≠45+46+60+61"</formula>
    </cfRule>
  </conditionalFormatting>
  <conditionalFormatting sqref="N64:O64">
    <cfRule type="expression" dxfId="148" priority="8">
      <formula>#REF! ="64≠29+62"</formula>
    </cfRule>
  </conditionalFormatting>
  <conditionalFormatting sqref="N80:O80">
    <cfRule type="expression" dxfId="147" priority="9">
      <formula>#REF! ="80≠73+74+75+76+77+78+79"</formula>
    </cfRule>
  </conditionalFormatting>
  <conditionalFormatting sqref="N87:O87">
    <cfRule type="expression" dxfId="146" priority="10">
      <formula>#REF! ="88≠82+83+84+85+86+87"</formula>
    </cfRule>
  </conditionalFormatting>
  <conditionalFormatting sqref="N93:O93">
    <cfRule type="expression" dxfId="145" priority="12">
      <formula>#REF! = "94≠68+69+71+80+88+89+90+91+92"</formula>
    </cfRule>
    <cfRule type="expression" dxfId="144" priority="11">
      <formula>#REF! = "64≠94"</formula>
    </cfRule>
  </conditionalFormatting>
  <conditionalFormatting sqref="O74:O75">
    <cfRule type="expression" dxfId="143" priority="16">
      <formula>kvartal &lt; 4</formula>
    </cfRule>
  </conditionalFormatting>
  <conditionalFormatting sqref="O83">
    <cfRule type="expression" dxfId="142" priority="15">
      <formula>kvartal &lt; 4</formula>
    </cfRule>
  </conditionalFormatting>
  <conditionalFormatting sqref="Q35:R35">
    <cfRule type="expression" dxfId="141" priority="209">
      <formula>#REF! ="35≠36+38"</formula>
    </cfRule>
  </conditionalFormatting>
  <conditionalFormatting sqref="Q39:R39">
    <cfRule type="expression" dxfId="140" priority="210">
      <formula>#REF! ="39≠40+41+42+43+44"</formula>
    </cfRule>
  </conditionalFormatting>
  <conditionalFormatting sqref="Q45:R45">
    <cfRule type="expression" dxfId="139" priority="211">
      <formula>#REF! ="45≠33+34+35+39"</formula>
    </cfRule>
  </conditionalFormatting>
  <conditionalFormatting sqref="Q50:R50">
    <cfRule type="expression" dxfId="138" priority="212">
      <formula>#REF! ="50≠51+53"</formula>
    </cfRule>
  </conditionalFormatting>
  <conditionalFormatting sqref="Q54:R54">
    <cfRule type="expression" dxfId="137" priority="213">
      <formula>#REF! ="54≠55+56+57+58+59"</formula>
    </cfRule>
  </conditionalFormatting>
  <conditionalFormatting sqref="Q60:R60">
    <cfRule type="expression" dxfId="136" priority="214">
      <formula>#REF! ="60≠48+49+50+54"</formula>
    </cfRule>
  </conditionalFormatting>
  <conditionalFormatting sqref="Q62:R62">
    <cfRule type="expression" dxfId="135" priority="215">
      <formula>#REF! ="62≠45+46+60+61"</formula>
    </cfRule>
  </conditionalFormatting>
  <conditionalFormatting sqref="Q64:R64">
    <cfRule type="expression" dxfId="134" priority="216">
      <formula>#REF! ="64≠29+62"</formula>
    </cfRule>
  </conditionalFormatting>
  <conditionalFormatting sqref="Q80:R80">
    <cfRule type="expression" dxfId="133" priority="217">
      <formula>#REF! ="80≠73+74+75+76+77+78+79"</formula>
    </cfRule>
  </conditionalFormatting>
  <conditionalFormatting sqref="Q87:R87">
    <cfRule type="expression" dxfId="132" priority="218">
      <formula>#REF! ="88≠82+83+84+85+86+87"</formula>
    </cfRule>
  </conditionalFormatting>
  <conditionalFormatting sqref="Q93:R93">
    <cfRule type="expression" dxfId="131" priority="219">
      <formula>#REF! = "64≠94"</formula>
    </cfRule>
    <cfRule type="expression" dxfId="130" priority="220">
      <formula>#REF! = "94≠68+69+71+80+88+89+90+91+92"</formula>
    </cfRule>
  </conditionalFormatting>
  <conditionalFormatting sqref="R74:R75">
    <cfRule type="expression" dxfId="129" priority="224">
      <formula>kvartal &lt; 4</formula>
    </cfRule>
  </conditionalFormatting>
  <conditionalFormatting sqref="R83">
    <cfRule type="expression" dxfId="128" priority="223">
      <formula>kvartal &lt; 4</formula>
    </cfRule>
  </conditionalFormatting>
  <conditionalFormatting sqref="T35:U35">
    <cfRule type="expression" dxfId="127" priority="235">
      <formula>#REF! ="35≠36+38"</formula>
    </cfRule>
  </conditionalFormatting>
  <conditionalFormatting sqref="T39:U39">
    <cfRule type="expression" dxfId="126" priority="236">
      <formula>#REF! ="39≠40+41+42+43+44"</formula>
    </cfRule>
  </conditionalFormatting>
  <conditionalFormatting sqref="T45:U45">
    <cfRule type="expression" dxfId="125" priority="237">
      <formula>#REF! ="45≠33+34+35+39"</formula>
    </cfRule>
  </conditionalFormatting>
  <conditionalFormatting sqref="T50:U50">
    <cfRule type="expression" dxfId="124" priority="238">
      <formula>#REF! ="50≠51+53"</formula>
    </cfRule>
  </conditionalFormatting>
  <conditionalFormatting sqref="T54:U54">
    <cfRule type="expression" dxfId="123" priority="239">
      <formula>#REF! ="54≠55+56+57+58+59"</formula>
    </cfRule>
  </conditionalFormatting>
  <conditionalFormatting sqref="T60:U60">
    <cfRule type="expression" dxfId="122" priority="240">
      <formula>#REF! ="60≠48+49+50+54"</formula>
    </cfRule>
  </conditionalFormatting>
  <conditionalFormatting sqref="T62:U62">
    <cfRule type="expression" dxfId="121" priority="241">
      <formula>#REF! ="62≠45+46+60+61"</formula>
    </cfRule>
  </conditionalFormatting>
  <conditionalFormatting sqref="T64:U64">
    <cfRule type="expression" dxfId="120" priority="242">
      <formula>#REF! ="64≠29+62"</formula>
    </cfRule>
  </conditionalFormatting>
  <conditionalFormatting sqref="T80:U80">
    <cfRule type="expression" dxfId="119" priority="243">
      <formula>#REF! ="80≠73+74+75+76+77+78+79"</formula>
    </cfRule>
  </conditionalFormatting>
  <conditionalFormatting sqref="T87:U87">
    <cfRule type="expression" dxfId="118" priority="244">
      <formula>#REF! ="88≠82+83+84+85+86+87"</formula>
    </cfRule>
  </conditionalFormatting>
  <conditionalFormatting sqref="T93:U93">
    <cfRule type="expression" dxfId="117" priority="246">
      <formula>#REF! = "94≠68+69+71+80+88+89+90+91+92"</formula>
    </cfRule>
    <cfRule type="expression" dxfId="116" priority="245">
      <formula>#REF! = "64≠94"</formula>
    </cfRule>
  </conditionalFormatting>
  <conditionalFormatting sqref="U74:U75">
    <cfRule type="expression" dxfId="115" priority="250">
      <formula>kvartal &lt; 4</formula>
    </cfRule>
  </conditionalFormatting>
  <conditionalFormatting sqref="U83">
    <cfRule type="expression" dxfId="114" priority="249">
      <formula>kvartal &lt; 4</formula>
    </cfRule>
  </conditionalFormatting>
  <conditionalFormatting sqref="W35:X35">
    <cfRule type="expression" dxfId="113" priority="157">
      <formula>#REF! ="35≠36+38"</formula>
    </cfRule>
  </conditionalFormatting>
  <conditionalFormatting sqref="W39:X39">
    <cfRule type="expression" dxfId="112" priority="158">
      <formula>#REF! ="39≠40+41+42+43+44"</formula>
    </cfRule>
  </conditionalFormatting>
  <conditionalFormatting sqref="W45:X45">
    <cfRule type="expression" dxfId="111" priority="159">
      <formula>#REF! ="45≠33+34+35+39"</formula>
    </cfRule>
  </conditionalFormatting>
  <conditionalFormatting sqref="W50:X50">
    <cfRule type="expression" dxfId="110" priority="160">
      <formula>#REF! ="50≠51+53"</formula>
    </cfRule>
  </conditionalFormatting>
  <conditionalFormatting sqref="W54:X54">
    <cfRule type="expression" dxfId="109" priority="161">
      <formula>#REF! ="54≠55+56+57+58+59"</formula>
    </cfRule>
  </conditionalFormatting>
  <conditionalFormatting sqref="W60:X60">
    <cfRule type="expression" dxfId="108" priority="162">
      <formula>#REF! ="60≠48+49+50+54"</formula>
    </cfRule>
  </conditionalFormatting>
  <conditionalFormatting sqref="W62:X62">
    <cfRule type="expression" dxfId="107" priority="163">
      <formula>#REF! ="62≠45+46+60+61"</formula>
    </cfRule>
  </conditionalFormatting>
  <conditionalFormatting sqref="W64:X64">
    <cfRule type="expression" dxfId="106" priority="164">
      <formula>#REF! ="64≠29+62"</formula>
    </cfRule>
  </conditionalFormatting>
  <conditionalFormatting sqref="W80:X80">
    <cfRule type="expression" dxfId="105" priority="165">
      <formula>#REF! ="80≠73+74+75+76+77+78+79"</formula>
    </cfRule>
  </conditionalFormatting>
  <conditionalFormatting sqref="W87:X87">
    <cfRule type="expression" dxfId="104" priority="166">
      <formula>#REF! ="88≠82+83+84+85+86+87"</formula>
    </cfRule>
  </conditionalFormatting>
  <conditionalFormatting sqref="W93:X93">
    <cfRule type="expression" dxfId="103" priority="168">
      <formula>#REF! = "94≠68+69+71+80+88+89+90+91+92"</formula>
    </cfRule>
    <cfRule type="expression" dxfId="102" priority="167">
      <formula>#REF! = "64≠94"</formula>
    </cfRule>
  </conditionalFormatting>
  <conditionalFormatting sqref="X74:X75">
    <cfRule type="expression" dxfId="101" priority="172">
      <formula>kvartal &lt; 4</formula>
    </cfRule>
  </conditionalFormatting>
  <conditionalFormatting sqref="X83">
    <cfRule type="expression" dxfId="100" priority="171">
      <formula>kvartal &lt; 4</formula>
    </cfRule>
  </conditionalFormatting>
  <conditionalFormatting sqref="Z35:AA35">
    <cfRule type="expression" dxfId="99" priority="105">
      <formula>#REF! ="35≠36+38"</formula>
    </cfRule>
  </conditionalFormatting>
  <conditionalFormatting sqref="Z39:AA39">
    <cfRule type="expression" dxfId="98" priority="106">
      <formula>#REF! ="39≠40+41+42+43+44"</formula>
    </cfRule>
  </conditionalFormatting>
  <conditionalFormatting sqref="Z45:AA45">
    <cfRule type="expression" dxfId="97" priority="107">
      <formula>#REF! ="45≠33+34+35+39"</formula>
    </cfRule>
  </conditionalFormatting>
  <conditionalFormatting sqref="Z50:AA50">
    <cfRule type="expression" dxfId="96" priority="108">
      <formula>#REF! ="50≠51+53"</formula>
    </cfRule>
  </conditionalFormatting>
  <conditionalFormatting sqref="Z54:AA54">
    <cfRule type="expression" dxfId="95" priority="109">
      <formula>#REF! ="54≠55+56+57+58+59"</formula>
    </cfRule>
  </conditionalFormatting>
  <conditionalFormatting sqref="Z60:AA60">
    <cfRule type="expression" dxfId="94" priority="110">
      <formula>#REF! ="60≠48+49+50+54"</formula>
    </cfRule>
  </conditionalFormatting>
  <conditionalFormatting sqref="Z62:AA62">
    <cfRule type="expression" dxfId="93" priority="111">
      <formula>#REF! ="62≠45+46+60+61"</formula>
    </cfRule>
  </conditionalFormatting>
  <conditionalFormatting sqref="Z64:AA64">
    <cfRule type="expression" dxfId="92" priority="112">
      <formula>#REF! ="64≠29+62"</formula>
    </cfRule>
  </conditionalFormatting>
  <conditionalFormatting sqref="Z80:AA80">
    <cfRule type="expression" dxfId="91" priority="113">
      <formula>#REF! ="80≠73+74+75+76+77+78+79"</formula>
    </cfRule>
  </conditionalFormatting>
  <conditionalFormatting sqref="Z87:AA87">
    <cfRule type="expression" dxfId="90" priority="114">
      <formula>#REF! ="88≠82+83+84+85+86+87"</formula>
    </cfRule>
  </conditionalFormatting>
  <conditionalFormatting sqref="Z93:AA93">
    <cfRule type="expression" dxfId="89" priority="115">
      <formula>#REF! = "64≠94"</formula>
    </cfRule>
    <cfRule type="expression" dxfId="88" priority="116">
      <formula>#REF! = "94≠68+69+71+80+88+89+90+91+92"</formula>
    </cfRule>
  </conditionalFormatting>
  <conditionalFormatting sqref="AA74:AA75">
    <cfRule type="expression" dxfId="87" priority="120">
      <formula>kvartal &lt; 4</formula>
    </cfRule>
  </conditionalFormatting>
  <conditionalFormatting sqref="AA83">
    <cfRule type="expression" dxfId="86" priority="119">
      <formula>kvartal &lt; 4</formula>
    </cfRule>
  </conditionalFormatting>
  <conditionalFormatting sqref="AC35:AD35">
    <cfRule type="expression" dxfId="85" priority="140">
      <formula>#REF! ="35≠36+38"</formula>
    </cfRule>
  </conditionalFormatting>
  <conditionalFormatting sqref="AC39:AD39">
    <cfRule type="expression" dxfId="84" priority="141">
      <formula>#REF! ="39≠40+41+42+43+44"</formula>
    </cfRule>
  </conditionalFormatting>
  <conditionalFormatting sqref="AC45:AD45">
    <cfRule type="expression" dxfId="83" priority="142">
      <formula>#REF! ="45≠33+34+35+39"</formula>
    </cfRule>
  </conditionalFormatting>
  <conditionalFormatting sqref="AC50:AD50">
    <cfRule type="expression" dxfId="82" priority="131">
      <formula>#REF! ="50≠51+53"</formula>
    </cfRule>
  </conditionalFormatting>
  <conditionalFormatting sqref="AC54:AD54">
    <cfRule type="expression" dxfId="81" priority="132">
      <formula>#REF! ="54≠55+56+57+58+59"</formula>
    </cfRule>
  </conditionalFormatting>
  <conditionalFormatting sqref="AC60:AD60">
    <cfRule type="expression" dxfId="80" priority="133">
      <formula>#REF! ="60≠48+49+50+54"</formula>
    </cfRule>
  </conditionalFormatting>
  <conditionalFormatting sqref="AC62:AD62">
    <cfRule type="expression" dxfId="79" priority="134">
      <formula>#REF! ="62≠45+46+60+61"</formula>
    </cfRule>
  </conditionalFormatting>
  <conditionalFormatting sqref="AC64:AD64">
    <cfRule type="expression" dxfId="78" priority="135">
      <formula>#REF! ="64≠29+62"</formula>
    </cfRule>
  </conditionalFormatting>
  <conditionalFormatting sqref="AC80:AD80">
    <cfRule type="expression" dxfId="77" priority="136">
      <formula>#REF! ="80≠73+74+75+76+77+78+79"</formula>
    </cfRule>
  </conditionalFormatting>
  <conditionalFormatting sqref="AC87:AD87">
    <cfRule type="expression" dxfId="76" priority="137">
      <formula>#REF! ="88≠82+83+84+85+86+87"</formula>
    </cfRule>
  </conditionalFormatting>
  <conditionalFormatting sqref="AC93:AD93">
    <cfRule type="expression" dxfId="75" priority="138">
      <formula>#REF! = "64≠94"</formula>
    </cfRule>
    <cfRule type="expression" dxfId="74" priority="139">
      <formula>#REF! = "94≠68+69+71+80+88+89+90+91+92"</formula>
    </cfRule>
  </conditionalFormatting>
  <conditionalFormatting sqref="AD74:AD75">
    <cfRule type="expression" dxfId="73" priority="146">
      <formula>kvartal &lt; 4</formula>
    </cfRule>
  </conditionalFormatting>
  <conditionalFormatting sqref="AD83">
    <cfRule type="expression" dxfId="72" priority="145">
      <formula>kvartal &lt; 4</formula>
    </cfRule>
  </conditionalFormatting>
  <conditionalFormatting sqref="AF93:AG93">
    <cfRule type="expression" dxfId="71" priority="493">
      <formula>#REF! = "64≠94"</formula>
    </cfRule>
    <cfRule type="expression" dxfId="70" priority="494">
      <formula>#REF! = "94≠68+69+71+80+88+89+90+91+92"</formula>
    </cfRule>
  </conditionalFormatting>
  <conditionalFormatting sqref="AG74">
    <cfRule type="expression" dxfId="69" priority="292">
      <formula>kvartal &lt; 4</formula>
    </cfRule>
  </conditionalFormatting>
  <conditionalFormatting sqref="AG83">
    <cfRule type="expression" dxfId="68" priority="280">
      <formula>kvartal &lt; 4</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6A58-13FF-4B52-977A-D26F59C53043}">
  <sheetPr codeName="Ark40"/>
  <dimension ref="A1:AY86"/>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84.5703125" style="392" customWidth="1"/>
    <col min="2" max="31" width="11.7109375" style="392" customWidth="1"/>
    <col min="32" max="32" width="13.5703125" style="392" customWidth="1"/>
    <col min="33" max="33" width="13" style="392" bestFit="1" customWidth="1"/>
    <col min="34" max="34" width="10.140625" style="392" bestFit="1" customWidth="1"/>
    <col min="35" max="35" width="12.140625" style="392" bestFit="1" customWidth="1"/>
    <col min="36" max="16384" width="11.42578125" style="392"/>
  </cols>
  <sheetData>
    <row r="1" spans="1:51" ht="20.25" customHeight="1" x14ac:dyDescent="0.3">
      <c r="A1" s="391" t="s">
        <v>153</v>
      </c>
      <c r="AI1" s="588"/>
    </row>
    <row r="2" spans="1:51" ht="20.100000000000001" customHeight="1" x14ac:dyDescent="0.3">
      <c r="A2" s="391" t="s">
        <v>358</v>
      </c>
      <c r="C2" s="508"/>
      <c r="D2" s="509"/>
      <c r="E2" s="509"/>
      <c r="AG2" s="589"/>
      <c r="AI2" s="588"/>
    </row>
    <row r="3" spans="1:51" ht="20.100000000000001" customHeight="1" x14ac:dyDescent="0.3">
      <c r="A3" s="590" t="s">
        <v>359</v>
      </c>
      <c r="AI3" s="588"/>
    </row>
    <row r="4" spans="1:51" ht="18.75" customHeight="1" x14ac:dyDescent="0.25">
      <c r="A4" s="591" t="s">
        <v>320</v>
      </c>
      <c r="B4" s="396"/>
      <c r="C4" s="396"/>
      <c r="D4" s="396"/>
      <c r="E4" s="396"/>
      <c r="F4" s="396"/>
      <c r="G4" s="397"/>
      <c r="H4" s="396"/>
      <c r="I4" s="396"/>
      <c r="J4" s="397"/>
      <c r="K4" s="395"/>
      <c r="L4" s="396"/>
      <c r="M4" s="397"/>
      <c r="N4" s="395"/>
      <c r="O4" s="396"/>
      <c r="P4" s="397"/>
      <c r="Q4" s="395"/>
      <c r="R4" s="396"/>
      <c r="S4" s="397"/>
      <c r="T4" s="395"/>
      <c r="U4" s="396"/>
      <c r="V4" s="397"/>
      <c r="W4" s="395"/>
      <c r="X4" s="396"/>
      <c r="Y4" s="397"/>
      <c r="Z4" s="395"/>
      <c r="AA4" s="396"/>
      <c r="AB4" s="397"/>
      <c r="AC4" s="395"/>
      <c r="AD4" s="396"/>
      <c r="AE4" s="397"/>
      <c r="AF4" s="395"/>
      <c r="AG4" s="396"/>
      <c r="AH4" s="397"/>
      <c r="AI4" s="592"/>
      <c r="AJ4" s="593"/>
      <c r="AK4" s="593"/>
      <c r="AL4" s="593"/>
      <c r="AM4" s="593"/>
      <c r="AN4" s="593"/>
      <c r="AO4" s="593"/>
      <c r="AP4" s="593"/>
      <c r="AQ4" s="593"/>
      <c r="AR4" s="593"/>
      <c r="AS4" s="593"/>
      <c r="AT4" s="593"/>
      <c r="AU4" s="593"/>
      <c r="AV4" s="593"/>
      <c r="AW4" s="593"/>
      <c r="AX4" s="593"/>
      <c r="AY4" s="593"/>
    </row>
    <row r="5" spans="1:51" ht="18.75" customHeight="1" x14ac:dyDescent="0.3">
      <c r="A5" s="400" t="s">
        <v>360</v>
      </c>
      <c r="B5" s="802" t="s">
        <v>156</v>
      </c>
      <c r="C5" s="803"/>
      <c r="D5" s="804"/>
      <c r="E5" s="802"/>
      <c r="F5" s="803"/>
      <c r="G5" s="804"/>
      <c r="H5" s="802" t="s">
        <v>157</v>
      </c>
      <c r="I5" s="803"/>
      <c r="J5" s="804"/>
      <c r="K5" s="802" t="s">
        <v>158</v>
      </c>
      <c r="L5" s="803"/>
      <c r="M5" s="804"/>
      <c r="N5" s="635" t="s">
        <v>159</v>
      </c>
      <c r="O5" s="636"/>
      <c r="P5" s="637"/>
      <c r="Q5" s="635"/>
      <c r="R5" s="636"/>
      <c r="S5" s="637"/>
      <c r="T5" s="802" t="s">
        <v>160</v>
      </c>
      <c r="U5" s="803"/>
      <c r="V5" s="804"/>
      <c r="W5" s="802" t="s">
        <v>65</v>
      </c>
      <c r="X5" s="803"/>
      <c r="Y5" s="804"/>
      <c r="Z5" s="802" t="s">
        <v>68</v>
      </c>
      <c r="AA5" s="803"/>
      <c r="AB5" s="804"/>
      <c r="AC5" s="802" t="s">
        <v>434</v>
      </c>
      <c r="AD5" s="803"/>
      <c r="AE5" s="804"/>
      <c r="AF5" s="802" t="s">
        <v>361</v>
      </c>
      <c r="AG5" s="803"/>
      <c r="AH5" s="804"/>
      <c r="AJ5" s="639"/>
      <c r="AK5" s="812"/>
      <c r="AL5" s="812"/>
      <c r="AM5" s="812"/>
      <c r="AN5" s="812"/>
      <c r="AO5" s="812"/>
      <c r="AP5" s="812"/>
      <c r="AQ5" s="812"/>
      <c r="AR5" s="812"/>
      <c r="AS5" s="812"/>
      <c r="AT5" s="812"/>
      <c r="AU5" s="812"/>
      <c r="AV5" s="812"/>
      <c r="AW5" s="812"/>
      <c r="AX5" s="812"/>
      <c r="AY5" s="812"/>
    </row>
    <row r="6" spans="1:51" ht="18.75" customHeight="1" x14ac:dyDescent="0.3">
      <c r="A6" s="401" t="s">
        <v>362</v>
      </c>
      <c r="B6" s="805" t="s">
        <v>162</v>
      </c>
      <c r="C6" s="806"/>
      <c r="D6" s="807"/>
      <c r="E6" s="805" t="s">
        <v>421</v>
      </c>
      <c r="F6" s="806"/>
      <c r="G6" s="807"/>
      <c r="H6" s="805" t="s">
        <v>162</v>
      </c>
      <c r="I6" s="806"/>
      <c r="J6" s="807"/>
      <c r="K6" s="805" t="s">
        <v>163</v>
      </c>
      <c r="L6" s="806"/>
      <c r="M6" s="807"/>
      <c r="N6" s="805" t="s">
        <v>61</v>
      </c>
      <c r="O6" s="806"/>
      <c r="P6" s="807"/>
      <c r="Q6" s="805" t="s">
        <v>63</v>
      </c>
      <c r="R6" s="806"/>
      <c r="S6" s="807"/>
      <c r="T6" s="805" t="s">
        <v>161</v>
      </c>
      <c r="U6" s="806"/>
      <c r="V6" s="807"/>
      <c r="W6" s="805" t="s">
        <v>430</v>
      </c>
      <c r="X6" s="806"/>
      <c r="Y6" s="807"/>
      <c r="Z6" s="805" t="s">
        <v>162</v>
      </c>
      <c r="AA6" s="806"/>
      <c r="AB6" s="807"/>
      <c r="AC6" s="805" t="s">
        <v>430</v>
      </c>
      <c r="AD6" s="806"/>
      <c r="AE6" s="807"/>
      <c r="AF6" s="805" t="s">
        <v>363</v>
      </c>
      <c r="AG6" s="806"/>
      <c r="AH6" s="807"/>
      <c r="AJ6" s="639"/>
      <c r="AK6" s="812"/>
      <c r="AL6" s="812"/>
      <c r="AM6" s="812"/>
      <c r="AN6" s="812"/>
      <c r="AO6" s="812"/>
      <c r="AP6" s="812"/>
      <c r="AQ6" s="812"/>
      <c r="AR6" s="812"/>
      <c r="AS6" s="812"/>
      <c r="AT6" s="812"/>
      <c r="AU6" s="812"/>
      <c r="AV6" s="812"/>
      <c r="AW6" s="812"/>
      <c r="AX6" s="812"/>
      <c r="AY6" s="812"/>
    </row>
    <row r="7" spans="1:51" ht="18.75" customHeight="1" x14ac:dyDescent="0.3">
      <c r="A7" s="401"/>
      <c r="B7" s="402"/>
      <c r="C7" s="402"/>
      <c r="D7" s="403" t="s">
        <v>76</v>
      </c>
      <c r="E7" s="402"/>
      <c r="F7" s="402"/>
      <c r="G7" s="403" t="s">
        <v>76</v>
      </c>
      <c r="H7" s="402"/>
      <c r="I7" s="402"/>
      <c r="J7" s="403" t="s">
        <v>76</v>
      </c>
      <c r="K7" s="402"/>
      <c r="L7" s="402"/>
      <c r="M7" s="403" t="s">
        <v>76</v>
      </c>
      <c r="N7" s="402"/>
      <c r="O7" s="402"/>
      <c r="P7" s="403" t="s">
        <v>76</v>
      </c>
      <c r="Q7" s="402"/>
      <c r="R7" s="402"/>
      <c r="S7" s="403" t="s">
        <v>76</v>
      </c>
      <c r="T7" s="402"/>
      <c r="U7" s="402"/>
      <c r="V7" s="403" t="s">
        <v>76</v>
      </c>
      <c r="W7" s="402"/>
      <c r="X7" s="402"/>
      <c r="Y7" s="403" t="s">
        <v>76</v>
      </c>
      <c r="Z7" s="402"/>
      <c r="AA7" s="402"/>
      <c r="AB7" s="403" t="s">
        <v>76</v>
      </c>
      <c r="AC7" s="402"/>
      <c r="AD7" s="402"/>
      <c r="AE7" s="403" t="s">
        <v>76</v>
      </c>
      <c r="AF7" s="402"/>
      <c r="AG7" s="402"/>
      <c r="AH7" s="403" t="s">
        <v>76</v>
      </c>
      <c r="AJ7" s="639"/>
      <c r="AK7" s="639"/>
      <c r="AL7" s="639"/>
      <c r="AM7" s="639"/>
      <c r="AN7" s="639"/>
      <c r="AO7" s="639"/>
      <c r="AP7" s="639"/>
      <c r="AQ7" s="639"/>
      <c r="AR7" s="639"/>
      <c r="AS7" s="639"/>
      <c r="AT7" s="639"/>
      <c r="AU7" s="639"/>
      <c r="AV7" s="639"/>
      <c r="AW7" s="639"/>
      <c r="AX7" s="639"/>
      <c r="AY7" s="639"/>
    </row>
    <row r="8" spans="1:51" ht="18.75" customHeight="1" x14ac:dyDescent="0.25">
      <c r="A8" s="524" t="s">
        <v>259</v>
      </c>
      <c r="B8" s="405">
        <v>2023</v>
      </c>
      <c r="C8" s="405">
        <v>2024</v>
      </c>
      <c r="D8" s="406" t="s">
        <v>78</v>
      </c>
      <c r="E8" s="405">
        <v>2023</v>
      </c>
      <c r="F8" s="405">
        <v>2024</v>
      </c>
      <c r="G8" s="406" t="s">
        <v>78</v>
      </c>
      <c r="H8" s="405">
        <v>2023</v>
      </c>
      <c r="I8" s="405">
        <v>2024</v>
      </c>
      <c r="J8" s="406" t="s">
        <v>78</v>
      </c>
      <c r="K8" s="405">
        <v>2023</v>
      </c>
      <c r="L8" s="405">
        <v>2024</v>
      </c>
      <c r="M8" s="406" t="s">
        <v>78</v>
      </c>
      <c r="N8" s="405">
        <v>2023</v>
      </c>
      <c r="O8" s="405">
        <v>2024</v>
      </c>
      <c r="P8" s="406" t="s">
        <v>78</v>
      </c>
      <c r="Q8" s="405">
        <v>2023</v>
      </c>
      <c r="R8" s="405">
        <v>2024</v>
      </c>
      <c r="S8" s="406" t="s">
        <v>78</v>
      </c>
      <c r="T8" s="405">
        <v>2023</v>
      </c>
      <c r="U8" s="405">
        <v>2024</v>
      </c>
      <c r="V8" s="406" t="s">
        <v>78</v>
      </c>
      <c r="W8" s="405">
        <v>2023</v>
      </c>
      <c r="X8" s="405">
        <v>2024</v>
      </c>
      <c r="Y8" s="406" t="s">
        <v>78</v>
      </c>
      <c r="Z8" s="405">
        <v>2023</v>
      </c>
      <c r="AA8" s="405">
        <v>2024</v>
      </c>
      <c r="AB8" s="406" t="s">
        <v>78</v>
      </c>
      <c r="AC8" s="405">
        <v>2023</v>
      </c>
      <c r="AD8" s="405">
        <v>2024</v>
      </c>
      <c r="AE8" s="406" t="s">
        <v>78</v>
      </c>
      <c r="AF8" s="405">
        <v>2023</v>
      </c>
      <c r="AG8" s="405">
        <v>2024</v>
      </c>
      <c r="AH8" s="406" t="s">
        <v>78</v>
      </c>
      <c r="AJ8" s="594"/>
      <c r="AK8" s="595"/>
      <c r="AL8" s="595"/>
      <c r="AM8" s="594"/>
      <c r="AN8" s="595"/>
      <c r="AO8" s="595"/>
      <c r="AP8" s="594"/>
      <c r="AQ8" s="595"/>
      <c r="AR8" s="595"/>
      <c r="AS8" s="594"/>
      <c r="AT8" s="595"/>
      <c r="AU8" s="595"/>
      <c r="AV8" s="594"/>
      <c r="AW8" s="595"/>
      <c r="AX8" s="595"/>
      <c r="AY8" s="594"/>
    </row>
    <row r="9" spans="1:51" ht="18.75" customHeight="1" x14ac:dyDescent="0.3">
      <c r="A9" s="447"/>
      <c r="B9" s="596"/>
      <c r="C9" s="439"/>
      <c r="D9" s="439"/>
      <c r="E9" s="596"/>
      <c r="F9" s="439"/>
      <c r="G9" s="439"/>
      <c r="H9" s="596"/>
      <c r="I9" s="439"/>
      <c r="J9" s="439"/>
      <c r="K9" s="597"/>
      <c r="L9" s="542"/>
      <c r="M9" s="439"/>
      <c r="N9" s="424"/>
      <c r="O9" s="425"/>
      <c r="P9" s="439"/>
      <c r="Q9" s="596"/>
      <c r="R9" s="439"/>
      <c r="S9" s="439"/>
      <c r="T9" s="596"/>
      <c r="U9" s="439"/>
      <c r="V9" s="439"/>
      <c r="W9" s="424"/>
      <c r="X9" s="425"/>
      <c r="Y9" s="439"/>
      <c r="Z9" s="424"/>
      <c r="AA9" s="425"/>
      <c r="AB9" s="439"/>
      <c r="AC9" s="425"/>
      <c r="AD9" s="425"/>
      <c r="AE9" s="439"/>
      <c r="AF9" s="424"/>
      <c r="AG9" s="597"/>
      <c r="AH9" s="598"/>
    </row>
    <row r="10" spans="1:51" ht="18.75" customHeight="1" x14ac:dyDescent="0.3">
      <c r="A10" s="447" t="s">
        <v>364</v>
      </c>
      <c r="B10" s="596"/>
      <c r="C10" s="439"/>
      <c r="D10" s="439"/>
      <c r="E10" s="596"/>
      <c r="F10" s="439"/>
      <c r="G10" s="439"/>
      <c r="H10" s="596"/>
      <c r="I10" s="439"/>
      <c r="J10" s="439"/>
      <c r="K10" s="692"/>
      <c r="L10" s="598"/>
      <c r="M10" s="439"/>
      <c r="N10" s="596"/>
      <c r="O10" s="439"/>
      <c r="P10" s="439"/>
      <c r="Q10" s="596"/>
      <c r="R10" s="439"/>
      <c r="S10" s="439"/>
      <c r="T10" s="596"/>
      <c r="U10" s="439"/>
      <c r="V10" s="439"/>
      <c r="W10" s="596"/>
      <c r="X10" s="439"/>
      <c r="Y10" s="439"/>
      <c r="Z10" s="596"/>
      <c r="AA10" s="439"/>
      <c r="AB10" s="439"/>
      <c r="AC10" s="439"/>
      <c r="AD10" s="439"/>
      <c r="AE10" s="439"/>
      <c r="AF10" s="424"/>
      <c r="AG10" s="596"/>
      <c r="AH10" s="598"/>
    </row>
    <row r="11" spans="1:51" s="602" customFormat="1" ht="18.75" customHeight="1" x14ac:dyDescent="0.3">
      <c r="A11" s="599" t="s">
        <v>365</v>
      </c>
      <c r="B11" s="600">
        <f>SUM(B12+B15+B18+B19+B21+B22)</f>
        <v>176832</v>
      </c>
      <c r="C11" s="440">
        <f>SUM(C12+C15+C18+C19+C21+C22)</f>
        <v>173177</v>
      </c>
      <c r="D11" s="440">
        <f t="shared" ref="D11:D59" si="0">IF(B11=0, "    ---- ", IF(ABS(ROUND(100/B11*C11-100,1))&lt;999,ROUND(100/B11*C11-100,1),IF(ROUND(100/B11*C11-100,1)&gt;999,999,-999)))</f>
        <v>-2.1</v>
      </c>
      <c r="E11" s="600">
        <f>SUM(E12+E15+E18+E19+E21+E22)</f>
        <v>8928.8447941699997</v>
      </c>
      <c r="F11" s="440">
        <f>SUM(F12+F15+F18+F19+F21+F22)</f>
        <v>9686.1368891700004</v>
      </c>
      <c r="G11" s="440">
        <f>IF(E11=0, "    ---- ", IF(ABS(ROUND(100/E11*F11-100,1))&lt;999,ROUND(100/E11*F11-100,1),IF(ROUND(100/E11*F11-100,1)&gt;999,999,-999)))</f>
        <v>8.5</v>
      </c>
      <c r="H11" s="600">
        <f>SUM(H12+H15+H18+H19+H21+H22)</f>
        <v>1742.671</v>
      </c>
      <c r="I11" s="440">
        <f>SUM(I12+I15+I18+I19+I21+I22)</f>
        <v>2018.5850000000003</v>
      </c>
      <c r="J11" s="440">
        <f t="shared" ref="J11:J37" si="1">IF(H11=0, "    ---- ", IF(ABS(ROUND(100/H11*I11-100,1))&lt;999,ROUND(100/H11*I11-100,1),IF(ROUND(100/H11*I11-100,1)&gt;999,999,-999)))</f>
        <v>15.8</v>
      </c>
      <c r="K11" s="600">
        <f>SUM(K12+K15+K18+K19+K21+K22)</f>
        <v>9595</v>
      </c>
      <c r="L11" s="440">
        <f>SUM(L12+L15+L18+L19+L21+L22)</f>
        <v>10495</v>
      </c>
      <c r="M11" s="440">
        <f>IF(K11=0, "    ---- ", IF(ABS(ROUND(100/K11*L11-100,1))&lt;999,ROUND(100/K11*L11-100,1),IF(ROUND(100/K11*L11-100,1)&gt;999,999,-999)))</f>
        <v>9.4</v>
      </c>
      <c r="N11" s="600">
        <v>571399.32484358991</v>
      </c>
      <c r="O11" s="440">
        <f>SUM(O12+O15+O18+O19+O21+O22)</f>
        <v>613543.38080131996</v>
      </c>
      <c r="P11" s="440">
        <f>IF(N11=0, "    ---- ", IF(ABS(ROUND(100/N11*O11-100,1))&lt;999,ROUND(100/N11*O11-100,1),IF(ROUND(100/N11*O11-100,1)&gt;999,999,-999)))</f>
        <v>7.4</v>
      </c>
      <c r="Q11" s="600">
        <f>SUM(Q12+Q15+Q18+Q19+Q21+Q22)</f>
        <v>47452.268457955091</v>
      </c>
      <c r="R11" s="440">
        <f>SUM(R12+R15+R18+R19+R21+R22)</f>
        <v>47828.808883918457</v>
      </c>
      <c r="S11" s="440">
        <f t="shared" ref="S11:S48" si="2">IF(Q11=0, "    ---- ", IF(ABS(ROUND(100/Q11*R11-100,1))&lt;999,ROUND(100/Q11*R11-100,1),IF(ROUND(100/Q11*R11-100,1)&gt;999,999,-999)))</f>
        <v>0.8</v>
      </c>
      <c r="T11" s="600">
        <f>SUM(T12+T15+T18+T19+T21+T22)</f>
        <v>85966</v>
      </c>
      <c r="U11" s="440">
        <f>SUM(U12+U15+U18+U19+U21+U22)</f>
        <v>91509</v>
      </c>
      <c r="V11" s="440">
        <f>IF(T11=0, "    ---- ", IF(ABS(ROUND(100/T11*U11-100,1))&lt;999,ROUND(100/T11*U11-100,1),IF(ROUND(100/T11*U11-100,1)&gt;999,999,-999)))</f>
        <v>6.4</v>
      </c>
      <c r="W11" s="600">
        <f>SUM(W12+W15+W18+W19+W21+W22)</f>
        <v>19486</v>
      </c>
      <c r="X11" s="440">
        <f>SUM(X12+X15+X18+X19+X21+X22)</f>
        <v>20232</v>
      </c>
      <c r="Y11" s="440">
        <f t="shared" ref="Y11:Y48" si="3">IF(W11=0, "    ---- ", IF(ABS(ROUND(100/W11*X11-100,1))&lt;999,ROUND(100/W11*X11-100,1),IF(ROUND(100/W11*X11-100,1)&gt;999,999,-999)))</f>
        <v>3.8</v>
      </c>
      <c r="Z11" s="600">
        <f>SUM(Z12+Z15+Z18+Z19+Z21+Z22)</f>
        <v>191923.53135505001</v>
      </c>
      <c r="AA11" s="440">
        <f>SUM(AA12+AA15+AA18+AA19+AA21+AA22)</f>
        <v>195514.32435272</v>
      </c>
      <c r="AB11" s="440">
        <f t="shared" ref="AB11:AB50" si="4">IF(Z11=0, "    ---- ", IF(ABS(ROUND(100/Z11*AA11-100,1))&lt;999,ROUND(100/Z11*AA11-100,1),IF(ROUND(100/Z11*AA11-100,1)&gt;999,999,-999)))</f>
        <v>1.9</v>
      </c>
      <c r="AC11" s="440">
        <f>SUM(AC12+AC15+AC18+AC19+AC21+AC22)</f>
        <v>45</v>
      </c>
      <c r="AD11" s="440">
        <f>SUM(AD12+AD15+AD18+AD19+AD21+AD22)</f>
        <v>121</v>
      </c>
      <c r="AE11" s="440">
        <f t="shared" ref="AE11:AE12" si="5">IF(AC11=0, "    ---- ", IF(ABS(ROUND(100/AC11*AD11-100,1))&lt;999,ROUND(100/AC11*AD11-100,1),IF(ROUND(100/AC11*AD11-100,1)&gt;999,999,-999)))</f>
        <v>168.9</v>
      </c>
      <c r="AF11" s="422">
        <f>B11+E11+H11+K11+N11+Q11+T11+W11+Z11+AC11</f>
        <v>1113370.6404507649</v>
      </c>
      <c r="AG11" s="422">
        <f>C11+F11+I11+L11+O11+R11+U11+X11+AA11+AD11</f>
        <v>1164125.2359271285</v>
      </c>
      <c r="AH11" s="601">
        <f t="shared" ref="AH11:AH59" si="6">IF(AF11=0, "    ---- ", IF(ABS(ROUND(100/AF11*AG11-100,1))&lt;999,ROUND(100/AF11*AG11-100,1),IF(ROUND(100/AF11*AG11-100,1)&gt;999,999,-999)))</f>
        <v>4.5999999999999996</v>
      </c>
      <c r="AI11" s="521"/>
    </row>
    <row r="12" spans="1:51" ht="18.75" customHeight="1" x14ac:dyDescent="0.3">
      <c r="A12" s="603" t="s">
        <v>366</v>
      </c>
      <c r="B12" s="596">
        <f>+B13+B14</f>
        <v>6594</v>
      </c>
      <c r="C12" s="439">
        <v>5575</v>
      </c>
      <c r="D12" s="439">
        <f t="shared" si="0"/>
        <v>-15.5</v>
      </c>
      <c r="E12" s="596">
        <v>786.16240060000007</v>
      </c>
      <c r="F12" s="439">
        <v>835.19165500999998</v>
      </c>
      <c r="G12" s="439">
        <f>IF(E12=0, "    ---- ", IF(ABS(ROUND(100/E12*F12-100,1))&lt;999,ROUND(100/E12*F12-100,1),IF(ROUND(100/E12*F12-100,1)&gt;999,999,-999)))</f>
        <v>6.2</v>
      </c>
      <c r="H12" s="596">
        <v>80.856999999999999</v>
      </c>
      <c r="I12" s="439">
        <v>81.537999999999997</v>
      </c>
      <c r="J12" s="439">
        <f t="shared" si="1"/>
        <v>0.8</v>
      </c>
      <c r="K12" s="596"/>
      <c r="L12" s="439"/>
      <c r="M12" s="439"/>
      <c r="N12" s="596"/>
      <c r="O12" s="439"/>
      <c r="P12" s="439"/>
      <c r="Q12" s="596">
        <v>547.7938346928828</v>
      </c>
      <c r="R12" s="439">
        <v>534.85575298365256</v>
      </c>
      <c r="S12" s="439">
        <f t="shared" si="2"/>
        <v>-2.4</v>
      </c>
      <c r="T12" s="596"/>
      <c r="U12" s="439"/>
      <c r="V12" s="439"/>
      <c r="W12" s="596">
        <v>302</v>
      </c>
      <c r="X12" s="439">
        <v>251</v>
      </c>
      <c r="Y12" s="439">
        <f t="shared" si="3"/>
        <v>-16.899999999999999</v>
      </c>
      <c r="Z12" s="596">
        <v>2647.3475720900005</v>
      </c>
      <c r="AA12" s="439">
        <v>2497.6317308399998</v>
      </c>
      <c r="AB12" s="439">
        <f t="shared" si="4"/>
        <v>-5.7</v>
      </c>
      <c r="AC12" s="439">
        <v>3</v>
      </c>
      <c r="AD12" s="439">
        <v>4</v>
      </c>
      <c r="AE12" s="439">
        <f t="shared" si="5"/>
        <v>33.299999999999997</v>
      </c>
      <c r="AF12" s="424">
        <f t="shared" ref="AF12:AF50" si="7">B12+E12+H12+K12+N12+Q12+T12+W12+Z12+AC12</f>
        <v>10961.160807382885</v>
      </c>
      <c r="AG12" s="596">
        <f t="shared" ref="AG12:AG50" si="8">C12+F12+I12+L12+O12+R12+U12+X12+AA12+AD12</f>
        <v>9779.2171388336519</v>
      </c>
      <c r="AH12" s="598">
        <f t="shared" si="6"/>
        <v>-10.8</v>
      </c>
    </row>
    <row r="13" spans="1:51" ht="18.75" customHeight="1" x14ac:dyDescent="0.3">
      <c r="A13" s="603" t="s">
        <v>367</v>
      </c>
      <c r="B13" s="424">
        <v>2041</v>
      </c>
      <c r="C13" s="425">
        <v>1812</v>
      </c>
      <c r="D13" s="425">
        <f t="shared" si="0"/>
        <v>-11.2</v>
      </c>
      <c r="E13" s="424"/>
      <c r="F13" s="425"/>
      <c r="G13" s="425"/>
      <c r="H13" s="424"/>
      <c r="I13" s="425"/>
      <c r="J13" s="425"/>
      <c r="K13" s="596"/>
      <c r="L13" s="439"/>
      <c r="M13" s="425"/>
      <c r="N13" s="424"/>
      <c r="O13" s="425"/>
      <c r="P13" s="425"/>
      <c r="Q13" s="424">
        <v>297.75108377933191</v>
      </c>
      <c r="R13" s="425">
        <v>271.33133515177644</v>
      </c>
      <c r="S13" s="425">
        <f t="shared" si="2"/>
        <v>-8.9</v>
      </c>
      <c r="T13" s="424"/>
      <c r="U13" s="425"/>
      <c r="V13" s="425"/>
      <c r="W13" s="424">
        <v>205</v>
      </c>
      <c r="X13" s="425">
        <v>179</v>
      </c>
      <c r="Y13" s="425">
        <f t="shared" si="3"/>
        <v>-12.7</v>
      </c>
      <c r="Z13" s="596">
        <v>1811.0407862100001</v>
      </c>
      <c r="AA13" s="425">
        <v>1679.6059224999999</v>
      </c>
      <c r="AB13" s="425">
        <f t="shared" si="4"/>
        <v>-7.3</v>
      </c>
      <c r="AC13" s="425"/>
      <c r="AD13" s="425"/>
      <c r="AE13" s="425"/>
      <c r="AF13" s="424">
        <f t="shared" si="7"/>
        <v>4354.7918699893326</v>
      </c>
      <c r="AG13" s="596">
        <f t="shared" si="8"/>
        <v>3941.9372576517762</v>
      </c>
      <c r="AH13" s="604">
        <f t="shared" si="6"/>
        <v>-9.5</v>
      </c>
    </row>
    <row r="14" spans="1:51" ht="18.75" customHeight="1" x14ac:dyDescent="0.3">
      <c r="A14" s="603" t="s">
        <v>368</v>
      </c>
      <c r="B14" s="424">
        <v>4553</v>
      </c>
      <c r="C14" s="425">
        <v>3762</v>
      </c>
      <c r="D14" s="425">
        <f t="shared" si="0"/>
        <v>-17.399999999999999</v>
      </c>
      <c r="E14" s="424"/>
      <c r="F14" s="425"/>
      <c r="G14" s="425"/>
      <c r="H14" s="424"/>
      <c r="I14" s="425"/>
      <c r="J14" s="425"/>
      <c r="K14" s="424"/>
      <c r="L14" s="425"/>
      <c r="M14" s="425"/>
      <c r="N14" s="424"/>
      <c r="O14" s="425"/>
      <c r="P14" s="425"/>
      <c r="Q14" s="424">
        <v>0.35312282329249733</v>
      </c>
      <c r="R14" s="425">
        <v>0</v>
      </c>
      <c r="S14" s="425">
        <f t="shared" si="2"/>
        <v>-100</v>
      </c>
      <c r="T14" s="424"/>
      <c r="U14" s="425"/>
      <c r="V14" s="425"/>
      <c r="W14" s="424">
        <v>95</v>
      </c>
      <c r="X14" s="425">
        <v>72</v>
      </c>
      <c r="Y14" s="425">
        <f t="shared" si="3"/>
        <v>-24.2</v>
      </c>
      <c r="Z14" s="424"/>
      <c r="AA14" s="425"/>
      <c r="AB14" s="425"/>
      <c r="AC14" s="425"/>
      <c r="AD14" s="425"/>
      <c r="AE14" s="425"/>
      <c r="AF14" s="424">
        <f t="shared" si="7"/>
        <v>4648.3531228232923</v>
      </c>
      <c r="AG14" s="596">
        <f t="shared" si="8"/>
        <v>3834</v>
      </c>
      <c r="AH14" s="604">
        <f t="shared" si="6"/>
        <v>-17.5</v>
      </c>
    </row>
    <row r="15" spans="1:51" ht="18.75" customHeight="1" x14ac:dyDescent="0.3">
      <c r="A15" s="603" t="s">
        <v>369</v>
      </c>
      <c r="B15" s="596">
        <v>19603</v>
      </c>
      <c r="C15" s="439">
        <v>18573</v>
      </c>
      <c r="D15" s="598">
        <f t="shared" si="0"/>
        <v>-5.3</v>
      </c>
      <c r="E15" s="596">
        <v>4683.9157482800001</v>
      </c>
      <c r="F15" s="439">
        <v>5177.0630521899993</v>
      </c>
      <c r="G15" s="598">
        <f>IF(E15=0, "    ---- ", IF(ABS(ROUND(100/E15*F15-100,1))&lt;999,ROUND(100/E15*F15-100,1),IF(ROUND(100/E15*F15-100,1)&gt;999,999,-999)))</f>
        <v>10.5</v>
      </c>
      <c r="H15" s="596">
        <v>1509.47</v>
      </c>
      <c r="I15" s="439">
        <v>1759.998</v>
      </c>
      <c r="J15" s="598">
        <f t="shared" si="1"/>
        <v>16.600000000000001</v>
      </c>
      <c r="K15" s="596">
        <v>3812</v>
      </c>
      <c r="L15" s="439">
        <v>4378</v>
      </c>
      <c r="M15" s="598">
        <f>IF(K15=0, "    ---- ", IF(ABS(ROUND(100/K15*L15-100,1))&lt;999,ROUND(100/K15*L15-100,1),IF(ROUND(100/K15*L15-100,1)&gt;999,999,-999)))</f>
        <v>14.8</v>
      </c>
      <c r="N15" s="596"/>
      <c r="O15" s="439"/>
      <c r="P15" s="598"/>
      <c r="Q15" s="596">
        <v>3675.5615654783251</v>
      </c>
      <c r="R15" s="439">
        <v>3805.6754645402648</v>
      </c>
      <c r="S15" s="598">
        <f t="shared" si="2"/>
        <v>3.5</v>
      </c>
      <c r="T15" s="596"/>
      <c r="U15" s="439"/>
      <c r="V15" s="598"/>
      <c r="W15" s="596">
        <v>2169</v>
      </c>
      <c r="X15" s="439">
        <v>2046</v>
      </c>
      <c r="Y15" s="598">
        <f t="shared" si="3"/>
        <v>-5.7</v>
      </c>
      <c r="Z15" s="596">
        <v>8729.7496796799969</v>
      </c>
      <c r="AA15" s="439">
        <v>8631.5614198099993</v>
      </c>
      <c r="AB15" s="598">
        <f t="shared" si="4"/>
        <v>-1.1000000000000001</v>
      </c>
      <c r="AC15" s="439">
        <v>2</v>
      </c>
      <c r="AD15" s="439">
        <v>13</v>
      </c>
      <c r="AE15" s="598">
        <f t="shared" ref="AE15" si="9">IF(AC15=0, "    ---- ", IF(ABS(ROUND(100/AC15*AD15-100,1))&lt;999,ROUND(100/AC15*AD15-100,1),IF(ROUND(100/AC15*AD15-100,1)&gt;999,999,-999)))</f>
        <v>550</v>
      </c>
      <c r="AF15" s="424">
        <f t="shared" si="7"/>
        <v>44184.696993438323</v>
      </c>
      <c r="AG15" s="596">
        <f t="shared" si="8"/>
        <v>44384.297936540264</v>
      </c>
      <c r="AH15" s="598">
        <f t="shared" si="6"/>
        <v>0.5</v>
      </c>
    </row>
    <row r="16" spans="1:51" ht="18.75" customHeight="1" x14ac:dyDescent="0.3">
      <c r="A16" s="603" t="s">
        <v>367</v>
      </c>
      <c r="B16" s="596">
        <f>16800</f>
        <v>16800</v>
      </c>
      <c r="C16" s="439">
        <v>15769</v>
      </c>
      <c r="D16" s="598">
        <f t="shared" si="0"/>
        <v>-6.1</v>
      </c>
      <c r="E16" s="596"/>
      <c r="F16" s="439"/>
      <c r="G16" s="598"/>
      <c r="H16" s="596"/>
      <c r="I16" s="439"/>
      <c r="J16" s="598"/>
      <c r="K16" s="596"/>
      <c r="L16" s="439"/>
      <c r="M16" s="598"/>
      <c r="N16" s="596"/>
      <c r="O16" s="439"/>
      <c r="P16" s="598"/>
      <c r="Q16" s="596">
        <v>2100.4021465653077</v>
      </c>
      <c r="R16" s="439">
        <v>2036.5223420773768</v>
      </c>
      <c r="S16" s="598">
        <f t="shared" si="2"/>
        <v>-3</v>
      </c>
      <c r="T16" s="596"/>
      <c r="U16" s="439"/>
      <c r="V16" s="598"/>
      <c r="W16" s="596">
        <v>1946</v>
      </c>
      <c r="X16" s="439">
        <v>1787</v>
      </c>
      <c r="Y16" s="598">
        <f t="shared" si="3"/>
        <v>-8.1999999999999993</v>
      </c>
      <c r="Z16" s="596">
        <v>8729.7496796799969</v>
      </c>
      <c r="AA16" s="439">
        <v>7579.24937082</v>
      </c>
      <c r="AB16" s="598">
        <f t="shared" si="4"/>
        <v>-13.2</v>
      </c>
      <c r="AC16" s="439"/>
      <c r="AD16" s="439"/>
      <c r="AE16" s="598"/>
      <c r="AF16" s="424">
        <f t="shared" si="7"/>
        <v>29576.151826245303</v>
      </c>
      <c r="AG16" s="596">
        <f t="shared" si="8"/>
        <v>27171.771712897375</v>
      </c>
      <c r="AH16" s="598">
        <f t="shared" si="6"/>
        <v>-8.1</v>
      </c>
    </row>
    <row r="17" spans="1:35" ht="18.75" customHeight="1" x14ac:dyDescent="0.3">
      <c r="A17" s="603" t="s">
        <v>368</v>
      </c>
      <c r="B17" s="596">
        <v>2803</v>
      </c>
      <c r="C17" s="439">
        <v>2804</v>
      </c>
      <c r="D17" s="598">
        <f t="shared" si="0"/>
        <v>0</v>
      </c>
      <c r="E17" s="596">
        <v>281.95239009000005</v>
      </c>
      <c r="F17" s="439">
        <v>322.59030494999996</v>
      </c>
      <c r="G17" s="598">
        <f>IF(E17=0, "    ---- ", IF(ABS(ROUND(100/E17*F17-100,1))&lt;999,ROUND(100/E17*F17-100,1),IF(ROUND(100/E17*F17-100,1)&gt;999,999,-999)))</f>
        <v>14.4</v>
      </c>
      <c r="H17" s="596"/>
      <c r="I17" s="439"/>
      <c r="J17" s="598"/>
      <c r="K17" s="596">
        <v>3812</v>
      </c>
      <c r="L17" s="439">
        <v>4378</v>
      </c>
      <c r="M17" s="598">
        <f>IF(K17=0, "    ---- ", IF(ABS(ROUND(100/K17*L17-100,1))&lt;999,ROUND(100/K17*L17-100,1),IF(ROUND(100/K17*L17-100,1)&gt;999,999,-999)))</f>
        <v>14.8</v>
      </c>
      <c r="N17" s="596"/>
      <c r="O17" s="439"/>
      <c r="P17" s="598"/>
      <c r="Q17" s="596">
        <v>669.28278429313548</v>
      </c>
      <c r="R17" s="439">
        <v>739.15915068187041</v>
      </c>
      <c r="S17" s="598">
        <f t="shared" si="2"/>
        <v>10.4</v>
      </c>
      <c r="T17" s="596"/>
      <c r="U17" s="439"/>
      <c r="V17" s="598"/>
      <c r="W17" s="596">
        <v>222</v>
      </c>
      <c r="X17" s="439">
        <v>259</v>
      </c>
      <c r="Y17" s="598">
        <f t="shared" si="3"/>
        <v>16.7</v>
      </c>
      <c r="Z17" s="596"/>
      <c r="AA17" s="439"/>
      <c r="AB17" s="598"/>
      <c r="AC17" s="439"/>
      <c r="AD17" s="439"/>
      <c r="AE17" s="598"/>
      <c r="AF17" s="424">
        <f t="shared" si="7"/>
        <v>7788.2351743831359</v>
      </c>
      <c r="AG17" s="596">
        <f t="shared" si="8"/>
        <v>8502.7494556318707</v>
      </c>
      <c r="AH17" s="598">
        <f t="shared" si="6"/>
        <v>9.1999999999999993</v>
      </c>
    </row>
    <row r="18" spans="1:35" ht="18.75" customHeight="1" x14ac:dyDescent="0.3">
      <c r="A18" s="603" t="s">
        <v>370</v>
      </c>
      <c r="B18" s="596">
        <v>297</v>
      </c>
      <c r="C18" s="439">
        <v>317</v>
      </c>
      <c r="D18" s="598">
        <f t="shared" si="0"/>
        <v>6.7</v>
      </c>
      <c r="E18" s="596">
        <v>2762.2638911599997</v>
      </c>
      <c r="F18" s="439">
        <v>2902.0962209200002</v>
      </c>
      <c r="G18" s="598">
        <f>IF(E18=0, "    ---- ", IF(ABS(ROUND(100/E18*F18-100,1))&lt;999,ROUND(100/E18*F18-100,1),IF(ROUND(100/E18*F18-100,1)&gt;999,999,-999)))</f>
        <v>5.0999999999999996</v>
      </c>
      <c r="H18" s="596">
        <v>52.463000000000001</v>
      </c>
      <c r="I18" s="439">
        <v>66.254999999999995</v>
      </c>
      <c r="J18" s="598">
        <f t="shared" si="1"/>
        <v>26.3</v>
      </c>
      <c r="K18" s="596"/>
      <c r="L18" s="439"/>
      <c r="M18" s="598"/>
      <c r="N18" s="596">
        <v>3.38252825</v>
      </c>
      <c r="O18" s="439">
        <v>3.7438119799999998</v>
      </c>
      <c r="P18" s="598">
        <f>IF(N18=0, "    ---- ", IF(ABS(ROUND(100/N18*O18-100,1))&lt;999,ROUND(100/N18*O18-100,1),IF(ROUND(100/N18*O18-100,1)&gt;999,999,-999)))</f>
        <v>10.7</v>
      </c>
      <c r="Q18" s="596"/>
      <c r="R18" s="439"/>
      <c r="S18" s="598"/>
      <c r="T18" s="596"/>
      <c r="U18" s="439"/>
      <c r="V18" s="598"/>
      <c r="W18" s="596">
        <v>30</v>
      </c>
      <c r="X18" s="439">
        <v>26</v>
      </c>
      <c r="Y18" s="598">
        <f t="shared" si="3"/>
        <v>-13.3</v>
      </c>
      <c r="Z18" s="596">
        <v>1998.4743743899999</v>
      </c>
      <c r="AA18" s="439">
        <v>2117.0005628200001</v>
      </c>
      <c r="AB18" s="598">
        <f t="shared" si="4"/>
        <v>5.9</v>
      </c>
      <c r="AC18" s="439">
        <v>1</v>
      </c>
      <c r="AD18" s="439">
        <v>11</v>
      </c>
      <c r="AE18" s="598">
        <f t="shared" ref="AE18:AE22" si="10">IF(AC18=0, "    ---- ", IF(ABS(ROUND(100/AC18*AD18-100,1))&lt;999,ROUND(100/AC18*AD18-100,1),IF(ROUND(100/AC18*AD18-100,1)&gt;999,999,-999)))</f>
        <v>999</v>
      </c>
      <c r="AF18" s="424">
        <f t="shared" si="7"/>
        <v>5144.5837938000004</v>
      </c>
      <c r="AG18" s="596">
        <f t="shared" si="8"/>
        <v>5443.0955957200003</v>
      </c>
      <c r="AH18" s="598">
        <f t="shared" si="6"/>
        <v>5.8</v>
      </c>
    </row>
    <row r="19" spans="1:35" ht="18.75" customHeight="1" x14ac:dyDescent="0.3">
      <c r="A19" s="603" t="s">
        <v>454</v>
      </c>
      <c r="B19" s="596">
        <v>150338</v>
      </c>
      <c r="C19" s="439">
        <v>148712</v>
      </c>
      <c r="D19" s="598">
        <f t="shared" si="0"/>
        <v>-1.1000000000000001</v>
      </c>
      <c r="E19" s="596"/>
      <c r="F19" s="439"/>
      <c r="G19" s="598"/>
      <c r="H19" s="596"/>
      <c r="I19" s="439"/>
      <c r="J19" s="598"/>
      <c r="K19" s="596">
        <v>5783</v>
      </c>
      <c r="L19" s="439">
        <v>6117</v>
      </c>
      <c r="M19" s="598">
        <f>IF(K19=0, "    ---- ", IF(ABS(ROUND(100/K19*L19-100,1))&lt;999,ROUND(100/K19*L19-100,1),IF(ROUND(100/K19*L19-100,1)&gt;999,999,-999)))</f>
        <v>5.8</v>
      </c>
      <c r="N19" s="596"/>
      <c r="O19" s="439"/>
      <c r="P19" s="598"/>
      <c r="Q19" s="596">
        <v>43160.603630280988</v>
      </c>
      <c r="R19" s="439">
        <v>43412.77644729257</v>
      </c>
      <c r="S19" s="598">
        <f t="shared" si="2"/>
        <v>0.6</v>
      </c>
      <c r="T19" s="596"/>
      <c r="U19" s="439"/>
      <c r="V19" s="598"/>
      <c r="W19" s="596">
        <v>16985</v>
      </c>
      <c r="X19" s="439">
        <v>17909</v>
      </c>
      <c r="Y19" s="598">
        <f t="shared" si="3"/>
        <v>5.4</v>
      </c>
      <c r="Z19" s="596">
        <v>163054.00078946</v>
      </c>
      <c r="AA19" s="439">
        <v>163601.44644144</v>
      </c>
      <c r="AB19" s="598">
        <f t="shared" si="4"/>
        <v>0.3</v>
      </c>
      <c r="AC19" s="439">
        <v>26</v>
      </c>
      <c r="AD19" s="439">
        <v>37</v>
      </c>
      <c r="AE19" s="598">
        <f t="shared" si="10"/>
        <v>42.3</v>
      </c>
      <c r="AF19" s="424">
        <f t="shared" si="7"/>
        <v>379346.60441974096</v>
      </c>
      <c r="AG19" s="596">
        <f t="shared" si="8"/>
        <v>379789.22288873256</v>
      </c>
      <c r="AH19" s="598">
        <f t="shared" si="6"/>
        <v>0.1</v>
      </c>
    </row>
    <row r="20" spans="1:35" ht="18.75" customHeight="1" x14ac:dyDescent="0.3">
      <c r="A20" s="603" t="s">
        <v>371</v>
      </c>
      <c r="B20" s="596">
        <v>130011</v>
      </c>
      <c r="C20" s="439">
        <v>127482</v>
      </c>
      <c r="D20" s="598">
        <f t="shared" si="0"/>
        <v>-1.9</v>
      </c>
      <c r="E20" s="596"/>
      <c r="F20" s="439"/>
      <c r="G20" s="598"/>
      <c r="H20" s="596"/>
      <c r="I20" s="439"/>
      <c r="J20" s="598"/>
      <c r="K20" s="596">
        <v>3814</v>
      </c>
      <c r="L20" s="439">
        <v>3766</v>
      </c>
      <c r="M20" s="598">
        <f>IF(K20=0, "    ---- ", IF(ABS(ROUND(100/K20*L20-100,1))&lt;999,ROUND(100/K20*L20-100,1),IF(ROUND(100/K20*L20-100,1)&gt;999,999,-999)))</f>
        <v>-1.3</v>
      </c>
      <c r="N20" s="596"/>
      <c r="O20" s="439"/>
      <c r="P20" s="598"/>
      <c r="Q20" s="596">
        <v>36395.755026407467</v>
      </c>
      <c r="R20" s="439">
        <v>36497.32584967649</v>
      </c>
      <c r="S20" s="598">
        <f t="shared" si="2"/>
        <v>0.3</v>
      </c>
      <c r="T20" s="596"/>
      <c r="U20" s="439"/>
      <c r="V20" s="598"/>
      <c r="W20" s="596">
        <v>9057</v>
      </c>
      <c r="X20" s="439">
        <v>9397</v>
      </c>
      <c r="Y20" s="598">
        <f t="shared" si="3"/>
        <v>3.8</v>
      </c>
      <c r="Z20" s="596">
        <v>134341.46527251005</v>
      </c>
      <c r="AA20" s="439">
        <v>134555.73692621</v>
      </c>
      <c r="AB20" s="598">
        <f t="shared" si="4"/>
        <v>0.2</v>
      </c>
      <c r="AC20" s="439"/>
      <c r="AD20" s="439"/>
      <c r="AE20" s="598"/>
      <c r="AF20" s="424">
        <f t="shared" si="7"/>
        <v>313619.2202989175</v>
      </c>
      <c r="AG20" s="596">
        <f t="shared" si="8"/>
        <v>311698.0627758865</v>
      </c>
      <c r="AH20" s="598">
        <f t="shared" si="6"/>
        <v>-0.6</v>
      </c>
    </row>
    <row r="21" spans="1:35" ht="18.75" customHeight="1" x14ac:dyDescent="0.3">
      <c r="A21" s="603" t="s">
        <v>455</v>
      </c>
      <c r="B21" s="596"/>
      <c r="C21" s="439"/>
      <c r="D21" s="598"/>
      <c r="E21" s="596"/>
      <c r="F21" s="439"/>
      <c r="G21" s="598"/>
      <c r="H21" s="596"/>
      <c r="I21" s="439"/>
      <c r="J21" s="598"/>
      <c r="K21" s="596"/>
      <c r="L21" s="439"/>
      <c r="M21" s="598"/>
      <c r="N21" s="596">
        <v>571395.94231533993</v>
      </c>
      <c r="O21" s="439">
        <v>613539.63698933995</v>
      </c>
      <c r="P21" s="598">
        <f>IF(N21=0, "    ---- ", IF(ABS(ROUND(100/N21*O21-100,1))&lt;999,ROUND(100/N21*O21-100,1),IF(ROUND(100/N21*O21-100,1)&gt;999,999,-999)))</f>
        <v>7.4</v>
      </c>
      <c r="Q21" s="596"/>
      <c r="R21" s="439"/>
      <c r="S21" s="598"/>
      <c r="T21" s="596">
        <v>85966</v>
      </c>
      <c r="U21" s="439">
        <v>91509</v>
      </c>
      <c r="V21" s="598">
        <f>IF(T21=0, "    ---- ", IF(ABS(ROUND(100/T21*U21-100,1))&lt;999,ROUND(100/T21*U21-100,1),IF(ROUND(100/T21*U21-100,1)&gt;999,999,-999)))</f>
        <v>6.4</v>
      </c>
      <c r="W21" s="596"/>
      <c r="X21" s="439"/>
      <c r="Y21" s="598"/>
      <c r="Z21" s="596">
        <v>15493.958939430004</v>
      </c>
      <c r="AA21" s="439">
        <v>18666.684197809998</v>
      </c>
      <c r="AB21" s="598">
        <f t="shared" si="4"/>
        <v>20.5</v>
      </c>
      <c r="AC21" s="439">
        <v>13</v>
      </c>
      <c r="AD21" s="439"/>
      <c r="AE21" s="598">
        <f t="shared" si="10"/>
        <v>-100</v>
      </c>
      <c r="AF21" s="424">
        <f t="shared" si="7"/>
        <v>672868.90125476988</v>
      </c>
      <c r="AG21" s="596">
        <f t="shared" si="8"/>
        <v>723715.32118714997</v>
      </c>
      <c r="AH21" s="598">
        <f t="shared" si="6"/>
        <v>7.6</v>
      </c>
    </row>
    <row r="22" spans="1:35" ht="18.75" customHeight="1" x14ac:dyDescent="0.3">
      <c r="A22" s="603" t="s">
        <v>372</v>
      </c>
      <c r="B22" s="596"/>
      <c r="C22" s="439"/>
      <c r="D22" s="598"/>
      <c r="E22" s="596">
        <v>696.50275412999997</v>
      </c>
      <c r="F22" s="439">
        <v>771.78596104999997</v>
      </c>
      <c r="G22" s="598">
        <f>IF(E22=0, "    ---- ", IF(ABS(ROUND(100/E22*F22-100,1))&lt;999,ROUND(100/E22*F22-100,1),IF(ROUND(100/E22*F22-100,1)&gt;999,999,-999)))</f>
        <v>10.8</v>
      </c>
      <c r="H22" s="596">
        <v>99.881</v>
      </c>
      <c r="I22" s="439">
        <v>110.794</v>
      </c>
      <c r="J22" s="598">
        <f t="shared" si="1"/>
        <v>10.9</v>
      </c>
      <c r="K22" s="596"/>
      <c r="L22" s="439"/>
      <c r="M22" s="598"/>
      <c r="N22" s="596"/>
      <c r="O22" s="439"/>
      <c r="P22" s="598"/>
      <c r="Q22" s="596">
        <v>68.309427502889292</v>
      </c>
      <c r="R22" s="439">
        <v>75.501219101968914</v>
      </c>
      <c r="S22" s="598">
        <f t="shared" si="2"/>
        <v>10.5</v>
      </c>
      <c r="T22" s="596"/>
      <c r="U22" s="439"/>
      <c r="V22" s="598"/>
      <c r="W22" s="596"/>
      <c r="X22" s="439"/>
      <c r="Y22" s="598"/>
      <c r="Z22" s="596"/>
      <c r="AA22" s="439"/>
      <c r="AB22" s="598"/>
      <c r="AC22" s="439"/>
      <c r="AD22" s="439">
        <v>56</v>
      </c>
      <c r="AE22" s="598" t="str">
        <f t="shared" si="10"/>
        <v xml:space="preserve">    ---- </v>
      </c>
      <c r="AF22" s="424">
        <f t="shared" si="7"/>
        <v>864.69318163288926</v>
      </c>
      <c r="AG22" s="596">
        <f t="shared" si="8"/>
        <v>1014.0811801519689</v>
      </c>
      <c r="AH22" s="598">
        <f t="shared" si="6"/>
        <v>17.3</v>
      </c>
    </row>
    <row r="23" spans="1:35" s="602" customFormat="1" ht="18.75" customHeight="1" x14ac:dyDescent="0.3">
      <c r="A23" s="599" t="s">
        <v>373</v>
      </c>
      <c r="B23" s="600">
        <f>SUM(B24+B27+B30+B31+B33+B34)</f>
        <v>176832</v>
      </c>
      <c r="C23" s="440">
        <f>SUM(C24+C27+C30+C31+C33+C34)</f>
        <v>173177</v>
      </c>
      <c r="D23" s="601">
        <f t="shared" si="0"/>
        <v>-2.1</v>
      </c>
      <c r="E23" s="600">
        <f>SUM(E24+E27+E30+E31+E33+E34)</f>
        <v>8779.1932583899998</v>
      </c>
      <c r="F23" s="440">
        <f>SUM(F24+F27+F30+F31+F33+F34)</f>
        <v>9686.1368891700004</v>
      </c>
      <c r="G23" s="601">
        <f>IF(E23=0, "    ---- ", IF(ABS(ROUND(100/E23*F23-100,1))&lt;999,ROUND(100/E23*F23-100,1),IF(ROUND(100/E23*F23-100,1)&gt;999,999,-999)))</f>
        <v>10.3</v>
      </c>
      <c r="H23" s="600">
        <f>SUM(H24+H27+H30+H31+H33+H34)</f>
        <v>1539.4370000000001</v>
      </c>
      <c r="I23" s="440">
        <f>SUM(I24+I27+I30+I31+I33+I34)</f>
        <v>1883.5400000000002</v>
      </c>
      <c r="J23" s="601">
        <f t="shared" si="1"/>
        <v>22.4</v>
      </c>
      <c r="K23" s="600">
        <f>SUM(K24+K27+K30+K31+K33+K34)</f>
        <v>8718</v>
      </c>
      <c r="L23" s="440">
        <f>SUM(L24+L27+L30+L31+L33+L34)</f>
        <v>10495</v>
      </c>
      <c r="M23" s="601">
        <f>IF(K23=0, "    ---- ", IF(ABS(ROUND(100/K23*L23-100,1))&lt;999,ROUND(100/K23*L23-100,1),IF(ROUND(100/K23*L23-100,1)&gt;999,999,-999)))</f>
        <v>20.399999999999999</v>
      </c>
      <c r="N23" s="600">
        <f>SUM(N24+N27+N30+N31+N33+N34)</f>
        <v>571411.97556933993</v>
      </c>
      <c r="O23" s="440">
        <f>SUM(O24+O27+O30+O31+O33+O34)</f>
        <v>613539.63698933995</v>
      </c>
      <c r="P23" s="601">
        <f>IF(N23=0, "    ---- ", IF(ABS(ROUND(100/N23*O23-100,1))&lt;999,ROUND(100/N23*O23-100,1),IF(ROUND(100/N23*O23-100,1)&gt;999,999,-999)))</f>
        <v>7.4</v>
      </c>
      <c r="Q23" s="600">
        <f>SUM(Q24+Q27+Q30+Q31+Q33+Q34)</f>
        <v>47452.268457955091</v>
      </c>
      <c r="R23" s="440">
        <f>SUM(R24+R27+R30+R31+R33+R34)</f>
        <v>47828.808883918457</v>
      </c>
      <c r="S23" s="601">
        <f t="shared" si="2"/>
        <v>0.8</v>
      </c>
      <c r="T23" s="600"/>
      <c r="U23" s="440"/>
      <c r="V23" s="601"/>
      <c r="W23" s="600">
        <f>SUM(W24+W27+W30+W31+W33+W34)</f>
        <v>19486</v>
      </c>
      <c r="X23" s="440">
        <f>SUM(X24+X27+X30+X31+X33+X34)</f>
        <v>20232</v>
      </c>
      <c r="Y23" s="601">
        <f t="shared" si="3"/>
        <v>3.8</v>
      </c>
      <c r="Z23" s="600">
        <f>SUM(Z24+Z27+Z30+Z31+Z33+Z34)</f>
        <v>191923.53135505001</v>
      </c>
      <c r="AA23" s="440">
        <f>SUM(AA24+AA27+AA30+AA31+AA33+AA34)</f>
        <v>194462.01230373001</v>
      </c>
      <c r="AB23" s="601">
        <f t="shared" si="4"/>
        <v>1.3</v>
      </c>
      <c r="AC23" s="440">
        <f>SUM(AC24+AC27+AC30+AC31+AC33+AC34)</f>
        <v>41</v>
      </c>
      <c r="AD23" s="440">
        <f>SUM(AD24+AD27+AD30+AD31+AD33+AD34)</f>
        <v>87</v>
      </c>
      <c r="AE23" s="601">
        <f t="shared" ref="AE23:AE24" si="11">IF(AC23=0, "    ---- ", IF(ABS(ROUND(100/AC23*AD23-100,1))&lt;999,ROUND(100/AC23*AD23-100,1),IF(ROUND(100/AC23*AD23-100,1)&gt;999,999,-999)))</f>
        <v>112.2</v>
      </c>
      <c r="AF23" s="422">
        <f t="shared" si="7"/>
        <v>1026183.4056407351</v>
      </c>
      <c r="AG23" s="600">
        <f t="shared" si="8"/>
        <v>1071391.1350661584</v>
      </c>
      <c r="AH23" s="601">
        <f t="shared" si="6"/>
        <v>4.4000000000000004</v>
      </c>
      <c r="AI23" s="521"/>
    </row>
    <row r="24" spans="1:35" ht="18.75" customHeight="1" x14ac:dyDescent="0.3">
      <c r="A24" s="603" t="s">
        <v>366</v>
      </c>
      <c r="B24" s="596">
        <f>+B25+B26</f>
        <v>6594</v>
      </c>
      <c r="C24" s="439">
        <v>5575</v>
      </c>
      <c r="D24" s="598">
        <f t="shared" si="0"/>
        <v>-15.5</v>
      </c>
      <c r="E24" s="596">
        <v>786.16240060000007</v>
      </c>
      <c r="F24" s="439">
        <v>835.19165500999998</v>
      </c>
      <c r="G24" s="598">
        <f>IF(E24=0, "    ---- ", IF(ABS(ROUND(100/E24*F24-100,1))&lt;999,ROUND(100/E24*F24-100,1),IF(ROUND(100/E24*F24-100,1)&gt;999,999,-999)))</f>
        <v>6.2</v>
      </c>
      <c r="H24" s="596"/>
      <c r="I24" s="439">
        <v>80.929000000000002</v>
      </c>
      <c r="J24" s="598" t="str">
        <f t="shared" si="1"/>
        <v xml:space="preserve">    ---- </v>
      </c>
      <c r="K24" s="596"/>
      <c r="L24" s="439"/>
      <c r="M24" s="598"/>
      <c r="N24" s="596"/>
      <c r="O24" s="439"/>
      <c r="P24" s="598"/>
      <c r="Q24" s="596">
        <v>547.7938346928828</v>
      </c>
      <c r="R24" s="439">
        <v>534.85575298365256</v>
      </c>
      <c r="S24" s="598">
        <f t="shared" si="2"/>
        <v>-2.4</v>
      </c>
      <c r="T24" s="596"/>
      <c r="U24" s="439"/>
      <c r="V24" s="598"/>
      <c r="W24" s="596">
        <v>302</v>
      </c>
      <c r="X24" s="439">
        <v>251</v>
      </c>
      <c r="Y24" s="598">
        <f t="shared" si="3"/>
        <v>-16.899999999999999</v>
      </c>
      <c r="Z24" s="596">
        <v>2647.3475720900005</v>
      </c>
      <c r="AA24" s="439">
        <v>2497.6317308399998</v>
      </c>
      <c r="AB24" s="598">
        <f t="shared" si="4"/>
        <v>-5.7</v>
      </c>
      <c r="AC24" s="439">
        <v>2</v>
      </c>
      <c r="AD24" s="439">
        <v>3</v>
      </c>
      <c r="AE24" s="598">
        <f t="shared" si="11"/>
        <v>50</v>
      </c>
      <c r="AF24" s="424">
        <f t="shared" si="7"/>
        <v>10879.303807382885</v>
      </c>
      <c r="AG24" s="596">
        <f t="shared" si="8"/>
        <v>9777.6081388336515</v>
      </c>
      <c r="AH24" s="598">
        <f t="shared" si="6"/>
        <v>-10.1</v>
      </c>
    </row>
    <row r="25" spans="1:35" ht="18.75" customHeight="1" x14ac:dyDescent="0.3">
      <c r="A25" s="603" t="s">
        <v>367</v>
      </c>
      <c r="B25" s="424">
        <v>2041</v>
      </c>
      <c r="C25" s="439">
        <v>1812</v>
      </c>
      <c r="D25" s="598">
        <f t="shared" si="0"/>
        <v>-11.2</v>
      </c>
      <c r="E25" s="596"/>
      <c r="F25" s="439"/>
      <c r="G25" s="598"/>
      <c r="H25" s="596"/>
      <c r="I25" s="439"/>
      <c r="J25" s="598"/>
      <c r="K25" s="596"/>
      <c r="L25" s="439"/>
      <c r="M25" s="598"/>
      <c r="N25" s="596"/>
      <c r="O25" s="439"/>
      <c r="P25" s="598"/>
      <c r="Q25" s="596">
        <v>297.75108377933191</v>
      </c>
      <c r="R25" s="439">
        <v>271.33133515177644</v>
      </c>
      <c r="S25" s="598">
        <f t="shared" si="2"/>
        <v>-8.9</v>
      </c>
      <c r="T25" s="596"/>
      <c r="U25" s="439"/>
      <c r="V25" s="598"/>
      <c r="W25" s="596">
        <v>205</v>
      </c>
      <c r="X25" s="425">
        <v>179</v>
      </c>
      <c r="Y25" s="598">
        <f t="shared" si="3"/>
        <v>-12.7</v>
      </c>
      <c r="Z25" s="596">
        <v>1811.0407862100001</v>
      </c>
      <c r="AA25" s="439">
        <v>1679.6059224999999</v>
      </c>
      <c r="AB25" s="598">
        <f t="shared" si="4"/>
        <v>-7.3</v>
      </c>
      <c r="AC25" s="439"/>
      <c r="AD25" s="439"/>
      <c r="AE25" s="598"/>
      <c r="AF25" s="424">
        <f t="shared" si="7"/>
        <v>4354.7918699893326</v>
      </c>
      <c r="AG25" s="596">
        <f t="shared" si="8"/>
        <v>3941.9372576517762</v>
      </c>
      <c r="AH25" s="598">
        <f t="shared" si="6"/>
        <v>-9.5</v>
      </c>
    </row>
    <row r="26" spans="1:35" ht="18.75" customHeight="1" x14ac:dyDescent="0.3">
      <c r="A26" s="603" t="s">
        <v>368</v>
      </c>
      <c r="B26" s="424">
        <v>4553</v>
      </c>
      <c r="C26" s="439">
        <v>3762</v>
      </c>
      <c r="D26" s="598">
        <f t="shared" si="0"/>
        <v>-17.399999999999999</v>
      </c>
      <c r="E26" s="596"/>
      <c r="F26" s="439"/>
      <c r="G26" s="598"/>
      <c r="H26" s="596"/>
      <c r="I26" s="439"/>
      <c r="J26" s="598"/>
      <c r="K26" s="596"/>
      <c r="L26" s="439"/>
      <c r="M26" s="598"/>
      <c r="N26" s="596"/>
      <c r="O26" s="439"/>
      <c r="P26" s="598"/>
      <c r="Q26" s="596">
        <v>0.35312282329249733</v>
      </c>
      <c r="R26" s="439">
        <v>0</v>
      </c>
      <c r="S26" s="598">
        <f t="shared" si="2"/>
        <v>-100</v>
      </c>
      <c r="T26" s="596"/>
      <c r="U26" s="439"/>
      <c r="V26" s="598"/>
      <c r="W26" s="596">
        <v>95</v>
      </c>
      <c r="X26" s="425">
        <v>72</v>
      </c>
      <c r="Y26" s="598">
        <f t="shared" si="3"/>
        <v>-24.2</v>
      </c>
      <c r="Z26" s="596"/>
      <c r="AA26" s="439"/>
      <c r="AB26" s="598"/>
      <c r="AC26" s="439"/>
      <c r="AD26" s="439"/>
      <c r="AE26" s="598"/>
      <c r="AF26" s="424">
        <f t="shared" si="7"/>
        <v>4648.3531228232923</v>
      </c>
      <c r="AG26" s="596">
        <f t="shared" si="8"/>
        <v>3834</v>
      </c>
      <c r="AH26" s="598">
        <f t="shared" si="6"/>
        <v>-17.5</v>
      </c>
    </row>
    <row r="27" spans="1:35" ht="18.75" customHeight="1" x14ac:dyDescent="0.3">
      <c r="A27" s="603" t="s">
        <v>369</v>
      </c>
      <c r="B27" s="596">
        <v>19603</v>
      </c>
      <c r="C27" s="439">
        <v>18573</v>
      </c>
      <c r="D27" s="598">
        <f t="shared" si="0"/>
        <v>-5.3</v>
      </c>
      <c r="E27" s="596">
        <v>4683.9157482800001</v>
      </c>
      <c r="F27" s="439">
        <v>5177.0630521899993</v>
      </c>
      <c r="G27" s="598">
        <f>IF(E27=0, "    ---- ", IF(ABS(ROUND(100/E27*F27-100,1))&lt;999,ROUND(100/E27*F27-100,1),IF(ROUND(100/E27*F27-100,1)&gt;999,999,-999)))</f>
        <v>10.5</v>
      </c>
      <c r="H27" s="596">
        <v>1402.4760000000001</v>
      </c>
      <c r="I27" s="439">
        <v>1643.9490000000001</v>
      </c>
      <c r="J27" s="598">
        <f t="shared" si="1"/>
        <v>17.2</v>
      </c>
      <c r="K27" s="596">
        <v>2986</v>
      </c>
      <c r="L27" s="439">
        <v>4378</v>
      </c>
      <c r="M27" s="598">
        <f>IF(K27=0, "    ---- ", IF(ABS(ROUND(100/K27*L27-100,1))&lt;999,ROUND(100/K27*L27-100,1),IF(ROUND(100/K27*L27-100,1)&gt;999,999,-999)))</f>
        <v>46.6</v>
      </c>
      <c r="N27" s="596"/>
      <c r="O27" s="439"/>
      <c r="P27" s="598"/>
      <c r="Q27" s="596">
        <v>3675.5615654783251</v>
      </c>
      <c r="R27" s="439">
        <v>3805.6754645402648</v>
      </c>
      <c r="S27" s="598">
        <f t="shared" si="2"/>
        <v>3.5</v>
      </c>
      <c r="T27" s="596"/>
      <c r="U27" s="439"/>
      <c r="V27" s="598"/>
      <c r="W27" s="596">
        <v>2169</v>
      </c>
      <c r="X27" s="439">
        <v>2046</v>
      </c>
      <c r="Y27" s="598">
        <f t="shared" si="3"/>
        <v>-5.7</v>
      </c>
      <c r="Z27" s="596">
        <v>8729.7496796799969</v>
      </c>
      <c r="AA27" s="439">
        <v>7579.24937082</v>
      </c>
      <c r="AB27" s="598">
        <f t="shared" si="4"/>
        <v>-13.2</v>
      </c>
      <c r="AC27" s="439">
        <v>1</v>
      </c>
      <c r="AD27" s="439">
        <v>8</v>
      </c>
      <c r="AE27" s="598">
        <f t="shared" ref="AE27" si="12">IF(AC27=0, "    ---- ", IF(ABS(ROUND(100/AC27*AD27-100,1))&lt;999,ROUND(100/AC27*AD27-100,1),IF(ROUND(100/AC27*AD27-100,1)&gt;999,999,-999)))</f>
        <v>700</v>
      </c>
      <c r="AF27" s="424">
        <f t="shared" si="7"/>
        <v>43250.702993438317</v>
      </c>
      <c r="AG27" s="596">
        <f t="shared" si="8"/>
        <v>43210.936887550262</v>
      </c>
      <c r="AH27" s="598">
        <f t="shared" si="6"/>
        <v>-0.1</v>
      </c>
    </row>
    <row r="28" spans="1:35" ht="18.75" customHeight="1" x14ac:dyDescent="0.3">
      <c r="A28" s="603" t="s">
        <v>367</v>
      </c>
      <c r="B28" s="596">
        <f>16800</f>
        <v>16800</v>
      </c>
      <c r="C28" s="439">
        <v>15769</v>
      </c>
      <c r="D28" s="598">
        <f t="shared" si="0"/>
        <v>-6.1</v>
      </c>
      <c r="E28" s="596"/>
      <c r="F28" s="439"/>
      <c r="G28" s="598"/>
      <c r="H28" s="596"/>
      <c r="I28" s="439"/>
      <c r="J28" s="598"/>
      <c r="K28" s="596"/>
      <c r="L28" s="439"/>
      <c r="M28" s="598"/>
      <c r="N28" s="596"/>
      <c r="O28" s="439"/>
      <c r="P28" s="598"/>
      <c r="Q28" s="596">
        <v>2076.8336898387274</v>
      </c>
      <c r="R28" s="439">
        <v>2014.0287638399784</v>
      </c>
      <c r="S28" s="598">
        <f t="shared" si="2"/>
        <v>-3</v>
      </c>
      <c r="T28" s="596"/>
      <c r="U28" s="439"/>
      <c r="V28" s="598"/>
      <c r="W28" s="596">
        <v>1946</v>
      </c>
      <c r="X28" s="439">
        <v>1787</v>
      </c>
      <c r="Y28" s="598">
        <f t="shared" si="3"/>
        <v>-8.1999999999999993</v>
      </c>
      <c r="Z28" s="596">
        <v>8729.7496796799969</v>
      </c>
      <c r="AA28" s="439">
        <v>7579.24937082</v>
      </c>
      <c r="AB28" s="598">
        <f t="shared" si="4"/>
        <v>-13.2</v>
      </c>
      <c r="AC28" s="439"/>
      <c r="AD28" s="439"/>
      <c r="AE28" s="598"/>
      <c r="AF28" s="424">
        <f t="shared" si="7"/>
        <v>29552.583369518725</v>
      </c>
      <c r="AG28" s="596">
        <f t="shared" si="8"/>
        <v>27149.27813465998</v>
      </c>
      <c r="AH28" s="598">
        <f t="shared" si="6"/>
        <v>-8.1</v>
      </c>
    </row>
    <row r="29" spans="1:35" ht="18.75" customHeight="1" x14ac:dyDescent="0.3">
      <c r="A29" s="603" t="s">
        <v>368</v>
      </c>
      <c r="B29" s="596">
        <v>2803</v>
      </c>
      <c r="C29" s="439">
        <v>2804</v>
      </c>
      <c r="D29" s="598">
        <f t="shared" si="0"/>
        <v>0</v>
      </c>
      <c r="E29" s="596"/>
      <c r="F29" s="439">
        <v>322.59030494999996</v>
      </c>
      <c r="G29" s="598" t="str">
        <f>IF(E29=0, "    ---- ", IF(ABS(ROUND(100/E29*F29-100,1))&lt;999,ROUND(100/E29*F29-100,1),IF(ROUND(100/E29*F29-100,1)&gt;999,999,-999)))</f>
        <v xml:space="preserve">    ---- </v>
      </c>
      <c r="H29" s="596"/>
      <c r="I29" s="439"/>
      <c r="J29" s="598"/>
      <c r="K29" s="596">
        <v>2986</v>
      </c>
      <c r="L29" s="439">
        <v>4378</v>
      </c>
      <c r="M29" s="598">
        <f>IF(K29=0, "    ---- ", IF(ABS(ROUND(100/K29*L29-100,1))&lt;999,ROUND(100/K29*L29-100,1),IF(ROUND(100/K29*L29-100,1)&gt;999,999,-999)))</f>
        <v>46.6</v>
      </c>
      <c r="N29" s="596"/>
      <c r="O29" s="439"/>
      <c r="P29" s="598"/>
      <c r="Q29" s="596">
        <v>669.28278429313548</v>
      </c>
      <c r="R29" s="439">
        <v>739.15915068187041</v>
      </c>
      <c r="S29" s="598">
        <f t="shared" si="2"/>
        <v>10.4</v>
      </c>
      <c r="T29" s="596"/>
      <c r="U29" s="439"/>
      <c r="V29" s="598"/>
      <c r="W29" s="596">
        <v>222</v>
      </c>
      <c r="X29" s="439">
        <v>259</v>
      </c>
      <c r="Y29" s="598">
        <f t="shared" si="3"/>
        <v>16.7</v>
      </c>
      <c r="Z29" s="596"/>
      <c r="AA29" s="439"/>
      <c r="AB29" s="598"/>
      <c r="AC29" s="439"/>
      <c r="AD29" s="439"/>
      <c r="AE29" s="598"/>
      <c r="AF29" s="424">
        <f t="shared" si="7"/>
        <v>6680.2827842931356</v>
      </c>
      <c r="AG29" s="596">
        <f t="shared" si="8"/>
        <v>8502.7494556318707</v>
      </c>
      <c r="AH29" s="598">
        <f t="shared" si="6"/>
        <v>27.3</v>
      </c>
    </row>
    <row r="30" spans="1:35" ht="18.75" customHeight="1" x14ac:dyDescent="0.3">
      <c r="A30" s="603" t="s">
        <v>370</v>
      </c>
      <c r="B30" s="596">
        <v>297</v>
      </c>
      <c r="C30" s="439">
        <v>317</v>
      </c>
      <c r="D30" s="598">
        <f t="shared" si="0"/>
        <v>6.7</v>
      </c>
      <c r="E30" s="596">
        <v>2762.2638911599997</v>
      </c>
      <c r="F30" s="439">
        <v>2902.0962209200002</v>
      </c>
      <c r="G30" s="598">
        <f>IF(E30=0, "    ---- ", IF(ABS(ROUND(100/E30*F30-100,1))&lt;999,ROUND(100/E30*F30-100,1),IF(ROUND(100/E30*F30-100,1)&gt;999,999,-999)))</f>
        <v>5.0999999999999996</v>
      </c>
      <c r="H30" s="596">
        <v>51.656999999999996</v>
      </c>
      <c r="I30" s="439">
        <v>65.566000000000003</v>
      </c>
      <c r="J30" s="598">
        <f t="shared" si="1"/>
        <v>26.9</v>
      </c>
      <c r="K30" s="596"/>
      <c r="L30" s="439"/>
      <c r="M30" s="598"/>
      <c r="N30" s="596">
        <v>16.033253999999999</v>
      </c>
      <c r="O30" s="439">
        <v>0</v>
      </c>
      <c r="P30" s="598">
        <f>IF(N30=0, "    ---- ", IF(ABS(ROUND(100/N30*O30-100,1))&lt;999,ROUND(100/N30*O30-100,1),IF(ROUND(100/N30*O30-100,1)&gt;999,999,-999)))</f>
        <v>-100</v>
      </c>
      <c r="Q30" s="596"/>
      <c r="R30" s="439"/>
      <c r="S30" s="598"/>
      <c r="T30" s="596"/>
      <c r="U30" s="439"/>
      <c r="V30" s="598"/>
      <c r="W30" s="596">
        <v>30</v>
      </c>
      <c r="X30" s="439">
        <v>26</v>
      </c>
      <c r="Y30" s="598">
        <f t="shared" si="3"/>
        <v>-13.3</v>
      </c>
      <c r="Z30" s="596">
        <v>1998.4743743899999</v>
      </c>
      <c r="AA30" s="439">
        <v>2117.0005628200001</v>
      </c>
      <c r="AB30" s="598">
        <f t="shared" si="4"/>
        <v>5.9</v>
      </c>
      <c r="AC30" s="439">
        <v>1</v>
      </c>
      <c r="AD30" s="439">
        <v>7</v>
      </c>
      <c r="AE30" s="598">
        <f t="shared" ref="AE30:AE34" si="13">IF(AC30=0, "    ---- ", IF(ABS(ROUND(100/AC30*AD30-100,1))&lt;999,ROUND(100/AC30*AD30-100,1),IF(ROUND(100/AC30*AD30-100,1)&gt;999,999,-999)))</f>
        <v>600</v>
      </c>
      <c r="AF30" s="424">
        <f t="shared" si="7"/>
        <v>5156.4285195499997</v>
      </c>
      <c r="AG30" s="596">
        <f t="shared" si="8"/>
        <v>5434.6627837400001</v>
      </c>
      <c r="AH30" s="598">
        <f t="shared" si="6"/>
        <v>5.4</v>
      </c>
    </row>
    <row r="31" spans="1:35" ht="18.75" customHeight="1" x14ac:dyDescent="0.3">
      <c r="A31" s="603" t="s">
        <v>454</v>
      </c>
      <c r="B31" s="596">
        <v>150338</v>
      </c>
      <c r="C31" s="439">
        <v>148712</v>
      </c>
      <c r="D31" s="598">
        <f t="shared" si="0"/>
        <v>-1.1000000000000001</v>
      </c>
      <c r="E31" s="596"/>
      <c r="F31" s="439"/>
      <c r="G31" s="598"/>
      <c r="H31" s="596"/>
      <c r="I31" s="439"/>
      <c r="J31" s="598"/>
      <c r="K31" s="596">
        <v>5732</v>
      </c>
      <c r="L31" s="439">
        <v>6117</v>
      </c>
      <c r="M31" s="598">
        <f>IF(K31=0, "    ---- ", IF(ABS(ROUND(100/K31*L31-100,1))&lt;999,ROUND(100/K31*L31-100,1),IF(ROUND(100/K31*L31-100,1)&gt;999,999,-999)))</f>
        <v>6.7</v>
      </c>
      <c r="N31" s="596"/>
      <c r="O31" s="439"/>
      <c r="P31" s="598"/>
      <c r="Q31" s="596">
        <v>43160.603630280988</v>
      </c>
      <c r="R31" s="439">
        <v>43412.77644729257</v>
      </c>
      <c r="S31" s="598">
        <f t="shared" si="2"/>
        <v>0.6</v>
      </c>
      <c r="T31" s="596"/>
      <c r="U31" s="439"/>
      <c r="V31" s="598"/>
      <c r="W31" s="596">
        <v>16985</v>
      </c>
      <c r="X31" s="439">
        <v>17909</v>
      </c>
      <c r="Y31" s="598">
        <f t="shared" si="3"/>
        <v>5.4</v>
      </c>
      <c r="Z31" s="596">
        <v>163054.00078946</v>
      </c>
      <c r="AA31" s="439">
        <v>163601.44644144</v>
      </c>
      <c r="AB31" s="598">
        <f t="shared" si="4"/>
        <v>0.3</v>
      </c>
      <c r="AC31" s="439">
        <v>26</v>
      </c>
      <c r="AD31" s="439">
        <v>36</v>
      </c>
      <c r="AE31" s="598">
        <f t="shared" si="13"/>
        <v>38.5</v>
      </c>
      <c r="AF31" s="424">
        <f t="shared" si="7"/>
        <v>379295.60441974096</v>
      </c>
      <c r="AG31" s="596">
        <f t="shared" si="8"/>
        <v>379788.22288873256</v>
      </c>
      <c r="AH31" s="598">
        <f t="shared" si="6"/>
        <v>0.1</v>
      </c>
    </row>
    <row r="32" spans="1:35" ht="18.75" customHeight="1" x14ac:dyDescent="0.3">
      <c r="A32" s="603" t="s">
        <v>371</v>
      </c>
      <c r="B32" s="596">
        <v>130011</v>
      </c>
      <c r="C32" s="439">
        <v>127482</v>
      </c>
      <c r="D32" s="598">
        <f t="shared" si="0"/>
        <v>-1.9</v>
      </c>
      <c r="E32" s="596"/>
      <c r="F32" s="439"/>
      <c r="G32" s="598"/>
      <c r="H32" s="596"/>
      <c r="I32" s="439"/>
      <c r="J32" s="598"/>
      <c r="K32" s="596">
        <v>3814</v>
      </c>
      <c r="L32" s="439">
        <v>3766</v>
      </c>
      <c r="M32" s="598">
        <f>IF(K32=0, "    ---- ", IF(ABS(ROUND(100/K32*L32-100,1))&lt;999,ROUND(100/K32*L32-100,1),IF(ROUND(100/K32*L32-100,1)&gt;999,999,-999)))</f>
        <v>-1.3</v>
      </c>
      <c r="N32" s="596"/>
      <c r="O32" s="439"/>
      <c r="P32" s="598"/>
      <c r="Q32" s="596">
        <v>36395.755026407467</v>
      </c>
      <c r="R32" s="439">
        <v>36497.32584967649</v>
      </c>
      <c r="S32" s="598">
        <f t="shared" si="2"/>
        <v>0.3</v>
      </c>
      <c r="T32" s="596"/>
      <c r="U32" s="439"/>
      <c r="V32" s="598"/>
      <c r="W32" s="596">
        <v>9057</v>
      </c>
      <c r="X32" s="439">
        <v>9397</v>
      </c>
      <c r="Y32" s="598">
        <f t="shared" si="3"/>
        <v>3.8</v>
      </c>
      <c r="Z32" s="596">
        <v>134341.46527251005</v>
      </c>
      <c r="AA32" s="439">
        <v>134555.73692621</v>
      </c>
      <c r="AB32" s="598">
        <f t="shared" si="4"/>
        <v>0.2</v>
      </c>
      <c r="AC32" s="439"/>
      <c r="AD32" s="439"/>
      <c r="AE32" s="598"/>
      <c r="AF32" s="424">
        <f t="shared" si="7"/>
        <v>313619.2202989175</v>
      </c>
      <c r="AG32" s="596">
        <f t="shared" si="8"/>
        <v>311698.0627758865</v>
      </c>
      <c r="AH32" s="598">
        <f t="shared" si="6"/>
        <v>-0.6</v>
      </c>
    </row>
    <row r="33" spans="1:35" ht="18.75" customHeight="1" x14ac:dyDescent="0.3">
      <c r="A33" s="603" t="s">
        <v>455</v>
      </c>
      <c r="B33" s="596"/>
      <c r="C33" s="439"/>
      <c r="D33" s="598"/>
      <c r="E33" s="596"/>
      <c r="F33" s="439"/>
      <c r="G33" s="598"/>
      <c r="H33" s="596"/>
      <c r="I33" s="439"/>
      <c r="J33" s="598"/>
      <c r="K33" s="596"/>
      <c r="L33" s="439"/>
      <c r="M33" s="598"/>
      <c r="N33" s="596">
        <v>571395.94231533993</v>
      </c>
      <c r="O33" s="439">
        <v>613539.63698933995</v>
      </c>
      <c r="P33" s="598">
        <f>IF(N33=0, "    ---- ", IF(ABS(ROUND(100/N33*O33-100,1))&lt;999,ROUND(100/N33*O33-100,1),IF(ROUND(100/N33*O33-100,1)&gt;999,999,-999)))</f>
        <v>7.4</v>
      </c>
      <c r="Q33" s="596"/>
      <c r="R33" s="439"/>
      <c r="S33" s="598"/>
      <c r="T33" s="596"/>
      <c r="U33" s="439"/>
      <c r="V33" s="598"/>
      <c r="W33" s="596"/>
      <c r="X33" s="439"/>
      <c r="Y33" s="598"/>
      <c r="Z33" s="596">
        <v>15493.958939430004</v>
      </c>
      <c r="AA33" s="439">
        <v>18666.684197809998</v>
      </c>
      <c r="AB33" s="598">
        <f t="shared" si="4"/>
        <v>20.5</v>
      </c>
      <c r="AC33" s="439"/>
      <c r="AD33" s="439"/>
      <c r="AE33" s="598"/>
      <c r="AF33" s="424">
        <f t="shared" si="7"/>
        <v>586889.90125476988</v>
      </c>
      <c r="AG33" s="596">
        <f t="shared" si="8"/>
        <v>632206.32118714997</v>
      </c>
      <c r="AH33" s="598">
        <f t="shared" si="6"/>
        <v>7.7</v>
      </c>
    </row>
    <row r="34" spans="1:35" ht="18.75" customHeight="1" x14ac:dyDescent="0.3">
      <c r="A34" s="603" t="s">
        <v>372</v>
      </c>
      <c r="B34" s="596"/>
      <c r="C34" s="439"/>
      <c r="D34" s="598"/>
      <c r="E34" s="596">
        <v>546.85121834999995</v>
      </c>
      <c r="F34" s="439">
        <v>771.78596104999997</v>
      </c>
      <c r="G34" s="598">
        <f>IF(E34=0, "    ---- ", IF(ABS(ROUND(100/E34*F34-100,1))&lt;999,ROUND(100/E34*F34-100,1),IF(ROUND(100/E34*F34-100,1)&gt;999,999,-999)))</f>
        <v>41.1</v>
      </c>
      <c r="H34" s="596">
        <v>85.304000000000002</v>
      </c>
      <c r="I34" s="439">
        <v>93.096000000000004</v>
      </c>
      <c r="J34" s="598">
        <f t="shared" si="1"/>
        <v>9.1</v>
      </c>
      <c r="K34" s="596"/>
      <c r="L34" s="439"/>
      <c r="M34" s="598"/>
      <c r="N34" s="596"/>
      <c r="O34" s="439"/>
      <c r="P34" s="598"/>
      <c r="Q34" s="596">
        <v>68.309427502889292</v>
      </c>
      <c r="R34" s="439">
        <v>75.501219101968914</v>
      </c>
      <c r="S34" s="598">
        <f>IF(Q34=0, "    ---- ", IF(ABS(ROUND(100/Q34*R34-100,1))&lt;999,ROUND(100/Q34*R34-100,1),IF(ROUND(100/Q34*R34-100,1)&gt;999,999,-999)))</f>
        <v>10.5</v>
      </c>
      <c r="T34" s="596"/>
      <c r="U34" s="439"/>
      <c r="V34" s="598"/>
      <c r="W34" s="596"/>
      <c r="X34" s="439"/>
      <c r="Y34" s="598"/>
      <c r="Z34" s="596"/>
      <c r="AA34" s="439"/>
      <c r="AB34" s="598"/>
      <c r="AC34" s="439">
        <v>11</v>
      </c>
      <c r="AD34" s="439">
        <v>33</v>
      </c>
      <c r="AE34" s="598">
        <f t="shared" si="13"/>
        <v>200</v>
      </c>
      <c r="AF34" s="424">
        <f t="shared" si="7"/>
        <v>711.46464585288925</v>
      </c>
      <c r="AG34" s="596">
        <f t="shared" si="8"/>
        <v>973.38318015196887</v>
      </c>
      <c r="AH34" s="598">
        <f>IF(AF34=0, "    ---- ", IF(ABS(ROUND(100/AF34*AG34-100,1))&lt;999,ROUND(100/AF34*AG34-100,1),IF(ROUND(100/AF34*AG34-100,1)&gt;999,999,-999)))</f>
        <v>36.799999999999997</v>
      </c>
    </row>
    <row r="35" spans="1:35" s="602" customFormat="1" ht="18.75" customHeight="1" x14ac:dyDescent="0.35">
      <c r="A35" s="755" t="s">
        <v>474</v>
      </c>
      <c r="B35" s="600">
        <f>SUM(B36:B39)</f>
        <v>5237</v>
      </c>
      <c r="C35" s="440"/>
      <c r="D35" s="601">
        <f t="shared" si="0"/>
        <v>-100</v>
      </c>
      <c r="E35" s="600"/>
      <c r="F35" s="440"/>
      <c r="G35" s="601"/>
      <c r="H35" s="600">
        <f>SUM(H36:H39)</f>
        <v>23.856999999999999</v>
      </c>
      <c r="I35" s="440">
        <f>SUM(I36:I39)</f>
        <v>41.231000000000002</v>
      </c>
      <c r="J35" s="601">
        <f t="shared" si="1"/>
        <v>72.8</v>
      </c>
      <c r="K35" s="600">
        <f>SUM(K36:K39)</f>
        <v>251</v>
      </c>
      <c r="L35" s="440"/>
      <c r="M35" s="601">
        <f>IF(K35=0, "    ---- ", IF(ABS(ROUND(100/K35*L35-100,1))&lt;999,ROUND(100/K35*L35-100,1),IF(ROUND(100/K35*L35-100,1)&gt;999,999,-999)))</f>
        <v>-100</v>
      </c>
      <c r="N35" s="600"/>
      <c r="O35" s="440"/>
      <c r="P35" s="601"/>
      <c r="Q35" s="600">
        <f>SUM(Q36:Q39)</f>
        <v>3602.8606522687846</v>
      </c>
      <c r="R35" s="601"/>
      <c r="S35" s="601">
        <f t="shared" si="2"/>
        <v>-100</v>
      </c>
      <c r="T35" s="600"/>
      <c r="U35" s="601"/>
      <c r="V35" s="601"/>
      <c r="W35" s="600">
        <f>SUM(W36:W39)</f>
        <v>687</v>
      </c>
      <c r="X35" s="601"/>
      <c r="Y35" s="601">
        <f t="shared" si="3"/>
        <v>-100</v>
      </c>
      <c r="Z35" s="600">
        <f>SUM(Z36:Z39)</f>
        <v>6919.380397910003</v>
      </c>
      <c r="AA35" s="440"/>
      <c r="AB35" s="601">
        <f t="shared" si="4"/>
        <v>-100</v>
      </c>
      <c r="AC35" s="440">
        <f>SUM(AC36:AC39)</f>
        <v>1</v>
      </c>
      <c r="AD35" s="440"/>
      <c r="AE35" s="601">
        <f t="shared" ref="AE35" si="14">IF(AC35=0, "    ---- ", IF(ABS(ROUND(100/AC35*AD35-100,1))&lt;999,ROUND(100/AC35*AD35-100,1),IF(ROUND(100/AC35*AD35-100,1)&gt;999,999,-999)))</f>
        <v>-100</v>
      </c>
      <c r="AF35" s="422">
        <f t="shared" si="7"/>
        <v>16722.098050178785</v>
      </c>
      <c r="AG35" s="600">
        <f t="shared" si="8"/>
        <v>41.231000000000002</v>
      </c>
      <c r="AH35" s="601">
        <f t="shared" si="6"/>
        <v>-99.8</v>
      </c>
      <c r="AI35" s="521"/>
    </row>
    <row r="36" spans="1:35" s="602" customFormat="1" ht="18.75" customHeight="1" x14ac:dyDescent="0.3">
      <c r="A36" s="603" t="s">
        <v>366</v>
      </c>
      <c r="B36" s="596">
        <v>228</v>
      </c>
      <c r="C36" s="439"/>
      <c r="D36" s="598">
        <f t="shared" si="0"/>
        <v>-100</v>
      </c>
      <c r="E36" s="596"/>
      <c r="F36" s="439"/>
      <c r="G36" s="601"/>
      <c r="H36" s="596"/>
      <c r="I36" s="601"/>
      <c r="J36" s="601"/>
      <c r="K36" s="596"/>
      <c r="L36" s="601"/>
      <c r="M36" s="601"/>
      <c r="N36" s="596"/>
      <c r="O36" s="601"/>
      <c r="P36" s="601"/>
      <c r="Q36" s="596">
        <v>15.702152681461051</v>
      </c>
      <c r="R36" s="601"/>
      <c r="S36" s="598">
        <f t="shared" si="2"/>
        <v>-100</v>
      </c>
      <c r="T36" s="596"/>
      <c r="U36" s="601"/>
      <c r="V36" s="601"/>
      <c r="W36" s="596"/>
      <c r="X36" s="601"/>
      <c r="Y36" s="601"/>
      <c r="Z36" s="596">
        <v>98.149065400000012</v>
      </c>
      <c r="AA36" s="440"/>
      <c r="AB36" s="601"/>
      <c r="AC36" s="439"/>
      <c r="AD36" s="440"/>
      <c r="AE36" s="601"/>
      <c r="AF36" s="424">
        <f t="shared" si="7"/>
        <v>341.85121808146107</v>
      </c>
      <c r="AG36" s="596">
        <f t="shared" si="8"/>
        <v>0</v>
      </c>
      <c r="AH36" s="598">
        <f t="shared" si="6"/>
        <v>-100</v>
      </c>
      <c r="AI36" s="521"/>
    </row>
    <row r="37" spans="1:35" s="602" customFormat="1" ht="18.75" customHeight="1" x14ac:dyDescent="0.3">
      <c r="A37" s="603" t="s">
        <v>369</v>
      </c>
      <c r="B37" s="596">
        <v>381</v>
      </c>
      <c r="C37" s="439"/>
      <c r="D37" s="598">
        <f t="shared" si="0"/>
        <v>-100</v>
      </c>
      <c r="E37" s="596"/>
      <c r="F37" s="439"/>
      <c r="G37" s="601"/>
      <c r="H37" s="596">
        <v>23.856999999999999</v>
      </c>
      <c r="I37" s="598">
        <v>41.231000000000002</v>
      </c>
      <c r="J37" s="598">
        <f t="shared" si="1"/>
        <v>72.8</v>
      </c>
      <c r="K37" s="596">
        <v>22</v>
      </c>
      <c r="L37" s="601"/>
      <c r="M37" s="601"/>
      <c r="N37" s="596"/>
      <c r="O37" s="601"/>
      <c r="P37" s="601"/>
      <c r="Q37" s="596">
        <v>235.78239858732366</v>
      </c>
      <c r="R37" s="601"/>
      <c r="S37" s="598">
        <f t="shared" si="2"/>
        <v>-100</v>
      </c>
      <c r="T37" s="596"/>
      <c r="U37" s="601"/>
      <c r="V37" s="601"/>
      <c r="W37" s="596">
        <v>77</v>
      </c>
      <c r="X37" s="601"/>
      <c r="Y37" s="598">
        <f t="shared" si="3"/>
        <v>-100</v>
      </c>
      <c r="Z37" s="596">
        <v>310.25130648999999</v>
      </c>
      <c r="AA37" s="440"/>
      <c r="AB37" s="601"/>
      <c r="AC37" s="439"/>
      <c r="AD37" s="440"/>
      <c r="AE37" s="601"/>
      <c r="AF37" s="424">
        <f t="shared" si="7"/>
        <v>1049.8907050773237</v>
      </c>
      <c r="AG37" s="596">
        <f t="shared" si="8"/>
        <v>41.231000000000002</v>
      </c>
      <c r="AH37" s="598">
        <f t="shared" si="6"/>
        <v>-96.1</v>
      </c>
      <c r="AI37" s="521"/>
    </row>
    <row r="38" spans="1:35" s="602" customFormat="1" ht="18.75" customHeight="1" x14ac:dyDescent="0.3">
      <c r="A38" s="603" t="s">
        <v>454</v>
      </c>
      <c r="B38" s="596">
        <f>4608+20</f>
        <v>4628</v>
      </c>
      <c r="C38" s="439"/>
      <c r="D38" s="598">
        <f t="shared" si="0"/>
        <v>-100</v>
      </c>
      <c r="E38" s="596"/>
      <c r="F38" s="439"/>
      <c r="G38" s="601"/>
      <c r="H38" s="596"/>
      <c r="I38" s="601"/>
      <c r="J38" s="601"/>
      <c r="K38" s="596">
        <v>229</v>
      </c>
      <c r="L38" s="601"/>
      <c r="M38" s="601"/>
      <c r="N38" s="596"/>
      <c r="O38" s="601"/>
      <c r="P38" s="601"/>
      <c r="Q38" s="596">
        <v>3351.3761009999998</v>
      </c>
      <c r="R38" s="601"/>
      <c r="S38" s="598">
        <f t="shared" si="2"/>
        <v>-100</v>
      </c>
      <c r="T38" s="596"/>
      <c r="U38" s="601"/>
      <c r="V38" s="601"/>
      <c r="W38" s="596">
        <v>610</v>
      </c>
      <c r="X38" s="601"/>
      <c r="Y38" s="598">
        <f t="shared" si="3"/>
        <v>-100</v>
      </c>
      <c r="Z38" s="596">
        <v>6510.9800260200027</v>
      </c>
      <c r="AA38" s="440"/>
      <c r="AB38" s="601"/>
      <c r="AC38" s="439">
        <v>1</v>
      </c>
      <c r="AD38" s="440"/>
      <c r="AE38" s="598">
        <f t="shared" ref="AE38" si="15">IF(AC38=0, "    ---- ", IF(ABS(ROUND(100/AC38*AD38-100,1))&lt;999,ROUND(100/AC38*AD38-100,1),IF(ROUND(100/AC38*AD38-100,1)&gt;999,999,-999)))</f>
        <v>-100</v>
      </c>
      <c r="AF38" s="424">
        <f t="shared" si="7"/>
        <v>15330.356127020003</v>
      </c>
      <c r="AG38" s="596">
        <f t="shared" si="8"/>
        <v>0</v>
      </c>
      <c r="AH38" s="598">
        <f t="shared" si="6"/>
        <v>-100</v>
      </c>
      <c r="AI38" s="521"/>
    </row>
    <row r="39" spans="1:35" s="602" customFormat="1" ht="18.75" customHeight="1" x14ac:dyDescent="0.3">
      <c r="A39" s="603" t="s">
        <v>455</v>
      </c>
      <c r="B39" s="596"/>
      <c r="C39" s="439"/>
      <c r="D39" s="601"/>
      <c r="E39" s="596"/>
      <c r="F39" s="439"/>
      <c r="G39" s="601"/>
      <c r="H39" s="596"/>
      <c r="I39" s="601"/>
      <c r="J39" s="601"/>
      <c r="K39" s="596"/>
      <c r="L39" s="601"/>
      <c r="M39" s="601"/>
      <c r="N39" s="596"/>
      <c r="O39" s="601"/>
      <c r="P39" s="601"/>
      <c r="Q39" s="596"/>
      <c r="R39" s="601"/>
      <c r="S39" s="601"/>
      <c r="T39" s="596"/>
      <c r="U39" s="601"/>
      <c r="V39" s="601"/>
      <c r="W39" s="596"/>
      <c r="X39" s="601"/>
      <c r="Y39" s="601"/>
      <c r="Z39" s="596"/>
      <c r="AA39" s="440"/>
      <c r="AB39" s="601"/>
      <c r="AC39" s="439"/>
      <c r="AD39" s="440"/>
      <c r="AE39" s="601"/>
      <c r="AF39" s="424">
        <f t="shared" si="7"/>
        <v>0</v>
      </c>
      <c r="AG39" s="596">
        <f t="shared" si="8"/>
        <v>0</v>
      </c>
      <c r="AH39" s="598" t="str">
        <f t="shared" si="6"/>
        <v xml:space="preserve">    ---- </v>
      </c>
      <c r="AI39" s="521"/>
    </row>
    <row r="40" spans="1:35" s="602" customFormat="1" ht="18.75" customHeight="1" x14ac:dyDescent="0.3">
      <c r="A40" s="599" t="s">
        <v>456</v>
      </c>
      <c r="B40" s="600"/>
      <c r="C40" s="440">
        <f>SUM(C41:C44)</f>
        <v>7681</v>
      </c>
      <c r="D40" s="601" t="str">
        <f t="shared" si="0"/>
        <v xml:space="preserve">    ---- </v>
      </c>
      <c r="E40" s="600"/>
      <c r="F40" s="440"/>
      <c r="G40" s="601"/>
      <c r="H40" s="600"/>
      <c r="I40" s="440"/>
      <c r="J40" s="601"/>
      <c r="K40" s="600">
        <f t="shared" ref="K40:L40" si="16">SUM(K41:K44)</f>
        <v>0</v>
      </c>
      <c r="L40" s="440">
        <f t="shared" si="16"/>
        <v>315</v>
      </c>
      <c r="M40" s="601" t="str">
        <f t="shared" ref="M40:M43" si="17">IF(K40=0, "    ---- ", IF(ABS(ROUND(100/K40*L40-100,1))&lt;999,ROUND(100/K40*L40-100,1),IF(ROUND(100/K40*L40-100,1)&gt;999,999,-999)))</f>
        <v xml:space="preserve">    ---- </v>
      </c>
      <c r="N40" s="440">
        <v>108016.7968132</v>
      </c>
      <c r="O40" s="440">
        <f t="shared" ref="O40" si="18">SUM(O41:O44)</f>
        <v>122975.73772664</v>
      </c>
      <c r="P40" s="601">
        <f t="shared" ref="P40" si="19">IF(N40=0, "    ---- ", IF(ABS(ROUND(100/N40*O40-100,1))&lt;999,ROUND(100/N40*O40-100,1),IF(ROUND(100/N40*O40-100,1)&gt;999,999,-999)))</f>
        <v>13.8</v>
      </c>
      <c r="Q40" s="600"/>
      <c r="R40" s="440">
        <f t="shared" ref="R40" si="20">SUM(R41:R44)</f>
        <v>5898.6713515045767</v>
      </c>
      <c r="S40" s="601" t="str">
        <f t="shared" si="2"/>
        <v xml:space="preserve">    ---- </v>
      </c>
      <c r="T40" s="600">
        <v>30008</v>
      </c>
      <c r="U40" s="440">
        <f t="shared" ref="U40" si="21">SUM(U41:U44)</f>
        <v>32468</v>
      </c>
      <c r="V40" s="601">
        <f t="shared" ref="V40" si="22">IF(T40=0, "    ---- ", IF(ABS(ROUND(100/T40*U40-100,1))&lt;999,ROUND(100/T40*U40-100,1),IF(ROUND(100/T40*U40-100,1)&gt;999,999,-999)))</f>
        <v>8.1999999999999993</v>
      </c>
      <c r="W40" s="600">
        <f t="shared" ref="W40:X40" si="23">SUM(W41:W44)</f>
        <v>0</v>
      </c>
      <c r="X40" s="440">
        <f t="shared" si="23"/>
        <v>3718</v>
      </c>
      <c r="Y40" s="601" t="str">
        <f t="shared" si="3"/>
        <v xml:space="preserve">    ---- </v>
      </c>
      <c r="Z40" s="600">
        <v>2070.5954800000004</v>
      </c>
      <c r="AA40" s="440">
        <f t="shared" ref="AA40" si="24">SUM(AA41:AA44)</f>
        <v>14128.322942270001</v>
      </c>
      <c r="AB40" s="601"/>
      <c r="AC40" s="440">
        <f t="shared" ref="AC40:AD40" si="25">SUM(AC41:AC44)</f>
        <v>0</v>
      </c>
      <c r="AD40" s="440">
        <f t="shared" si="25"/>
        <v>2</v>
      </c>
      <c r="AE40" s="598" t="str">
        <f t="shared" ref="AE40" si="26">IF(AC40=0, "    ---- ", IF(ABS(ROUND(100/AC40*AD40-100,1))&lt;999,ROUND(100/AC40*AD40-100,1),IF(ROUND(100/AC40*AD40-100,1)&gt;999,999,-999)))</f>
        <v xml:space="preserve">    ---- </v>
      </c>
      <c r="AF40" s="422">
        <f t="shared" si="7"/>
        <v>140095.39229319998</v>
      </c>
      <c r="AG40" s="600">
        <f t="shared" si="8"/>
        <v>187186.73202041458</v>
      </c>
      <c r="AH40" s="601">
        <f t="shared" si="6"/>
        <v>33.6</v>
      </c>
      <c r="AI40" s="521"/>
    </row>
    <row r="41" spans="1:35" ht="18.75" customHeight="1" x14ac:dyDescent="0.3">
      <c r="A41" s="756" t="s">
        <v>366</v>
      </c>
      <c r="B41" s="596"/>
      <c r="C41" s="439">
        <v>302</v>
      </c>
      <c r="D41" s="598" t="str">
        <f t="shared" si="0"/>
        <v xml:space="preserve">    ---- </v>
      </c>
      <c r="E41" s="596"/>
      <c r="F41" s="439"/>
      <c r="G41" s="598"/>
      <c r="H41" s="596"/>
      <c r="I41" s="439"/>
      <c r="J41" s="598"/>
      <c r="K41" s="596"/>
      <c r="L41" s="439"/>
      <c r="M41" s="598"/>
      <c r="N41" s="596"/>
      <c r="O41" s="439"/>
      <c r="P41" s="598"/>
      <c r="Q41" s="596"/>
      <c r="R41" s="439">
        <v>26.657389228470272</v>
      </c>
      <c r="S41" s="598" t="str">
        <f t="shared" ref="S41:S43" si="27">IF(Q41=0, "    ---- ", IF(ABS(ROUND(100/Q41*R41-100,1))&lt;999,ROUND(100/Q41*R41-100,1),IF(ROUND(100/Q41*R41-100,1)&gt;999,999,-999)))</f>
        <v xml:space="preserve">    ---- </v>
      </c>
      <c r="T41" s="596"/>
      <c r="U41" s="439"/>
      <c r="V41" s="598"/>
      <c r="W41" s="596"/>
      <c r="X41" s="439">
        <v>33</v>
      </c>
      <c r="Y41" s="598" t="str">
        <f t="shared" ref="Y41:Y43" si="28">IF(W41=0, "    ---- ", IF(ABS(ROUND(100/W41*X41-100,1))&lt;999,ROUND(100/W41*X41-100,1),IF(ROUND(100/W41*X41-100,1)&gt;999,999,-999)))</f>
        <v xml:space="preserve">    ---- </v>
      </c>
      <c r="Z41" s="596"/>
      <c r="AA41" s="439">
        <v>109.24241499999999</v>
      </c>
      <c r="AB41" s="598" t="str">
        <f t="shared" ref="AB41:AB44" si="29">IF(Z41=0, "    ---- ", IF(ABS(ROUND(100/Z41*AA41-100,1))&lt;999,ROUND(100/Z41*AA41-100,1),IF(ROUND(100/Z41*AA41-100,1)&gt;999,999,-999)))</f>
        <v xml:space="preserve">    ---- </v>
      </c>
      <c r="AC41" s="439"/>
      <c r="AD41" s="439"/>
      <c r="AE41" s="598"/>
      <c r="AF41" s="424">
        <f t="shared" si="7"/>
        <v>0</v>
      </c>
      <c r="AG41" s="596">
        <f t="shared" si="8"/>
        <v>470.89980422847026</v>
      </c>
      <c r="AH41" s="598" t="str">
        <f t="shared" si="6"/>
        <v xml:space="preserve">    ---- </v>
      </c>
    </row>
    <row r="42" spans="1:35" ht="18.75" customHeight="1" x14ac:dyDescent="0.3">
      <c r="A42" s="756" t="s">
        <v>369</v>
      </c>
      <c r="B42" s="596"/>
      <c r="C42" s="439">
        <v>568</v>
      </c>
      <c r="D42" s="439" t="str">
        <f t="shared" si="0"/>
        <v xml:space="preserve">    ---- </v>
      </c>
      <c r="E42" s="596"/>
      <c r="F42" s="439"/>
      <c r="G42" s="439"/>
      <c r="H42" s="596"/>
      <c r="I42" s="439"/>
      <c r="J42" s="439"/>
      <c r="K42" s="596"/>
      <c r="L42" s="439">
        <v>55</v>
      </c>
      <c r="M42" s="439" t="str">
        <f t="shared" si="17"/>
        <v xml:space="preserve">    ---- </v>
      </c>
      <c r="N42" s="596"/>
      <c r="O42" s="439"/>
      <c r="P42" s="439"/>
      <c r="Q42" s="596"/>
      <c r="R42" s="439">
        <v>430.06282474072793</v>
      </c>
      <c r="S42" s="439" t="str">
        <f t="shared" si="27"/>
        <v xml:space="preserve">    ---- </v>
      </c>
      <c r="T42" s="596"/>
      <c r="U42" s="439"/>
      <c r="V42" s="439"/>
      <c r="W42" s="596"/>
      <c r="X42" s="439">
        <v>425</v>
      </c>
      <c r="Y42" s="439" t="str">
        <f t="shared" si="28"/>
        <v xml:space="preserve">    ---- </v>
      </c>
      <c r="Z42" s="596"/>
      <c r="AA42" s="439">
        <v>346.08173099999999</v>
      </c>
      <c r="AB42" s="439" t="str">
        <f t="shared" si="29"/>
        <v xml:space="preserve">    ---- </v>
      </c>
      <c r="AC42" s="439"/>
      <c r="AD42" s="439"/>
      <c r="AE42" s="439"/>
      <c r="AF42" s="424">
        <f t="shared" si="7"/>
        <v>0</v>
      </c>
      <c r="AG42" s="596">
        <f t="shared" si="8"/>
        <v>1824.144555740728</v>
      </c>
      <c r="AH42" s="598" t="str">
        <f t="shared" si="6"/>
        <v xml:space="preserve">    ---- </v>
      </c>
    </row>
    <row r="43" spans="1:35" ht="18.75" customHeight="1" x14ac:dyDescent="0.3">
      <c r="A43" s="756" t="s">
        <v>454</v>
      </c>
      <c r="B43" s="596"/>
      <c r="C43" s="439">
        <v>6811</v>
      </c>
      <c r="D43" s="598" t="str">
        <f t="shared" si="0"/>
        <v xml:space="preserve">    ---- </v>
      </c>
      <c r="E43" s="596"/>
      <c r="F43" s="439"/>
      <c r="G43" s="598"/>
      <c r="H43" s="596"/>
      <c r="I43" s="439"/>
      <c r="J43" s="598"/>
      <c r="K43" s="596"/>
      <c r="L43" s="439">
        <v>260</v>
      </c>
      <c r="M43" s="598" t="str">
        <f t="shared" si="17"/>
        <v xml:space="preserve">    ---- </v>
      </c>
      <c r="N43" s="596"/>
      <c r="O43" s="439"/>
      <c r="P43" s="598"/>
      <c r="Q43" s="596"/>
      <c r="R43" s="439">
        <v>5441.9511375353786</v>
      </c>
      <c r="S43" s="598" t="str">
        <f t="shared" si="27"/>
        <v xml:space="preserve">    ---- </v>
      </c>
      <c r="T43" s="596"/>
      <c r="U43" s="439"/>
      <c r="V43" s="598"/>
      <c r="W43" s="596"/>
      <c r="X43" s="439">
        <v>3260</v>
      </c>
      <c r="Y43" s="598" t="str">
        <f t="shared" si="28"/>
        <v xml:space="preserve">    ---- </v>
      </c>
      <c r="Z43" s="596"/>
      <c r="AA43" s="439">
        <v>10772.027568269999</v>
      </c>
      <c r="AB43" s="598" t="str">
        <f t="shared" si="29"/>
        <v xml:space="preserve">    ---- </v>
      </c>
      <c r="AC43" s="439"/>
      <c r="AD43" s="439">
        <v>2</v>
      </c>
      <c r="AE43" s="598" t="str">
        <f t="shared" ref="AE43" si="30">IF(AC43=0, "    ---- ", IF(ABS(ROUND(100/AC43*AD43-100,1))&lt;999,ROUND(100/AC43*AD43-100,1),IF(ROUND(100/AC43*AD43-100,1)&gt;999,999,-999)))</f>
        <v xml:space="preserve">    ---- </v>
      </c>
      <c r="AF43" s="424">
        <f t="shared" si="7"/>
        <v>0</v>
      </c>
      <c r="AG43" s="596">
        <f t="shared" si="8"/>
        <v>26546.978705805377</v>
      </c>
      <c r="AH43" s="598" t="str">
        <f t="shared" si="6"/>
        <v xml:space="preserve">    ---- </v>
      </c>
    </row>
    <row r="44" spans="1:35" ht="18.75" customHeight="1" x14ac:dyDescent="0.3">
      <c r="A44" s="756" t="s">
        <v>455</v>
      </c>
      <c r="B44" s="596"/>
      <c r="C44" s="439"/>
      <c r="D44" s="598"/>
      <c r="E44" s="596"/>
      <c r="F44" s="439"/>
      <c r="G44" s="598"/>
      <c r="H44" s="596"/>
      <c r="I44" s="439"/>
      <c r="J44" s="598"/>
      <c r="K44" s="596"/>
      <c r="L44" s="439"/>
      <c r="M44" s="598"/>
      <c r="N44" s="439">
        <v>108016.7968132</v>
      </c>
      <c r="O44" s="598">
        <v>122975.73772664</v>
      </c>
      <c r="P44" s="598">
        <f>IF(N44=0, "    ---- ", IF(ABS(ROUND(100/N44*O44-100,1))&lt;999,ROUND(100/N44*O44-100,1),IF(ROUND(100/N44*O44-100,1)&gt;999,999,-999)))</f>
        <v>13.8</v>
      </c>
      <c r="Q44" s="596"/>
      <c r="R44" s="439"/>
      <c r="S44" s="598"/>
      <c r="T44" s="596"/>
      <c r="U44" s="439">
        <v>32468</v>
      </c>
      <c r="V44" s="598" t="str">
        <f>IF(T44=0, "    ---- ", IF(ABS(ROUND(100/T44*U44-100,1))&lt;999,ROUND(100/T44*U44-100,1),IF(ROUND(100/T44*U44-100,1)&gt;999,999,-999)))</f>
        <v xml:space="preserve">    ---- </v>
      </c>
      <c r="W44" s="596"/>
      <c r="X44" s="439"/>
      <c r="Y44" s="598"/>
      <c r="Z44" s="596"/>
      <c r="AA44" s="439">
        <v>2900.9712279999999</v>
      </c>
      <c r="AB44" s="598" t="str">
        <f t="shared" si="29"/>
        <v xml:space="preserve">    ---- </v>
      </c>
      <c r="AC44" s="439"/>
      <c r="AD44" s="439"/>
      <c r="AE44" s="598"/>
      <c r="AF44" s="424">
        <f t="shared" si="7"/>
        <v>108016.7968132</v>
      </c>
      <c r="AG44" s="596">
        <f t="shared" si="8"/>
        <v>158344.70895464002</v>
      </c>
      <c r="AH44" s="598">
        <f t="shared" si="6"/>
        <v>46.6</v>
      </c>
    </row>
    <row r="45" spans="1:35" s="602" customFormat="1" ht="18.75" customHeight="1" x14ac:dyDescent="0.35">
      <c r="A45" s="755" t="s">
        <v>480</v>
      </c>
      <c r="B45" s="600">
        <v>1151</v>
      </c>
      <c r="C45" s="440"/>
      <c r="D45" s="601">
        <f t="shared" si="0"/>
        <v>-100</v>
      </c>
      <c r="E45" s="600">
        <v>112.97187581999999</v>
      </c>
      <c r="F45" s="440"/>
      <c r="G45" s="601">
        <f>IF(E45=0, "    ---- ", IF(ABS(ROUND(100/E45*F45-100,1))&lt;999,ROUND(100/E45*F45-100,1),IF(ROUND(100/E45*F45-100,1)&gt;999,999,-999)))</f>
        <v>-100</v>
      </c>
      <c r="H45" s="600"/>
      <c r="I45" s="440"/>
      <c r="J45" s="601"/>
      <c r="K45" s="600"/>
      <c r="L45" s="440"/>
      <c r="M45" s="601"/>
      <c r="N45" s="600"/>
      <c r="O45" s="440"/>
      <c r="P45" s="601"/>
      <c r="Q45" s="600">
        <v>2100.02</v>
      </c>
      <c r="R45" s="440"/>
      <c r="S45" s="601">
        <f t="shared" si="2"/>
        <v>-100</v>
      </c>
      <c r="T45" s="600"/>
      <c r="U45" s="440"/>
      <c r="V45" s="601"/>
      <c r="W45" s="600">
        <v>2707</v>
      </c>
      <c r="X45" s="440"/>
      <c r="Y45" s="601">
        <f t="shared" si="3"/>
        <v>-100</v>
      </c>
      <c r="Z45" s="600">
        <v>2411.2163415500022</v>
      </c>
      <c r="AA45" s="440"/>
      <c r="AB45" s="601">
        <f t="shared" si="4"/>
        <v>-100</v>
      </c>
      <c r="AC45" s="440"/>
      <c r="AD45" s="440"/>
      <c r="AE45" s="601"/>
      <c r="AF45" s="422">
        <f t="shared" si="7"/>
        <v>8482.2082173700019</v>
      </c>
      <c r="AG45" s="596">
        <f t="shared" si="8"/>
        <v>0</v>
      </c>
      <c r="AH45" s="601">
        <f t="shared" si="6"/>
        <v>-100</v>
      </c>
    </row>
    <row r="46" spans="1:35" s="602" customFormat="1" ht="37.5" x14ac:dyDescent="0.3">
      <c r="A46" s="757" t="s">
        <v>473</v>
      </c>
      <c r="B46" s="600">
        <f>SUM(B47:B49)</f>
        <v>365</v>
      </c>
      <c r="C46" s="440">
        <f>SUM(C47:C49)</f>
        <v>341</v>
      </c>
      <c r="D46" s="601">
        <f t="shared" si="0"/>
        <v>-6.6</v>
      </c>
      <c r="E46" s="600"/>
      <c r="F46" s="440"/>
      <c r="G46" s="601"/>
      <c r="H46" s="600"/>
      <c r="I46" s="440"/>
      <c r="J46" s="601"/>
      <c r="K46" s="600">
        <f>SUM(K47:K49)</f>
        <v>18</v>
      </c>
      <c r="L46" s="440">
        <f>SUM(L47:L49)</f>
        <v>39</v>
      </c>
      <c r="M46" s="601">
        <f>IF(K46=0, "    ---- ", IF(ABS(ROUND(100/K46*L46-100,1))&lt;999,ROUND(100/K46*L46-100,1),IF(ROUND(100/K46*L46-100,1)&gt;999,999,-999)))</f>
        <v>116.7</v>
      </c>
      <c r="N46" s="600">
        <f>SUM(N47:N49)</f>
        <v>42250.604176089997</v>
      </c>
      <c r="O46" s="440">
        <f>SUM(O47:O49)</f>
        <v>63369.833770650002</v>
      </c>
      <c r="P46" s="601">
        <f>IF(N46=0, "    ---- ", IF(ABS(ROUND(100/N46*O46-100,1))&lt;999,ROUND(100/N46*O46-100,1),IF(ROUND(100/N46*O46-100,1)&gt;999,999,-999)))</f>
        <v>50</v>
      </c>
      <c r="Q46" s="600">
        <f>SUM(Q47:Q49)</f>
        <v>910.48101129999998</v>
      </c>
      <c r="R46" s="440">
        <f>SUM(R47:R49)</f>
        <v>1020.8683278100001</v>
      </c>
      <c r="S46" s="601">
        <f t="shared" si="2"/>
        <v>12.1</v>
      </c>
      <c r="T46" s="600">
        <f>SUM(T47:T49)</f>
        <v>5661</v>
      </c>
      <c r="U46" s="440">
        <f>SUM(U47:U49)</f>
        <v>6143</v>
      </c>
      <c r="V46" s="601">
        <f>IF(T46=0, "    ---- ", IF(ABS(ROUND(100/T46*U46-100,1))&lt;999,ROUND(100/T46*U46-100,1),IF(ROUND(100/T46*U46-100,1)&gt;999,999,-999)))</f>
        <v>8.5</v>
      </c>
      <c r="W46" s="600">
        <f>SUM(W47:W49)</f>
        <v>332</v>
      </c>
      <c r="X46" s="440">
        <f>SUM(X47:X49)</f>
        <v>275</v>
      </c>
      <c r="Y46" s="601">
        <f t="shared" si="3"/>
        <v>-17.2</v>
      </c>
      <c r="Z46" s="600">
        <f>SUM(Z47:Z49)</f>
        <v>2986.3486270099997</v>
      </c>
      <c r="AA46" s="440">
        <f>SUM(AA47:AA49)</f>
        <v>3452.68204599</v>
      </c>
      <c r="AB46" s="601">
        <f t="shared" si="4"/>
        <v>15.6</v>
      </c>
      <c r="AC46" s="440">
        <f>SUM(AC47:AC49)</f>
        <v>3</v>
      </c>
      <c r="AD46" s="440">
        <f>SUM(AD47:AD49)</f>
        <v>5</v>
      </c>
      <c r="AE46" s="601">
        <f t="shared" ref="AE46" si="31">IF(AC46=0, "    ---- ", IF(ABS(ROUND(100/AC46*AD46-100,1))&lt;999,ROUND(100/AC46*AD46-100,1),IF(ROUND(100/AC46*AD46-100,1)&gt;999,999,-999)))</f>
        <v>66.7</v>
      </c>
      <c r="AF46" s="422">
        <f t="shared" si="7"/>
        <v>52526.433814399992</v>
      </c>
      <c r="AG46" s="600">
        <f t="shared" si="8"/>
        <v>74646.384144449999</v>
      </c>
      <c r="AH46" s="601">
        <f t="shared" si="6"/>
        <v>42.1</v>
      </c>
      <c r="AI46" s="521"/>
    </row>
    <row r="47" spans="1:35" ht="18.75" customHeight="1" x14ac:dyDescent="0.3">
      <c r="A47" s="603" t="s">
        <v>369</v>
      </c>
      <c r="B47" s="596">
        <v>23</v>
      </c>
      <c r="C47" s="439">
        <v>19</v>
      </c>
      <c r="D47" s="439">
        <f t="shared" si="0"/>
        <v>-17.399999999999999</v>
      </c>
      <c r="E47" s="596"/>
      <c r="F47" s="439"/>
      <c r="G47" s="439"/>
      <c r="H47" s="596"/>
      <c r="I47" s="439"/>
      <c r="J47" s="439"/>
      <c r="K47" s="596"/>
      <c r="L47" s="439">
        <v>15</v>
      </c>
      <c r="M47" s="439" t="str">
        <f>IF(K47=0, "    ---- ", IF(ABS(ROUND(100/K47*L47-100,1))&lt;999,ROUND(100/K47*L47-100,1),IF(ROUND(100/K47*L47-100,1)&gt;999,999,-999)))</f>
        <v xml:space="preserve">    ---- </v>
      </c>
      <c r="N47" s="596"/>
      <c r="O47" s="439"/>
      <c r="P47" s="439"/>
      <c r="Q47" s="596">
        <v>0.38779429999999998</v>
      </c>
      <c r="R47" s="439">
        <v>0.36253880999999999</v>
      </c>
      <c r="S47" s="439">
        <f t="shared" si="2"/>
        <v>-6.5</v>
      </c>
      <c r="T47" s="596"/>
      <c r="U47" s="439"/>
      <c r="V47" s="439"/>
      <c r="W47" s="596"/>
      <c r="X47" s="439"/>
      <c r="Y47" s="439"/>
      <c r="Z47" s="596">
        <v>1.72207</v>
      </c>
      <c r="AA47" s="439"/>
      <c r="AB47" s="439"/>
      <c r="AC47" s="439"/>
      <c r="AD47" s="439"/>
      <c r="AE47" s="439"/>
      <c r="AF47" s="424">
        <f t="shared" si="7"/>
        <v>25.109864299999998</v>
      </c>
      <c r="AG47" s="596">
        <f t="shared" si="8"/>
        <v>34.362538809999997</v>
      </c>
      <c r="AH47" s="598">
        <f t="shared" si="6"/>
        <v>36.799999999999997</v>
      </c>
    </row>
    <row r="48" spans="1:35" ht="18.75" customHeight="1" x14ac:dyDescent="0.3">
      <c r="A48" s="603" t="s">
        <v>454</v>
      </c>
      <c r="B48" s="596">
        <f>340+2</f>
        <v>342</v>
      </c>
      <c r="C48" s="439">
        <v>322</v>
      </c>
      <c r="D48" s="598">
        <f t="shared" si="0"/>
        <v>-5.8</v>
      </c>
      <c r="E48" s="596"/>
      <c r="F48" s="439"/>
      <c r="G48" s="598"/>
      <c r="H48" s="596"/>
      <c r="I48" s="439"/>
      <c r="J48" s="598"/>
      <c r="K48" s="596">
        <v>18</v>
      </c>
      <c r="L48" s="439">
        <v>24</v>
      </c>
      <c r="M48" s="598">
        <f>IF(K48=0, "    ---- ", IF(ABS(ROUND(100/K48*L48-100,1))&lt;999,ROUND(100/K48*L48-100,1),IF(ROUND(100/K48*L48-100,1)&gt;999,999,-999)))</f>
        <v>33.299999999999997</v>
      </c>
      <c r="N48" s="596"/>
      <c r="O48" s="439"/>
      <c r="P48" s="598"/>
      <c r="Q48" s="596">
        <v>910.09321699999998</v>
      </c>
      <c r="R48" s="439">
        <v>1020.505789</v>
      </c>
      <c r="S48" s="598">
        <f t="shared" si="2"/>
        <v>12.1</v>
      </c>
      <c r="T48" s="596"/>
      <c r="U48" s="439"/>
      <c r="V48" s="598"/>
      <c r="W48" s="596">
        <v>332</v>
      </c>
      <c r="X48" s="439">
        <v>275</v>
      </c>
      <c r="Y48" s="598">
        <f t="shared" si="3"/>
        <v>-17.2</v>
      </c>
      <c r="Z48" s="596">
        <v>1759.7655359999997</v>
      </c>
      <c r="AA48" s="439">
        <v>1409.2826609799999</v>
      </c>
      <c r="AB48" s="598">
        <f t="shared" si="4"/>
        <v>-19.899999999999999</v>
      </c>
      <c r="AC48" s="439">
        <v>3</v>
      </c>
      <c r="AD48" s="439">
        <v>5</v>
      </c>
      <c r="AE48" s="598">
        <f t="shared" ref="AE48" si="32">IF(AC48=0, "    ---- ", IF(ABS(ROUND(100/AC48*AD48-100,1))&lt;999,ROUND(100/AC48*AD48-100,1),IF(ROUND(100/AC48*AD48-100,1)&gt;999,999,-999)))</f>
        <v>66.7</v>
      </c>
      <c r="AF48" s="424">
        <f t="shared" si="7"/>
        <v>3364.8587529999995</v>
      </c>
      <c r="AG48" s="596">
        <f t="shared" si="8"/>
        <v>3055.7884499800002</v>
      </c>
      <c r="AH48" s="598">
        <f t="shared" si="6"/>
        <v>-9.1999999999999993</v>
      </c>
    </row>
    <row r="49" spans="1:35" ht="18.75" customHeight="1" x14ac:dyDescent="0.3">
      <c r="A49" s="603" t="s">
        <v>455</v>
      </c>
      <c r="B49" s="596"/>
      <c r="C49" s="439"/>
      <c r="D49" s="598"/>
      <c r="E49" s="596"/>
      <c r="F49" s="439"/>
      <c r="G49" s="598"/>
      <c r="H49" s="596"/>
      <c r="I49" s="439"/>
      <c r="J49" s="598"/>
      <c r="K49" s="596"/>
      <c r="L49" s="439"/>
      <c r="M49" s="598"/>
      <c r="N49" s="596">
        <v>42250.604176089997</v>
      </c>
      <c r="O49" s="439">
        <v>63369.833770650002</v>
      </c>
      <c r="P49" s="598">
        <f>IF(N49=0, "    ---- ", IF(ABS(ROUND(100/N49*O49-100,1))&lt;999,ROUND(100/N49*O49-100,1),IF(ROUND(100/N49*O49-100,1)&gt;999,999,-999)))</f>
        <v>50</v>
      </c>
      <c r="Q49" s="596"/>
      <c r="R49" s="439"/>
      <c r="S49" s="598"/>
      <c r="T49" s="596">
        <v>5661</v>
      </c>
      <c r="U49" s="439">
        <v>6143</v>
      </c>
      <c r="V49" s="598">
        <f>IF(T49=0, "    ---- ", IF(ABS(ROUND(100/T49*U49-100,1))&lt;999,ROUND(100/T49*U49-100,1),IF(ROUND(100/T49*U49-100,1)&gt;999,999,-999)))</f>
        <v>8.5</v>
      </c>
      <c r="W49" s="596"/>
      <c r="X49" s="439"/>
      <c r="Y49" s="598"/>
      <c r="Z49" s="596">
        <v>1224.8610210100001</v>
      </c>
      <c r="AA49" s="439">
        <v>2043.3993850100001</v>
      </c>
      <c r="AB49" s="598">
        <f t="shared" si="4"/>
        <v>66.8</v>
      </c>
      <c r="AC49" s="439"/>
      <c r="AD49" s="439"/>
      <c r="AE49" s="598"/>
      <c r="AF49" s="424">
        <f t="shared" si="7"/>
        <v>49136.465197099998</v>
      </c>
      <c r="AG49" s="596">
        <f t="shared" si="8"/>
        <v>71556.233155659997</v>
      </c>
      <c r="AH49" s="598">
        <f t="shared" si="6"/>
        <v>45.6</v>
      </c>
    </row>
    <row r="50" spans="1:35" s="602" customFormat="1" ht="18.75" customHeight="1" x14ac:dyDescent="0.3">
      <c r="A50" s="599" t="s">
        <v>457</v>
      </c>
      <c r="B50" s="600">
        <v>3113</v>
      </c>
      <c r="C50" s="440">
        <v>3478.5079999999998</v>
      </c>
      <c r="D50" s="601">
        <f t="shared" si="0"/>
        <v>11.7</v>
      </c>
      <c r="E50" s="600"/>
      <c r="F50" s="440"/>
      <c r="G50" s="601"/>
      <c r="H50" s="600"/>
      <c r="I50" s="440"/>
      <c r="J50" s="601"/>
      <c r="K50" s="600"/>
      <c r="L50" s="440"/>
      <c r="M50" s="601"/>
      <c r="N50" s="600"/>
      <c r="O50" s="440"/>
      <c r="P50" s="601"/>
      <c r="Q50" s="600"/>
      <c r="R50" s="440"/>
      <c r="S50" s="601"/>
      <c r="T50" s="754">
        <v>356</v>
      </c>
      <c r="U50" s="440"/>
      <c r="V50" s="601">
        <f>IF(T50=0, "    ---- ", IF(ABS(ROUND(100/T50*U50-100,1))&lt;999,ROUND(100/T50*U50-100,1),IF(ROUND(100/T50*U50-100,1)&gt;999,999,-999)))</f>
        <v>-100</v>
      </c>
      <c r="W50" s="600"/>
      <c r="X50" s="440"/>
      <c r="Y50" s="601"/>
      <c r="Z50" s="600">
        <v>788.38188569999988</v>
      </c>
      <c r="AA50" s="440"/>
      <c r="AB50" s="601">
        <f t="shared" si="4"/>
        <v>-100</v>
      </c>
      <c r="AC50" s="440"/>
      <c r="AD50" s="440"/>
      <c r="AE50" s="601"/>
      <c r="AF50" s="422">
        <f t="shared" si="7"/>
        <v>4257.3818856999997</v>
      </c>
      <c r="AG50" s="600">
        <f t="shared" si="8"/>
        <v>3478.5079999999998</v>
      </c>
      <c r="AH50" s="601">
        <f t="shared" si="6"/>
        <v>-18.3</v>
      </c>
      <c r="AI50" s="521"/>
    </row>
    <row r="51" spans="1:35" s="602" customFormat="1" ht="18.75" customHeight="1" x14ac:dyDescent="0.3">
      <c r="A51" s="599"/>
      <c r="B51" s="600"/>
      <c r="C51" s="440"/>
      <c r="D51" s="601"/>
      <c r="E51" s="600"/>
      <c r="F51" s="440"/>
      <c r="G51" s="601"/>
      <c r="H51" s="600"/>
      <c r="I51" s="440"/>
      <c r="J51" s="601"/>
      <c r="K51" s="600"/>
      <c r="L51" s="440"/>
      <c r="M51" s="601"/>
      <c r="N51" s="600"/>
      <c r="O51" s="440"/>
      <c r="P51" s="601"/>
      <c r="Q51" s="600"/>
      <c r="R51" s="440"/>
      <c r="S51" s="601"/>
      <c r="T51" s="600"/>
      <c r="U51" s="440"/>
      <c r="V51" s="601"/>
      <c r="W51" s="600"/>
      <c r="X51" s="440"/>
      <c r="Y51" s="601"/>
      <c r="Z51" s="600"/>
      <c r="AA51" s="440"/>
      <c r="AB51" s="601"/>
      <c r="AC51" s="600"/>
      <c r="AD51" s="440"/>
      <c r="AE51" s="601"/>
      <c r="AF51" s="422"/>
      <c r="AG51" s="600"/>
      <c r="AH51" s="601"/>
    </row>
    <row r="52" spans="1:35" s="602" customFormat="1" ht="18.75" customHeight="1" x14ac:dyDescent="0.3">
      <c r="A52" s="599" t="s">
        <v>374</v>
      </c>
      <c r="B52" s="440">
        <f>SUM(B11+B35+B40+B45+B46+B50)</f>
        <v>186698</v>
      </c>
      <c r="C52" s="440">
        <f>SUM(C11+C35+C40+C45+C46+C50)</f>
        <v>184677.508</v>
      </c>
      <c r="D52" s="601">
        <f t="shared" si="0"/>
        <v>-1.1000000000000001</v>
      </c>
      <c r="E52" s="440">
        <f>SUM(E11+E35+E40+E45+E46+E50)</f>
        <v>9041.8166699899994</v>
      </c>
      <c r="F52" s="440">
        <f>SUM(F11+F35+F40+F45+F46+F50)</f>
        <v>9686.1368891700004</v>
      </c>
      <c r="G52" s="601">
        <f t="shared" ref="G52:G59" si="33">IF(E52=0, "    ---- ", IF(ABS(ROUND(100/E52*F52-100,1))&lt;999,ROUND(100/E52*F52-100,1),IF(ROUND(100/E52*F52-100,1)&gt;999,999,-999)))</f>
        <v>7.1</v>
      </c>
      <c r="H52" s="440">
        <f>SUM(H11+H35+H40+H45+H46+H50)</f>
        <v>1766.528</v>
      </c>
      <c r="I52" s="440">
        <f>SUM(I11+I35+I40+I45+I46+I50)</f>
        <v>2059.8160000000003</v>
      </c>
      <c r="J52" s="601">
        <f t="shared" ref="J52:J59" si="34">IF(H52=0, "    ---- ", IF(ABS(ROUND(100/H52*I52-100,1))&lt;999,ROUND(100/H52*I52-100,1),IF(ROUND(100/H52*I52-100,1)&gt;999,999,-999)))</f>
        <v>16.600000000000001</v>
      </c>
      <c r="K52" s="440">
        <f>SUM(K11+K35+K40+K45+K46+K50)</f>
        <v>9864</v>
      </c>
      <c r="L52" s="440">
        <f>SUM(L11+L35+L40+L45+L46+L50)</f>
        <v>10849</v>
      </c>
      <c r="M52" s="601">
        <f t="shared" ref="M52:M59" si="35">IF(K52=0, "    ---- ", IF(ABS(ROUND(100/K52*L52-100,1))&lt;999,ROUND(100/K52*L52-100,1),IF(ROUND(100/K52*L52-100,1)&gt;999,999,-999)))</f>
        <v>10</v>
      </c>
      <c r="N52" s="440">
        <f>SUM(N11+N35+N40+N45+N46+N50)</f>
        <v>721666.72583287989</v>
      </c>
      <c r="O52" s="440">
        <f>SUM(O11+O35+O40+O45+O46+O50)</f>
        <v>799888.95229860989</v>
      </c>
      <c r="P52" s="601">
        <f t="shared" ref="P52:P59" si="36">IF(N52=0, "    ---- ", IF(ABS(ROUND(100/N52*O52-100,1))&lt;999,ROUND(100/N52*O52-100,1),IF(ROUND(100/N52*O52-100,1)&gt;999,999,-999)))</f>
        <v>10.8</v>
      </c>
      <c r="Q52" s="600">
        <f>SUM(Q11+Q35+Q40+Q45+Q46+Q50)</f>
        <v>54065.630121523871</v>
      </c>
      <c r="R52" s="440">
        <f>SUM(R11+R35+R40+R45+R46+R50)</f>
        <v>54748.348563233034</v>
      </c>
      <c r="S52" s="601">
        <f t="shared" ref="S52:S59" si="37">IF(Q52=0, "    ---- ", IF(ABS(ROUND(100/Q52*R52-100,1))&lt;999,ROUND(100/Q52*R52-100,1),IF(ROUND(100/Q52*R52-100,1)&gt;999,999,-999)))</f>
        <v>1.3</v>
      </c>
      <c r="T52" s="440">
        <f>SUM(T11+T35+T40+T45+T46+T50)</f>
        <v>121991</v>
      </c>
      <c r="U52" s="440">
        <f>SUM(U11+U35+U40+U45+U46+U50)</f>
        <v>130120</v>
      </c>
      <c r="V52" s="601">
        <f t="shared" ref="V52:V59" si="38">IF(T52=0, "    ---- ", IF(ABS(ROUND(100/T52*U52-100,1))&lt;999,ROUND(100/T52*U52-100,1),IF(ROUND(100/T52*U52-100,1)&gt;999,999,-999)))</f>
        <v>6.7</v>
      </c>
      <c r="W52" s="600">
        <f>SUM(W11+W35+W40+W45+W46+W50)</f>
        <v>23212</v>
      </c>
      <c r="X52" s="440">
        <f>SUM(X11+X35+X40+X45+X46+X50)</f>
        <v>24225</v>
      </c>
      <c r="Y52" s="601">
        <f t="shared" ref="Y52:Y59" si="39">IF(W52=0, "    ---- ", IF(ABS(ROUND(100/W52*X52-100,1))&lt;999,ROUND(100/W52*X52-100,1),IF(ROUND(100/W52*X52-100,1)&gt;999,999,-999)))</f>
        <v>4.4000000000000004</v>
      </c>
      <c r="Z52" s="440">
        <f>SUM(Z11+Z35+Z40+Z45+Z46+Z50)</f>
        <v>207099.45408721999</v>
      </c>
      <c r="AA52" s="440">
        <f>SUM(AA11+AA35+AA40+AA45+AA46+AA50)</f>
        <v>213095.32934097998</v>
      </c>
      <c r="AB52" s="601">
        <f t="shared" ref="AB52:AB59" si="40">IF(Z52=0, "    ---- ", IF(ABS(ROUND(100/Z52*AA52-100,1))&lt;999,ROUND(100/Z52*AA52-100,1),IF(ROUND(100/Z52*AA52-100,1)&gt;999,999,-999)))</f>
        <v>2.9</v>
      </c>
      <c r="AC52" s="440">
        <f>SUM(AC11+AC35+AC40+AC45+AC46+AC50)</f>
        <v>49</v>
      </c>
      <c r="AD52" s="440">
        <f>SUM(AD11+AD35+AD40+AD45+AD46+AD50)</f>
        <v>128</v>
      </c>
      <c r="AE52" s="601">
        <f t="shared" ref="AE52:AE59" si="41">IF(AC52=0, "    ---- ", IF(ABS(ROUND(100/AC52*AD52-100,1))&lt;999,ROUND(100/AC52*AD52-100,1),IF(ROUND(100/AC52*AD52-100,1)&gt;999,999,-999)))</f>
        <v>161.19999999999999</v>
      </c>
      <c r="AF52" s="422">
        <f t="shared" ref="AF52:AF59" si="42">B52+E52+H52+K52+N52+Q52+T52+W52+Z52+AC52</f>
        <v>1335454.1547116137</v>
      </c>
      <c r="AG52" s="600">
        <f t="shared" ref="AG52:AG59" si="43">C52+F52+I52+L52+O52+R52+U52+X52+AA52+AD52</f>
        <v>1429478.0910919928</v>
      </c>
      <c r="AH52" s="601">
        <f t="shared" si="6"/>
        <v>7</v>
      </c>
      <c r="AI52" s="521"/>
    </row>
    <row r="53" spans="1:35" ht="18.75" customHeight="1" x14ac:dyDescent="0.3">
      <c r="A53" s="603" t="s">
        <v>366</v>
      </c>
      <c r="B53" s="439">
        <f>SUM(B12+B36+B41)</f>
        <v>6822</v>
      </c>
      <c r="C53" s="439">
        <f>SUM(C12+C36+C41)</f>
        <v>5877</v>
      </c>
      <c r="D53" s="598">
        <f t="shared" si="0"/>
        <v>-13.9</v>
      </c>
      <c r="E53" s="439">
        <f>SUM(E12+E36+E41)</f>
        <v>786.16240060000007</v>
      </c>
      <c r="F53" s="439">
        <f>SUM(F12+F36+F41)</f>
        <v>835.19165500999998</v>
      </c>
      <c r="G53" s="598">
        <f t="shared" si="33"/>
        <v>6.2</v>
      </c>
      <c r="H53" s="439">
        <f>SUM(H12+H36+H41)</f>
        <v>80.856999999999999</v>
      </c>
      <c r="I53" s="439">
        <f>SUM(I12+I36+I41)</f>
        <v>81.537999999999997</v>
      </c>
      <c r="J53" s="598">
        <f t="shared" si="34"/>
        <v>0.8</v>
      </c>
      <c r="K53" s="439">
        <f>SUM(K12+K36+K41)</f>
        <v>0</v>
      </c>
      <c r="L53" s="439">
        <f>SUM(L12+L36+L41)</f>
        <v>0</v>
      </c>
      <c r="M53" s="598" t="str">
        <f t="shared" si="35"/>
        <v xml:space="preserve">    ---- </v>
      </c>
      <c r="N53" s="439">
        <f>SUM(N12+N36+N41)</f>
        <v>0</v>
      </c>
      <c r="O53" s="439">
        <f>SUM(O12+O36+O41)</f>
        <v>0</v>
      </c>
      <c r="P53" s="598" t="str">
        <f t="shared" si="36"/>
        <v xml:space="preserve">    ---- </v>
      </c>
      <c r="Q53" s="596">
        <f>SUM(Q12+Q36+Q41)</f>
        <v>563.49598737434383</v>
      </c>
      <c r="R53" s="439">
        <f>SUM(R12+R36+R41)</f>
        <v>561.51314221212283</v>
      </c>
      <c r="S53" s="598">
        <f t="shared" si="37"/>
        <v>-0.4</v>
      </c>
      <c r="T53" s="439">
        <f>SUM(T12+T36+T41)</f>
        <v>0</v>
      </c>
      <c r="U53" s="439">
        <f>SUM(U12+U36+U41)</f>
        <v>0</v>
      </c>
      <c r="V53" s="598" t="str">
        <f t="shared" si="38"/>
        <v xml:space="preserve">    ---- </v>
      </c>
      <c r="W53" s="596">
        <f>SUM(W12+W36+W41)</f>
        <v>302</v>
      </c>
      <c r="X53" s="439">
        <f>SUM(X12+X36+X41)</f>
        <v>284</v>
      </c>
      <c r="Y53" s="598">
        <f t="shared" si="39"/>
        <v>-6</v>
      </c>
      <c r="Z53" s="439">
        <f>SUM(Z12+Z36+Z41)</f>
        <v>2745.4966374900005</v>
      </c>
      <c r="AA53" s="439">
        <f>SUM(AA12+AA36+AA41)</f>
        <v>2606.87414584</v>
      </c>
      <c r="AB53" s="598">
        <f t="shared" si="40"/>
        <v>-5</v>
      </c>
      <c r="AC53" s="439">
        <f>SUM(AC12+AC36+AC41)</f>
        <v>3</v>
      </c>
      <c r="AD53" s="439">
        <f>SUM(AD12+AD36+AD41)</f>
        <v>4</v>
      </c>
      <c r="AE53" s="598">
        <f t="shared" si="41"/>
        <v>33.299999999999997</v>
      </c>
      <c r="AF53" s="424">
        <f t="shared" si="42"/>
        <v>11303.012025464344</v>
      </c>
      <c r="AG53" s="596">
        <f t="shared" si="43"/>
        <v>10250.116943062123</v>
      </c>
      <c r="AH53" s="598">
        <f t="shared" si="6"/>
        <v>-9.3000000000000007</v>
      </c>
    </row>
    <row r="54" spans="1:35" ht="18.75" customHeight="1" x14ac:dyDescent="0.3">
      <c r="A54" s="603" t="s">
        <v>369</v>
      </c>
      <c r="B54" s="439">
        <f>SUM(B15+B42+B47+B37)</f>
        <v>20007</v>
      </c>
      <c r="C54" s="439">
        <f>SUM(C15+C42+C47+C37)</f>
        <v>19160</v>
      </c>
      <c r="D54" s="598">
        <f t="shared" si="0"/>
        <v>-4.2</v>
      </c>
      <c r="E54" s="439">
        <f>SUM(E15+E42+E47+E37)</f>
        <v>4683.9157482800001</v>
      </c>
      <c r="F54" s="439">
        <f>SUM(F15+F42+F47+F37)</f>
        <v>5177.0630521899993</v>
      </c>
      <c r="G54" s="598">
        <f t="shared" si="33"/>
        <v>10.5</v>
      </c>
      <c r="H54" s="439">
        <f>SUM(H15+H42+H47+H37)</f>
        <v>1533.327</v>
      </c>
      <c r="I54" s="439">
        <f>SUM(I15+I42+I47+I37)</f>
        <v>1801.229</v>
      </c>
      <c r="J54" s="598">
        <f t="shared" si="34"/>
        <v>17.5</v>
      </c>
      <c r="K54" s="439">
        <f>SUM(K15+K42+K47+K37)</f>
        <v>3834</v>
      </c>
      <c r="L54" s="439">
        <f>SUM(L15+L42+L47+L37)</f>
        <v>4448</v>
      </c>
      <c r="M54" s="598">
        <f t="shared" si="35"/>
        <v>16</v>
      </c>
      <c r="N54" s="439">
        <f>SUM(N15+N42+N47+N37)</f>
        <v>0</v>
      </c>
      <c r="O54" s="439">
        <f>SUM(O15+O42+O47+O37)</f>
        <v>0</v>
      </c>
      <c r="P54" s="598" t="str">
        <f t="shared" si="36"/>
        <v xml:space="preserve">    ---- </v>
      </c>
      <c r="Q54" s="596">
        <f>SUM(Q15+Q42+Q47+Q37)</f>
        <v>3911.7317583656491</v>
      </c>
      <c r="R54" s="439">
        <f>SUM(R15+R42+R47+R37)</f>
        <v>4236.1008280909928</v>
      </c>
      <c r="S54" s="598">
        <f t="shared" si="37"/>
        <v>8.3000000000000007</v>
      </c>
      <c r="T54" s="439">
        <f>SUM(T15+T42+T47+T37)</f>
        <v>0</v>
      </c>
      <c r="U54" s="439">
        <f>SUM(U15+U42+U47+U37)</f>
        <v>0</v>
      </c>
      <c r="V54" s="598" t="str">
        <f t="shared" si="38"/>
        <v xml:space="preserve">    ---- </v>
      </c>
      <c r="W54" s="596">
        <f>SUM(W15+W42+W47+W37)</f>
        <v>2246</v>
      </c>
      <c r="X54" s="439">
        <f>SUM(X15+X42+X47+X37)</f>
        <v>2471</v>
      </c>
      <c r="Y54" s="598">
        <f t="shared" si="39"/>
        <v>10</v>
      </c>
      <c r="Z54" s="439">
        <f>SUM(Z15+Z42+Z47+Z37)</f>
        <v>9041.7230561699962</v>
      </c>
      <c r="AA54" s="439">
        <f>SUM(AA15+AA42+AA47+AA37)</f>
        <v>8977.6431508099995</v>
      </c>
      <c r="AB54" s="598">
        <f t="shared" si="40"/>
        <v>-0.7</v>
      </c>
      <c r="AC54" s="439">
        <f>SUM(AC15+AC42+AC47+AC37)</f>
        <v>2</v>
      </c>
      <c r="AD54" s="439">
        <f>SUM(AD15+AD42+AD47+AD37)</f>
        <v>13</v>
      </c>
      <c r="AE54" s="598">
        <f t="shared" si="41"/>
        <v>550</v>
      </c>
      <c r="AF54" s="424">
        <f t="shared" si="42"/>
        <v>45259.697562815651</v>
      </c>
      <c r="AG54" s="596">
        <f t="shared" si="43"/>
        <v>46284.036031090989</v>
      </c>
      <c r="AH54" s="598">
        <f t="shared" si="6"/>
        <v>2.2999999999999998</v>
      </c>
    </row>
    <row r="55" spans="1:35" ht="18.75" customHeight="1" x14ac:dyDescent="0.3">
      <c r="A55" s="603" t="s">
        <v>370</v>
      </c>
      <c r="B55" s="439">
        <f>SUM(B18)</f>
        <v>297</v>
      </c>
      <c r="C55" s="439">
        <f>SUM(C18)</f>
        <v>317</v>
      </c>
      <c r="D55" s="439">
        <f t="shared" si="0"/>
        <v>6.7</v>
      </c>
      <c r="E55" s="439">
        <f>SUM(E18)</f>
        <v>2762.2638911599997</v>
      </c>
      <c r="F55" s="439">
        <f>SUM(F18)</f>
        <v>2902.0962209200002</v>
      </c>
      <c r="G55" s="439">
        <f t="shared" si="33"/>
        <v>5.0999999999999996</v>
      </c>
      <c r="H55" s="439">
        <f>SUM(H18)</f>
        <v>52.463000000000001</v>
      </c>
      <c r="I55" s="439">
        <f>SUM(I18)</f>
        <v>66.254999999999995</v>
      </c>
      <c r="J55" s="439">
        <f t="shared" si="34"/>
        <v>26.3</v>
      </c>
      <c r="K55" s="439">
        <f>SUM(K18)</f>
        <v>0</v>
      </c>
      <c r="L55" s="439">
        <f>SUM(L18)</f>
        <v>0</v>
      </c>
      <c r="M55" s="439" t="str">
        <f t="shared" si="35"/>
        <v xml:space="preserve">    ---- </v>
      </c>
      <c r="N55" s="439">
        <f>SUM(N18)</f>
        <v>3.38252825</v>
      </c>
      <c r="O55" s="439">
        <f>SUM(O18)</f>
        <v>3.7438119799999998</v>
      </c>
      <c r="P55" s="439">
        <f t="shared" si="36"/>
        <v>10.7</v>
      </c>
      <c r="Q55" s="596"/>
      <c r="R55" s="439"/>
      <c r="S55" s="439"/>
      <c r="T55" s="439">
        <f>SUM(T18)</f>
        <v>0</v>
      </c>
      <c r="U55" s="439">
        <f>SUM(U18)</f>
        <v>0</v>
      </c>
      <c r="V55" s="439" t="str">
        <f t="shared" si="38"/>
        <v xml:space="preserve">    ---- </v>
      </c>
      <c r="W55" s="596">
        <f>SUM(W18)</f>
        <v>30</v>
      </c>
      <c r="X55" s="439">
        <f>SUM(X18)</f>
        <v>26</v>
      </c>
      <c r="Y55" s="439">
        <f t="shared" si="39"/>
        <v>-13.3</v>
      </c>
      <c r="Z55" s="439">
        <f>SUM(Z18)</f>
        <v>1998.4743743899999</v>
      </c>
      <c r="AA55" s="439">
        <f>SUM(AA18)</f>
        <v>2117.0005628200001</v>
      </c>
      <c r="AB55" s="439">
        <f t="shared" si="40"/>
        <v>5.9</v>
      </c>
      <c r="AC55" s="439">
        <f>SUM(AC18)</f>
        <v>1</v>
      </c>
      <c r="AD55" s="439">
        <f>SUM(AD18)</f>
        <v>11</v>
      </c>
      <c r="AE55" s="439">
        <f t="shared" si="41"/>
        <v>999</v>
      </c>
      <c r="AF55" s="424">
        <f t="shared" si="42"/>
        <v>5144.5837938000004</v>
      </c>
      <c r="AG55" s="596">
        <f t="shared" si="43"/>
        <v>5443.0955957200003</v>
      </c>
      <c r="AH55" s="598">
        <f t="shared" si="6"/>
        <v>5.8</v>
      </c>
    </row>
    <row r="56" spans="1:35" ht="18.75" customHeight="1" x14ac:dyDescent="0.3">
      <c r="A56" s="603" t="s">
        <v>454</v>
      </c>
      <c r="B56" s="439">
        <f>SUM(B19+B43+B48+B38)</f>
        <v>155308</v>
      </c>
      <c r="C56" s="439">
        <f>SUM(C19+C43+C48+C38)</f>
        <v>155845</v>
      </c>
      <c r="D56" s="598">
        <f t="shared" si="0"/>
        <v>0.3</v>
      </c>
      <c r="E56" s="439">
        <f>SUM(E19+E43+E48+E38)</f>
        <v>0</v>
      </c>
      <c r="F56" s="439">
        <f>SUM(F19+F43+F48+F38)</f>
        <v>0</v>
      </c>
      <c r="G56" s="598" t="str">
        <f t="shared" si="33"/>
        <v xml:space="preserve">    ---- </v>
      </c>
      <c r="H56" s="439">
        <f>SUM(H19+H43+H48+H38)</f>
        <v>0</v>
      </c>
      <c r="I56" s="439">
        <f>SUM(I19+I43+I48+I38)</f>
        <v>0</v>
      </c>
      <c r="J56" s="598" t="str">
        <f t="shared" si="34"/>
        <v xml:space="preserve">    ---- </v>
      </c>
      <c r="K56" s="439">
        <f>SUM(K19+K43+K48+K38)</f>
        <v>6030</v>
      </c>
      <c r="L56" s="439">
        <f>SUM(L19+L43+L48+L38)</f>
        <v>6401</v>
      </c>
      <c r="M56" s="598">
        <f t="shared" si="35"/>
        <v>6.2</v>
      </c>
      <c r="N56" s="439">
        <f>SUM(N19+N43+N48+N38)</f>
        <v>0</v>
      </c>
      <c r="O56" s="439">
        <f>SUM(O19+O43+O48+O38)</f>
        <v>0</v>
      </c>
      <c r="P56" s="598" t="str">
        <f t="shared" si="36"/>
        <v xml:space="preserve">    ---- </v>
      </c>
      <c r="Q56" s="596">
        <f>SUM(Q19+Q43+Q48+Q38)</f>
        <v>47422.072948280991</v>
      </c>
      <c r="R56" s="439">
        <f>SUM(R19+R43+R48+R38)</f>
        <v>49875.233373827949</v>
      </c>
      <c r="S56" s="598">
        <f t="shared" si="37"/>
        <v>5.2</v>
      </c>
      <c r="T56" s="439">
        <f>SUM(T19+T43+T48+T38)</f>
        <v>0</v>
      </c>
      <c r="U56" s="439">
        <f>SUM(U19+U43+U48+U38)</f>
        <v>0</v>
      </c>
      <c r="V56" s="598" t="str">
        <f t="shared" si="38"/>
        <v xml:space="preserve">    ---- </v>
      </c>
      <c r="W56" s="596">
        <f>SUM(W19+W43+W48+W38)</f>
        <v>17927</v>
      </c>
      <c r="X56" s="439">
        <f>SUM(X19+X43+X48+X38)</f>
        <v>21444</v>
      </c>
      <c r="Y56" s="598">
        <f t="shared" si="39"/>
        <v>19.600000000000001</v>
      </c>
      <c r="Z56" s="439">
        <f>SUM(Z19+Z43+Z48+Z38)</f>
        <v>171324.74635147999</v>
      </c>
      <c r="AA56" s="439">
        <f>SUM(AA19+AA43+AA48+AA38)</f>
        <v>175782.75667069</v>
      </c>
      <c r="AB56" s="598">
        <f t="shared" si="40"/>
        <v>2.6</v>
      </c>
      <c r="AC56" s="439">
        <f>SUM(AC19+AC43+AC48+AC38)</f>
        <v>30</v>
      </c>
      <c r="AD56" s="439">
        <f>SUM(AD19+AD43+AD48+AD38)</f>
        <v>44</v>
      </c>
      <c r="AE56" s="598">
        <f t="shared" si="41"/>
        <v>46.7</v>
      </c>
      <c r="AF56" s="424">
        <f t="shared" si="42"/>
        <v>398041.81929976097</v>
      </c>
      <c r="AG56" s="596">
        <f t="shared" si="43"/>
        <v>409391.99004451791</v>
      </c>
      <c r="AH56" s="598">
        <f t="shared" si="6"/>
        <v>2.9</v>
      </c>
    </row>
    <row r="57" spans="1:35" ht="18.75" customHeight="1" x14ac:dyDescent="0.3">
      <c r="A57" s="603" t="s">
        <v>455</v>
      </c>
      <c r="B57" s="439">
        <f>SUM(B21+B44+B49+B39)</f>
        <v>0</v>
      </c>
      <c r="C57" s="439">
        <f>SUM(C21+C44+C49+C39)</f>
        <v>0</v>
      </c>
      <c r="D57" s="598" t="str">
        <f t="shared" si="0"/>
        <v xml:space="preserve">    ---- </v>
      </c>
      <c r="E57" s="439">
        <f>SUM(E21+E44+E49+E39)</f>
        <v>0</v>
      </c>
      <c r="F57" s="439">
        <f>SUM(F21+F44+F49+F39)</f>
        <v>0</v>
      </c>
      <c r="G57" s="598" t="str">
        <f t="shared" si="33"/>
        <v xml:space="preserve">    ---- </v>
      </c>
      <c r="H57" s="439">
        <f>SUM(H21+H44+H49+H39)</f>
        <v>0</v>
      </c>
      <c r="I57" s="439">
        <f>SUM(I21+I44+I49+I39)</f>
        <v>0</v>
      </c>
      <c r="J57" s="598" t="str">
        <f t="shared" si="34"/>
        <v xml:space="preserve">    ---- </v>
      </c>
      <c r="K57" s="439">
        <f>SUM(K21+K44+K49+K39)</f>
        <v>0</v>
      </c>
      <c r="L57" s="439">
        <f>SUM(L21+L44+L49+L39)</f>
        <v>0</v>
      </c>
      <c r="M57" s="598" t="str">
        <f t="shared" si="35"/>
        <v xml:space="preserve">    ---- </v>
      </c>
      <c r="N57" s="439">
        <f>SUM(N21+N44+N49+N39)</f>
        <v>721663.3433046299</v>
      </c>
      <c r="O57" s="439">
        <f>SUM(O21+O44+O49+O39)</f>
        <v>799885.20848662988</v>
      </c>
      <c r="P57" s="598">
        <f t="shared" si="36"/>
        <v>10.8</v>
      </c>
      <c r="Q57" s="596"/>
      <c r="R57" s="439"/>
      <c r="S57" s="598"/>
      <c r="T57" s="439">
        <f>SUM(T21+T44+T49+T39)</f>
        <v>91627</v>
      </c>
      <c r="U57" s="439">
        <f>SUM(U21+U44+U49+U39)</f>
        <v>130120</v>
      </c>
      <c r="V57" s="598">
        <f t="shared" si="38"/>
        <v>42</v>
      </c>
      <c r="W57" s="596">
        <f>SUM(W21+W44+W49+W39)</f>
        <v>0</v>
      </c>
      <c r="X57" s="439">
        <f>SUM(X21+X44+X49+X39)</f>
        <v>0</v>
      </c>
      <c r="Y57" s="598" t="str">
        <f t="shared" si="39"/>
        <v xml:space="preserve">    ---- </v>
      </c>
      <c r="Z57" s="439">
        <f>SUM(Z21+Z44+Z49+Z39)</f>
        <v>16718.819960440003</v>
      </c>
      <c r="AA57" s="439">
        <f>SUM(AA21+AA44+AA49+AA39)</f>
        <v>23611.054810819998</v>
      </c>
      <c r="AB57" s="598">
        <f t="shared" si="40"/>
        <v>41.2</v>
      </c>
      <c r="AC57" s="439">
        <f>SUM(AC21+AC44+AC49+AC39)</f>
        <v>13</v>
      </c>
      <c r="AD57" s="439">
        <f>SUM(AD21+AD44+AD49+AD39)</f>
        <v>0</v>
      </c>
      <c r="AE57" s="598">
        <f t="shared" si="41"/>
        <v>-100</v>
      </c>
      <c r="AF57" s="424">
        <f t="shared" si="42"/>
        <v>830022.16326506995</v>
      </c>
      <c r="AG57" s="596">
        <f t="shared" si="43"/>
        <v>953616.26329744991</v>
      </c>
      <c r="AH57" s="598">
        <f t="shared" si="6"/>
        <v>14.9</v>
      </c>
    </row>
    <row r="58" spans="1:35" ht="18.75" customHeight="1" x14ac:dyDescent="0.3">
      <c r="A58" s="603" t="s">
        <v>372</v>
      </c>
      <c r="B58" s="439">
        <f>SUM(B22)</f>
        <v>0</v>
      </c>
      <c r="C58" s="439">
        <f>SUM(C22)</f>
        <v>0</v>
      </c>
      <c r="D58" s="439" t="str">
        <f t="shared" si="0"/>
        <v xml:space="preserve">    ---- </v>
      </c>
      <c r="E58" s="439">
        <f>SUM(E22)</f>
        <v>696.50275412999997</v>
      </c>
      <c r="F58" s="439">
        <f>SUM(F22)</f>
        <v>771.78596104999997</v>
      </c>
      <c r="G58" s="439">
        <f t="shared" si="33"/>
        <v>10.8</v>
      </c>
      <c r="H58" s="439">
        <f>SUM(H22)</f>
        <v>99.881</v>
      </c>
      <c r="I58" s="439">
        <f>SUM(I22)</f>
        <v>110.794</v>
      </c>
      <c r="J58" s="439">
        <f t="shared" si="34"/>
        <v>10.9</v>
      </c>
      <c r="K58" s="439">
        <f>SUM(K22)</f>
        <v>0</v>
      </c>
      <c r="L58" s="439">
        <f>SUM(L22)</f>
        <v>0</v>
      </c>
      <c r="M58" s="439" t="str">
        <f t="shared" si="35"/>
        <v xml:space="preserve">    ---- </v>
      </c>
      <c r="N58" s="439">
        <f>SUM(N22)</f>
        <v>0</v>
      </c>
      <c r="O58" s="439">
        <f>SUM(O22)</f>
        <v>0</v>
      </c>
      <c r="P58" s="439" t="str">
        <f t="shared" si="36"/>
        <v xml:space="preserve">    ---- </v>
      </c>
      <c r="Q58" s="596">
        <f>SUM(Q22)</f>
        <v>68.309427502889292</v>
      </c>
      <c r="R58" s="439">
        <f>SUM(R22)</f>
        <v>75.501219101968914</v>
      </c>
      <c r="S58" s="439">
        <f t="shared" si="37"/>
        <v>10.5</v>
      </c>
      <c r="T58" s="439">
        <f>SUM(T22)</f>
        <v>0</v>
      </c>
      <c r="U58" s="439">
        <f>SUM(U22)</f>
        <v>0</v>
      </c>
      <c r="V58" s="439" t="str">
        <f t="shared" si="38"/>
        <v xml:space="preserve">    ---- </v>
      </c>
      <c r="W58" s="596">
        <f>SUM(W22)</f>
        <v>0</v>
      </c>
      <c r="X58" s="439">
        <f>SUM(X22)</f>
        <v>0</v>
      </c>
      <c r="Y58" s="439" t="str">
        <f t="shared" si="39"/>
        <v xml:space="preserve">    ---- </v>
      </c>
      <c r="Z58" s="439">
        <f>SUM(Z22)</f>
        <v>0</v>
      </c>
      <c r="AA58" s="439">
        <f>SUM(AA22)</f>
        <v>0</v>
      </c>
      <c r="AB58" s="439" t="str">
        <f t="shared" si="40"/>
        <v xml:space="preserve">    ---- </v>
      </c>
      <c r="AC58" s="439">
        <f>SUM(AC22)</f>
        <v>0</v>
      </c>
      <c r="AD58" s="439">
        <f>SUM(AD22)</f>
        <v>56</v>
      </c>
      <c r="AE58" s="439" t="str">
        <f t="shared" si="41"/>
        <v xml:space="preserve">    ---- </v>
      </c>
      <c r="AF58" s="424">
        <f t="shared" si="42"/>
        <v>864.69318163288926</v>
      </c>
      <c r="AG58" s="596">
        <f t="shared" si="43"/>
        <v>1014.0811801519689</v>
      </c>
      <c r="AH58" s="598">
        <f t="shared" si="6"/>
        <v>17.3</v>
      </c>
    </row>
    <row r="59" spans="1:35" ht="18.75" customHeight="1" x14ac:dyDescent="0.3">
      <c r="A59" s="605" t="s">
        <v>460</v>
      </c>
      <c r="B59" s="441">
        <f>SUM(B45+B50+B40)</f>
        <v>4264</v>
      </c>
      <c r="C59" s="441">
        <f>SUM(C45+C50)</f>
        <v>3478.5079999999998</v>
      </c>
      <c r="D59" s="441">
        <f t="shared" si="0"/>
        <v>-18.399999999999999</v>
      </c>
      <c r="E59" s="441">
        <f t="shared" ref="E59" si="44">SUM(E45+E50+E40)</f>
        <v>112.97187581999999</v>
      </c>
      <c r="F59" s="441">
        <f t="shared" ref="F59" si="45">SUM(F45+F50)</f>
        <v>0</v>
      </c>
      <c r="G59" s="441">
        <f t="shared" si="33"/>
        <v>-100</v>
      </c>
      <c r="H59" s="441">
        <f t="shared" ref="H59" si="46">SUM(H45+H50+H40)</f>
        <v>0</v>
      </c>
      <c r="I59" s="441">
        <f t="shared" ref="I59" si="47">SUM(I45+I50)</f>
        <v>0</v>
      </c>
      <c r="J59" s="441" t="str">
        <f t="shared" si="34"/>
        <v xml:space="preserve">    ---- </v>
      </c>
      <c r="K59" s="441">
        <f t="shared" ref="K59" si="48">SUM(K45+K50+K40)</f>
        <v>0</v>
      </c>
      <c r="L59" s="441">
        <f t="shared" ref="L59" si="49">SUM(L45+L50)</f>
        <v>0</v>
      </c>
      <c r="M59" s="441" t="str">
        <f t="shared" si="35"/>
        <v xml:space="preserve">    ---- </v>
      </c>
      <c r="N59" s="441">
        <f>SUM(N45+N50)</f>
        <v>0</v>
      </c>
      <c r="O59" s="441">
        <f>SUM(O45+O50)</f>
        <v>0</v>
      </c>
      <c r="P59" s="441" t="str">
        <f t="shared" si="36"/>
        <v xml:space="preserve">    ---- </v>
      </c>
      <c r="Q59" s="606">
        <f t="shared" ref="Q59" si="50">SUM(Q45+Q50+Q40)</f>
        <v>2100.02</v>
      </c>
      <c r="R59" s="441">
        <f t="shared" ref="R59" si="51">SUM(R45+R50)</f>
        <v>0</v>
      </c>
      <c r="S59" s="441">
        <f t="shared" si="37"/>
        <v>-100</v>
      </c>
      <c r="T59" s="441">
        <f t="shared" ref="T59" si="52">SUM(T45+T50+T40)</f>
        <v>30364</v>
      </c>
      <c r="U59" s="441">
        <f t="shared" ref="U59" si="53">SUM(U45+U50)</f>
        <v>0</v>
      </c>
      <c r="V59" s="441">
        <f t="shared" si="38"/>
        <v>-100</v>
      </c>
      <c r="W59" s="606">
        <f t="shared" ref="W59" si="54">SUM(W45+W50+W40)</f>
        <v>2707</v>
      </c>
      <c r="X59" s="441">
        <f t="shared" ref="X59" si="55">SUM(X45+X50)</f>
        <v>0</v>
      </c>
      <c r="Y59" s="441">
        <f t="shared" si="39"/>
        <v>-100</v>
      </c>
      <c r="Z59" s="441">
        <f t="shared" ref="Z59" si="56">SUM(Z45+Z50+Z40)</f>
        <v>5270.1937072500023</v>
      </c>
      <c r="AA59" s="441">
        <f t="shared" ref="AA59" si="57">SUM(AA45+AA50)</f>
        <v>0</v>
      </c>
      <c r="AB59" s="441">
        <f t="shared" si="40"/>
        <v>-100</v>
      </c>
      <c r="AC59" s="441">
        <f t="shared" ref="AC59" si="58">SUM(AC45+AC50+AC40)</f>
        <v>0</v>
      </c>
      <c r="AD59" s="441">
        <f t="shared" ref="AD59" si="59">SUM(AD45+AD50)</f>
        <v>0</v>
      </c>
      <c r="AE59" s="441" t="str">
        <f t="shared" si="41"/>
        <v xml:space="preserve">    ---- </v>
      </c>
      <c r="AF59" s="606">
        <f t="shared" si="42"/>
        <v>44818.185583070001</v>
      </c>
      <c r="AG59" s="606">
        <f t="shared" si="43"/>
        <v>3478.5079999999998</v>
      </c>
      <c r="AH59" s="607">
        <f t="shared" si="6"/>
        <v>-92.2</v>
      </c>
    </row>
    <row r="60" spans="1:35" ht="18.75" customHeight="1" x14ac:dyDescent="0.3">
      <c r="A60" s="385" t="s">
        <v>223</v>
      </c>
      <c r="B60" s="604"/>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row>
    <row r="61" spans="1:35" ht="18.75" customHeight="1" x14ac:dyDescent="0.3">
      <c r="A61" s="385" t="s">
        <v>224</v>
      </c>
      <c r="B61" s="604"/>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row>
    <row r="62" spans="1:35" ht="18.75" customHeight="1" x14ac:dyDescent="0.3">
      <c r="N62" s="385"/>
      <c r="Q62" s="385"/>
      <c r="Z62" s="385"/>
      <c r="AC62" s="385"/>
      <c r="AF62" s="385"/>
    </row>
    <row r="63" spans="1:35" s="569" customFormat="1" ht="18.75" x14ac:dyDescent="0.3"/>
    <row r="64" spans="1:35" s="569" customFormat="1" ht="18.75" x14ac:dyDescent="0.3"/>
    <row r="65" s="569" customFormat="1" ht="18.75" x14ac:dyDescent="0.3"/>
    <row r="66" s="569" customFormat="1" ht="18.75" x14ac:dyDescent="0.3"/>
    <row r="67" s="569" customFormat="1" ht="18.75" x14ac:dyDescent="0.3"/>
    <row r="68" s="569" customFormat="1" ht="18.75" x14ac:dyDescent="0.3"/>
    <row r="69" s="569" customFormat="1" ht="18.75" x14ac:dyDescent="0.3"/>
    <row r="70" s="569" customFormat="1" ht="18.75" x14ac:dyDescent="0.3"/>
    <row r="71" s="569" customFormat="1" ht="18.75" x14ac:dyDescent="0.3"/>
    <row r="72" s="569" customFormat="1" ht="18.75" x14ac:dyDescent="0.3"/>
    <row r="73" s="569" customFormat="1" ht="18.75" x14ac:dyDescent="0.3"/>
    <row r="74" s="569" customFormat="1" ht="18.75" x14ac:dyDescent="0.3"/>
    <row r="75" s="569" customFormat="1" ht="18.75" x14ac:dyDescent="0.3"/>
    <row r="76" s="569" customFormat="1" ht="18.75" x14ac:dyDescent="0.3"/>
    <row r="77" s="569" customFormat="1" ht="18.75" x14ac:dyDescent="0.3"/>
    <row r="78" s="569" customFormat="1" ht="18.75" x14ac:dyDescent="0.3"/>
    <row r="79" s="569" customFormat="1" ht="18.75" x14ac:dyDescent="0.3"/>
    <row r="80" s="569" customFormat="1" ht="18.75" x14ac:dyDescent="0.3"/>
    <row r="81" s="569" customFormat="1" ht="18.75" x14ac:dyDescent="0.3"/>
    <row r="82" s="569" customFormat="1" ht="18.75" x14ac:dyDescent="0.3"/>
    <row r="83" s="569" customFormat="1" ht="18.75" x14ac:dyDescent="0.3"/>
    <row r="84" s="569" customFormat="1" ht="18.75" x14ac:dyDescent="0.3"/>
    <row r="85" s="569" customFormat="1" ht="18.75" x14ac:dyDescent="0.3"/>
    <row r="86" s="569" customFormat="1" ht="18.75" x14ac:dyDescent="0.3"/>
  </sheetData>
  <mergeCells count="30">
    <mergeCell ref="AC6:AE6"/>
    <mergeCell ref="AF6:AH6"/>
    <mergeCell ref="AK6:AM6"/>
    <mergeCell ref="AN6:AP6"/>
    <mergeCell ref="AQ6:AS6"/>
    <mergeCell ref="AT6:AV6"/>
    <mergeCell ref="AW6:AY6"/>
    <mergeCell ref="AW5:AY5"/>
    <mergeCell ref="B6:D6"/>
    <mergeCell ref="E6:G6"/>
    <mergeCell ref="H6:J6"/>
    <mergeCell ref="K6:M6"/>
    <mergeCell ref="N6:P6"/>
    <mergeCell ref="Q6:S6"/>
    <mergeCell ref="T6:V6"/>
    <mergeCell ref="W6:Y6"/>
    <mergeCell ref="Z6:AB6"/>
    <mergeCell ref="Z5:AB5"/>
    <mergeCell ref="AF5:AH5"/>
    <mergeCell ref="AK5:AM5"/>
    <mergeCell ref="AN5:AP5"/>
    <mergeCell ref="AQ5:AS5"/>
    <mergeCell ref="AT5:AV5"/>
    <mergeCell ref="B5:D5"/>
    <mergeCell ref="E5:G5"/>
    <mergeCell ref="H5:J5"/>
    <mergeCell ref="K5:M5"/>
    <mergeCell ref="T5:V5"/>
    <mergeCell ref="W5:Y5"/>
    <mergeCell ref="AC5:AE5"/>
  </mergeCells>
  <conditionalFormatting sqref="B11:C11">
    <cfRule type="expression" dxfId="67" priority="23">
      <formula>#REF!="11≠12+15+18+19+21+22"</formula>
    </cfRule>
  </conditionalFormatting>
  <conditionalFormatting sqref="B23:C23">
    <cfRule type="expression" dxfId="66" priority="24">
      <formula>#REF!="23≠24+27+30+31+33+34"</formula>
    </cfRule>
  </conditionalFormatting>
  <conditionalFormatting sqref="B35:C35">
    <cfRule type="expression" dxfId="65" priority="25">
      <formula>#REF!="35≠36+37+38+39"</formula>
    </cfRule>
  </conditionalFormatting>
  <conditionalFormatting sqref="B46:C46 E46:F46 H46:I46 K46:L46 N46:O46 Q46:R46 T46:U46 W46:X46 Z46:AA46 AC46:AD46">
    <cfRule type="expression" dxfId="64" priority="489">
      <formula>#REF!="48≠49+50+51"</formula>
    </cfRule>
  </conditionalFormatting>
  <conditionalFormatting sqref="B52:C52 E52:F52 H52:I52 K52:L52 N52:O52 Q52:R52 T52:U52 W52:X52 Z52:AA52 AC52:AD52">
    <cfRule type="expression" dxfId="63" priority="463">
      <formula>#REF!="54≠55+56+57+58+59+60+61"</formula>
    </cfRule>
  </conditionalFormatting>
  <conditionalFormatting sqref="E11:F11">
    <cfRule type="expression" dxfId="62" priority="17">
      <formula>#REF!="11≠12+15+18+19+21+22"</formula>
    </cfRule>
  </conditionalFormatting>
  <conditionalFormatting sqref="E23:F23">
    <cfRule type="expression" dxfId="61" priority="18">
      <formula>#REF!="23≠24+27+30+31+33+34"</formula>
    </cfRule>
  </conditionalFormatting>
  <conditionalFormatting sqref="E35:F35">
    <cfRule type="expression" dxfId="60" priority="16">
      <formula>#REF!="35≠36+37+38+39"</formula>
    </cfRule>
  </conditionalFormatting>
  <conditionalFormatting sqref="H11:I11">
    <cfRule type="expression" dxfId="59" priority="31">
      <formula>#REF!="11≠12+15+18+19+21+22"</formula>
    </cfRule>
  </conditionalFormatting>
  <conditionalFormatting sqref="H23:I23">
    <cfRule type="expression" dxfId="58" priority="32">
      <formula>#REF!="23≠24+27+30+31+33+34"</formula>
    </cfRule>
  </conditionalFormatting>
  <conditionalFormatting sqref="H35:I35">
    <cfRule type="expression" dxfId="57" priority="30">
      <formula>#REF!="35≠36+37+38+39"</formula>
    </cfRule>
  </conditionalFormatting>
  <conditionalFormatting sqref="K11:L11">
    <cfRule type="expression" dxfId="56" priority="60">
      <formula>#REF!="11≠12+15+18+19+21+22"</formula>
    </cfRule>
  </conditionalFormatting>
  <conditionalFormatting sqref="K23:L23">
    <cfRule type="expression" dxfId="55" priority="61">
      <formula>#REF!="23≠24+27+30+31+33+34"</formula>
    </cfRule>
  </conditionalFormatting>
  <conditionalFormatting sqref="K35:L35">
    <cfRule type="expression" dxfId="54" priority="62">
      <formula>#REF!="35≠36+37+38+39"</formula>
    </cfRule>
  </conditionalFormatting>
  <conditionalFormatting sqref="N11:O11">
    <cfRule type="expression" dxfId="53" priority="9">
      <formula>#REF!="11≠12+15+18+19+21+22"</formula>
    </cfRule>
  </conditionalFormatting>
  <conditionalFormatting sqref="N23:O23">
    <cfRule type="expression" dxfId="52" priority="10">
      <formula>#REF!="23≠24+27+30+31+33+34"</formula>
    </cfRule>
  </conditionalFormatting>
  <conditionalFormatting sqref="N35:O35">
    <cfRule type="expression" dxfId="51" priority="11">
      <formula>#REF!="35≠36+37+38+39"</formula>
    </cfRule>
  </conditionalFormatting>
  <conditionalFormatting sqref="Q35">
    <cfRule type="expression" dxfId="50" priority="69">
      <formula>#REF!="35≠36+37+38+39"</formula>
    </cfRule>
  </conditionalFormatting>
  <conditionalFormatting sqref="Q11:R11">
    <cfRule type="expression" dxfId="49" priority="67">
      <formula>#REF!="11≠12+15+18+19+21+22"</formula>
    </cfRule>
  </conditionalFormatting>
  <conditionalFormatting sqref="Q23:R23">
    <cfRule type="expression" dxfId="48" priority="68">
      <formula>#REF!="23≠24+27+30+31+33+34"</formula>
    </cfRule>
  </conditionalFormatting>
  <conditionalFormatting sqref="T35">
    <cfRule type="expression" dxfId="47" priority="3">
      <formula>#REF!="35≠36+37+38+39"</formula>
    </cfRule>
  </conditionalFormatting>
  <conditionalFormatting sqref="T11:U11">
    <cfRule type="expression" dxfId="46" priority="1">
      <formula>#REF!="11≠12+15+18+19+21+22"</formula>
    </cfRule>
  </conditionalFormatting>
  <conditionalFormatting sqref="T23:U23">
    <cfRule type="expression" dxfId="45" priority="2">
      <formula>#REF!="23≠24+27+30+31+33+34"</formula>
    </cfRule>
  </conditionalFormatting>
  <conditionalFormatting sqref="W35">
    <cfRule type="expression" dxfId="44" priority="52">
      <formula>#REF!="35≠36+37+38+39"</formula>
    </cfRule>
  </conditionalFormatting>
  <conditionalFormatting sqref="W11:X11">
    <cfRule type="expression" dxfId="43" priority="53">
      <formula>#REF!="11≠12+15+18+19+21+22"</formula>
    </cfRule>
  </conditionalFormatting>
  <conditionalFormatting sqref="W23:X23">
    <cfRule type="expression" dxfId="42" priority="54">
      <formula>#REF!="23≠24+27+30+31+33+34"</formula>
    </cfRule>
  </conditionalFormatting>
  <conditionalFormatting sqref="Z11:AA11">
    <cfRule type="expression" dxfId="41" priority="37">
      <formula>#REF!="11≠12+15+18+19+21+22"</formula>
    </cfRule>
  </conditionalFormatting>
  <conditionalFormatting sqref="Z23:AA23">
    <cfRule type="expression" dxfId="40" priority="38">
      <formula>#REF!="23≠24+27+30+31+33+34"</formula>
    </cfRule>
  </conditionalFormatting>
  <conditionalFormatting sqref="Z35:AA35">
    <cfRule type="expression" dxfId="39" priority="39">
      <formula>#REF!="35≠36+37+38+39"</formula>
    </cfRule>
  </conditionalFormatting>
  <conditionalFormatting sqref="AC11:AD11">
    <cfRule type="expression" dxfId="38" priority="44">
      <formula>#REF!="11≠12+15+18+19+21+22"</formula>
    </cfRule>
  </conditionalFormatting>
  <conditionalFormatting sqref="AC23:AD23">
    <cfRule type="expression" dxfId="37" priority="45">
      <formula>#REF!="23≠24+27+30+31+33+34"</formula>
    </cfRule>
  </conditionalFormatting>
  <conditionalFormatting sqref="AC35:AD35">
    <cfRule type="expression" dxfId="36" priority="46">
      <formula>#REF!="35≠36+37+38+39"</formula>
    </cfRule>
  </conditionalFormatting>
  <conditionalFormatting sqref="AD36:AD39 AA36:AA40 B40:C40 E40:F40 H40:I40 K40:L40 N40:O40 Q40:R40 U40 W40:X40 AC40:AD40 N44">
    <cfRule type="expression" dxfId="35" priority="488">
      <formula>#REF!="35≠36+37+38+39"</formula>
    </cfRule>
  </conditionalFormatting>
  <conditionalFormatting sqref="AF11:AG59">
    <cfRule type="expression" dxfId="34" priority="457">
      <formula>#REF!="11≠12+15+18+19+21+22"</formula>
    </cfRule>
  </conditionalFormatting>
  <pageMargins left="0.78740157480314965" right="0.78740157480314965" top="1.5748031496062993" bottom="0.98425196850393704" header="0.51181102362204722" footer="0.51181102362204722"/>
  <pageSetup paperSize="9" scale="45" fitToWidth="4" orientation="portrait" r:id="rId1"/>
  <headerFooter alignWithMargins="0"/>
  <colBreaks count="2" manualBreakCount="2">
    <brk id="10" min="1" max="63" man="1"/>
    <brk id="31" min="1" max="63"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D191-E730-4837-832D-66D205206DB2}">
  <sheetPr codeName="Ark41"/>
  <dimension ref="A1:Z68"/>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2.5703125" defaultRowHeight="15.75" x14ac:dyDescent="0.25"/>
  <cols>
    <col min="1" max="1" width="77.7109375" style="546" customWidth="1"/>
    <col min="2" max="22" width="11.7109375" style="546" customWidth="1"/>
    <col min="23" max="23" width="13" style="546" customWidth="1"/>
    <col min="24" max="24" width="13.140625" style="546" customWidth="1"/>
    <col min="25" max="27" width="11.7109375" style="546" customWidth="1"/>
    <col min="28" max="28" width="7.7109375" style="546" customWidth="1"/>
    <col min="29" max="30" width="11.7109375" style="546" customWidth="1"/>
    <col min="31" max="31" width="7.7109375" style="546" customWidth="1"/>
    <col min="32" max="16384" width="12.5703125" style="546"/>
  </cols>
  <sheetData>
    <row r="1" spans="1:26" ht="20.25" customHeight="1" x14ac:dyDescent="0.3">
      <c r="A1" s="391" t="s">
        <v>153</v>
      </c>
    </row>
    <row r="2" spans="1:26" ht="20.100000000000001" customHeight="1" x14ac:dyDescent="0.3">
      <c r="A2" s="547" t="s">
        <v>375</v>
      </c>
      <c r="C2" s="508"/>
      <c r="D2" s="509"/>
    </row>
    <row r="3" spans="1:26" ht="20.100000000000001" customHeight="1" x14ac:dyDescent="0.3">
      <c r="A3" s="521" t="s">
        <v>458</v>
      </c>
    </row>
    <row r="4" spans="1:26" ht="18.75" customHeight="1" x14ac:dyDescent="0.25">
      <c r="A4" s="571" t="s">
        <v>320</v>
      </c>
      <c r="B4" s="552"/>
      <c r="C4" s="552"/>
      <c r="D4" s="552"/>
      <c r="E4" s="552"/>
      <c r="F4" s="552"/>
      <c r="G4" s="553"/>
      <c r="H4" s="552"/>
      <c r="I4" s="552"/>
      <c r="J4" s="553"/>
      <c r="K4" s="551"/>
      <c r="L4" s="552"/>
      <c r="M4" s="553"/>
      <c r="N4" s="551"/>
      <c r="O4" s="552"/>
      <c r="P4" s="553"/>
      <c r="Q4" s="551"/>
      <c r="R4" s="552"/>
      <c r="S4" s="553"/>
      <c r="T4" s="551"/>
      <c r="U4" s="552"/>
      <c r="V4" s="553"/>
      <c r="W4" s="551"/>
      <c r="X4" s="552"/>
      <c r="Y4" s="553"/>
    </row>
    <row r="5" spans="1:26" ht="18.75" customHeight="1" x14ac:dyDescent="0.3">
      <c r="A5" s="554" t="s">
        <v>376</v>
      </c>
      <c r="B5" s="802" t="s">
        <v>156</v>
      </c>
      <c r="C5" s="803"/>
      <c r="D5" s="804"/>
      <c r="E5" s="813" t="s">
        <v>158</v>
      </c>
      <c r="F5" s="814"/>
      <c r="G5" s="815"/>
      <c r="H5" s="700"/>
      <c r="I5" s="700"/>
      <c r="J5" s="701"/>
      <c r="K5" s="813" t="s">
        <v>159</v>
      </c>
      <c r="L5" s="814"/>
      <c r="M5" s="815"/>
      <c r="N5" s="802" t="s">
        <v>65</v>
      </c>
      <c r="O5" s="803"/>
      <c r="P5" s="804"/>
      <c r="Q5" s="813" t="s">
        <v>68</v>
      </c>
      <c r="R5" s="814"/>
      <c r="S5" s="815"/>
      <c r="T5" s="813" t="s">
        <v>361</v>
      </c>
      <c r="U5" s="814"/>
      <c r="V5" s="815"/>
      <c r="W5" s="813" t="s">
        <v>256</v>
      </c>
      <c r="X5" s="814"/>
      <c r="Y5" s="815"/>
    </row>
    <row r="6" spans="1:26" ht="18.75" customHeight="1" x14ac:dyDescent="0.3">
      <c r="A6" s="555" t="s">
        <v>362</v>
      </c>
      <c r="B6" s="805" t="s">
        <v>162</v>
      </c>
      <c r="C6" s="806"/>
      <c r="D6" s="807"/>
      <c r="E6" s="808" t="s">
        <v>163</v>
      </c>
      <c r="F6" s="809"/>
      <c r="G6" s="810"/>
      <c r="H6" s="698"/>
      <c r="I6" s="698" t="s">
        <v>61</v>
      </c>
      <c r="J6" s="699"/>
      <c r="K6" s="808" t="s">
        <v>63</v>
      </c>
      <c r="L6" s="809"/>
      <c r="M6" s="810"/>
      <c r="N6" s="805" t="s">
        <v>430</v>
      </c>
      <c r="O6" s="806"/>
      <c r="P6" s="807"/>
      <c r="Q6" s="808" t="s">
        <v>162</v>
      </c>
      <c r="R6" s="809"/>
      <c r="S6" s="810"/>
      <c r="T6" s="808" t="s">
        <v>377</v>
      </c>
      <c r="U6" s="809"/>
      <c r="V6" s="810"/>
      <c r="W6" s="808" t="s">
        <v>378</v>
      </c>
      <c r="X6" s="809"/>
      <c r="Y6" s="810"/>
    </row>
    <row r="7" spans="1:26" ht="18.75" customHeight="1" x14ac:dyDescent="0.3">
      <c r="A7" s="555"/>
      <c r="B7" s="402"/>
      <c r="C7" s="402"/>
      <c r="D7" s="403" t="s">
        <v>76</v>
      </c>
      <c r="E7" s="402"/>
      <c r="F7" s="402"/>
      <c r="G7" s="403" t="s">
        <v>76</v>
      </c>
      <c r="H7" s="402"/>
      <c r="I7" s="402"/>
      <c r="J7" s="403" t="s">
        <v>76</v>
      </c>
      <c r="K7" s="402"/>
      <c r="L7" s="402"/>
      <c r="M7" s="403" t="s">
        <v>76</v>
      </c>
      <c r="N7" s="402"/>
      <c r="O7" s="402"/>
      <c r="P7" s="403" t="s">
        <v>76</v>
      </c>
      <c r="Q7" s="402"/>
      <c r="R7" s="402"/>
      <c r="S7" s="403" t="s">
        <v>76</v>
      </c>
      <c r="T7" s="402"/>
      <c r="U7" s="402"/>
      <c r="V7" s="403" t="s">
        <v>76</v>
      </c>
      <c r="W7" s="402"/>
      <c r="X7" s="402"/>
      <c r="Y7" s="403" t="s">
        <v>76</v>
      </c>
    </row>
    <row r="8" spans="1:26" ht="18.75" customHeight="1" x14ac:dyDescent="0.25">
      <c r="A8" s="556" t="s">
        <v>259</v>
      </c>
      <c r="B8" s="405">
        <v>2023</v>
      </c>
      <c r="C8" s="405">
        <v>2024</v>
      </c>
      <c r="D8" s="406" t="s">
        <v>78</v>
      </c>
      <c r="E8" s="405">
        <v>2023</v>
      </c>
      <c r="F8" s="405">
        <v>2024</v>
      </c>
      <c r="G8" s="406" t="s">
        <v>78</v>
      </c>
      <c r="H8" s="405">
        <v>2023</v>
      </c>
      <c r="I8" s="405">
        <v>2024</v>
      </c>
      <c r="J8" s="406" t="s">
        <v>78</v>
      </c>
      <c r="K8" s="405">
        <v>2023</v>
      </c>
      <c r="L8" s="405">
        <v>2024</v>
      </c>
      <c r="M8" s="406" t="s">
        <v>78</v>
      </c>
      <c r="N8" s="405">
        <v>2023</v>
      </c>
      <c r="O8" s="405">
        <v>2024</v>
      </c>
      <c r="P8" s="406" t="s">
        <v>78</v>
      </c>
      <c r="Q8" s="405">
        <v>2023</v>
      </c>
      <c r="R8" s="405">
        <v>2024</v>
      </c>
      <c r="S8" s="406" t="s">
        <v>78</v>
      </c>
      <c r="T8" s="405">
        <v>2023</v>
      </c>
      <c r="U8" s="405">
        <v>2024</v>
      </c>
      <c r="V8" s="406" t="s">
        <v>78</v>
      </c>
      <c r="W8" s="405">
        <v>2023</v>
      </c>
      <c r="X8" s="405">
        <v>2024</v>
      </c>
      <c r="Y8" s="406" t="s">
        <v>78</v>
      </c>
    </row>
    <row r="9" spans="1:26" ht="18.75" customHeight="1" x14ac:dyDescent="0.3">
      <c r="A9" s="608"/>
      <c r="B9" s="609"/>
      <c r="C9" s="442"/>
      <c r="D9" s="442"/>
      <c r="E9" s="609"/>
      <c r="F9" s="442"/>
      <c r="G9" s="442"/>
      <c r="H9" s="609"/>
      <c r="I9" s="442"/>
      <c r="J9" s="442"/>
      <c r="K9" s="430"/>
      <c r="L9" s="442"/>
      <c r="M9" s="610"/>
      <c r="N9" s="696"/>
      <c r="O9" s="442"/>
      <c r="P9" s="610"/>
      <c r="Q9" s="609"/>
      <c r="R9" s="442"/>
      <c r="S9" s="610"/>
      <c r="T9" s="430"/>
      <c r="U9" s="430"/>
      <c r="V9" s="442"/>
      <c r="W9" s="431"/>
      <c r="X9" s="431"/>
      <c r="Y9" s="442"/>
    </row>
    <row r="10" spans="1:26" s="548" customFormat="1" ht="18.75" customHeight="1" x14ac:dyDescent="0.3">
      <c r="A10" s="447" t="s">
        <v>379</v>
      </c>
      <c r="B10" s="611"/>
      <c r="C10" s="443"/>
      <c r="D10" s="443"/>
      <c r="E10" s="611"/>
      <c r="F10" s="443"/>
      <c r="G10" s="443"/>
      <c r="H10" s="611"/>
      <c r="I10" s="443"/>
      <c r="J10" s="443"/>
      <c r="K10" s="432"/>
      <c r="L10" s="443"/>
      <c r="M10" s="612"/>
      <c r="N10" s="697"/>
      <c r="O10" s="443"/>
      <c r="P10" s="612"/>
      <c r="Q10" s="611"/>
      <c r="R10" s="443"/>
      <c r="S10" s="612"/>
      <c r="T10" s="432"/>
      <c r="U10" s="432"/>
      <c r="V10" s="443"/>
      <c r="W10" s="433"/>
      <c r="X10" s="433"/>
      <c r="Y10" s="443"/>
    </row>
    <row r="11" spans="1:26" s="548" customFormat="1" ht="18.75" customHeight="1" x14ac:dyDescent="0.3">
      <c r="A11" s="599" t="s">
        <v>484</v>
      </c>
      <c r="B11" s="611">
        <f>SUM(B12:B15)</f>
        <v>166445.753</v>
      </c>
      <c r="C11" s="443">
        <f>SUM(C12:C15)</f>
        <v>202011.68199184001</v>
      </c>
      <c r="D11" s="443">
        <f>IF(B11=0, "    ---- ", IF(ABS(ROUND(100/B11*C11-100,1))&lt;999,ROUND(100/B11*C11-100,1),IF(ROUND(100/B11*C11-100,1)&gt;999,999,-999)))</f>
        <v>21.4</v>
      </c>
      <c r="E11" s="611">
        <f>SUM(E12:E15)</f>
        <v>59760</v>
      </c>
      <c r="F11" s="443">
        <f>SUM(F12:F15)</f>
        <v>76785</v>
      </c>
      <c r="G11" s="443">
        <f>IF(E11=0, "    ---- ", IF(ABS(ROUND(100/E11*F11-100,1))&lt;999,ROUND(100/E11*F11-100,1),IF(ROUND(100/E11*F11-100,1)&gt;999,999,-999)))</f>
        <v>28.5</v>
      </c>
      <c r="H11" s="611">
        <f>SUM(H12:H15)</f>
        <v>2173.3966015400001</v>
      </c>
      <c r="I11" s="443">
        <f>SUM(I12:I15)</f>
        <v>2290.2169535399998</v>
      </c>
      <c r="J11" s="443">
        <f>IF(H11=0, "    ---- ", IF(ABS(ROUND(100/H11*I11-100,1))&lt;999,ROUND(100/H11*I11-100,1),IF(ROUND(100/H11*I11-100,1)&gt;999,999,-999)))</f>
        <v>5.4</v>
      </c>
      <c r="K11" s="611">
        <f>SUM(K12:K15)</f>
        <v>147002.42574696499</v>
      </c>
      <c r="L11" s="443">
        <f>SUM(L12:L15)</f>
        <v>184044.03943382</v>
      </c>
      <c r="M11" s="613">
        <f>IF(K11=0, "    ---- ", IF(ABS(ROUND(100/K11*L11-100,1))&lt;999,ROUND(100/K11*L11-100,1),IF(ROUND(100/K11*L11-100,1)&gt;999,999,-999)))</f>
        <v>25.2</v>
      </c>
      <c r="N11" s="611">
        <f>SUM(N12:N15)</f>
        <v>67612</v>
      </c>
      <c r="O11" s="443">
        <f>SUM(O12:O15)</f>
        <v>82849</v>
      </c>
      <c r="P11" s="613">
        <f>IF(N11=0, "    ---- ", IF(ABS(ROUND(100/N11*O11-100,1))&lt;999,ROUND(100/N11*O11-100,1),IF(ROUND(100/N11*O11-100,1)&gt;999,999,-999)))</f>
        <v>22.5</v>
      </c>
      <c r="Q11" s="611">
        <f>SUM(Q12:Q15)</f>
        <v>209344.69842835001</v>
      </c>
      <c r="R11" s="443">
        <f>SUM(R12:R15)</f>
        <v>248216.02440141997</v>
      </c>
      <c r="S11" s="613">
        <f t="shared" ref="S11:S39" si="0">IF(Q11=0, "    ---- ", IF(ABS(ROUND(100/Q11*R11-100,1))&lt;999,ROUND(100/Q11*R11-100,1),IF(ROUND(100/Q11*R11-100,1)&gt;999,999,-999)))</f>
        <v>18.600000000000001</v>
      </c>
      <c r="T11" s="611">
        <f>+B11+E11+H11+K11+N11+Q11</f>
        <v>652338.27377685497</v>
      </c>
      <c r="U11" s="611">
        <f>+C11+F11+I11+L11+O11+R11</f>
        <v>796195.96278061997</v>
      </c>
      <c r="V11" s="443">
        <f>IF(T11=0, "    ---- ", IF(ABS(ROUND(100/T11*U11-100,1))&lt;999,ROUND(100/T11*U11-100,1),IF(ROUND(100/T11*U11-100,1)&gt;999,999,-999)))</f>
        <v>22.1</v>
      </c>
      <c r="W11" s="614"/>
      <c r="X11" s="614"/>
      <c r="Y11" s="614"/>
      <c r="Z11" s="521"/>
    </row>
    <row r="12" spans="1:26" s="545" customFormat="1" ht="18.75" customHeight="1" x14ac:dyDescent="0.3">
      <c r="A12" s="603" t="s">
        <v>366</v>
      </c>
      <c r="B12" s="609">
        <v>7966.7529999999997</v>
      </c>
      <c r="C12" s="442">
        <v>9237.3923010410399</v>
      </c>
      <c r="D12" s="442">
        <f>IF(B12=0, "    ---- ", IF(ABS(ROUND(100/B12*C12-100,1))&lt;999,ROUND(100/B12*C12-100,1),IF(ROUND(100/B12*C12-100,1)&gt;999,999,-999)))</f>
        <v>15.9</v>
      </c>
      <c r="E12" s="609">
        <v>2338</v>
      </c>
      <c r="F12" s="442">
        <v>2882</v>
      </c>
      <c r="G12" s="442">
        <f>IF(E12=0, "    ---- ", IF(ABS(ROUND(100/E12*F12-100,1))&lt;999,ROUND(100/E12*F12-100,1),IF(ROUND(100/E12*F12-100,1)&gt;999,999,-999)))</f>
        <v>23.3</v>
      </c>
      <c r="H12" s="609"/>
      <c r="I12" s="442"/>
      <c r="J12" s="442"/>
      <c r="K12" s="609">
        <v>52446.057120648038</v>
      </c>
      <c r="L12" s="442">
        <v>66719.340825974912</v>
      </c>
      <c r="M12" s="615">
        <f>IF(K12=0, "    ---- ", IF(ABS(ROUND(100/K12*L12-100,1))&lt;999,ROUND(100/K12*L12-100,1),IF(ROUND(100/K12*L12-100,1)&gt;999,999,-999)))</f>
        <v>27.2</v>
      </c>
      <c r="N12" s="609">
        <v>5282</v>
      </c>
      <c r="O12" s="442">
        <v>6485</v>
      </c>
      <c r="P12" s="615">
        <f>IF(N12=0, "    ---- ", IF(ABS(ROUND(100/N12*O12-100,1))&lt;999,ROUND(100/N12*O12-100,1),IF(ROUND(100/N12*O12-100,1)&gt;999,999,-999)))</f>
        <v>22.8</v>
      </c>
      <c r="Q12" s="609">
        <v>14474.003704280001</v>
      </c>
      <c r="R12" s="442">
        <v>16436.76665804</v>
      </c>
      <c r="S12" s="615">
        <f t="shared" si="0"/>
        <v>13.6</v>
      </c>
      <c r="T12" s="609">
        <f t="shared" ref="T12:T20" si="1">+B12+E12+H12+K12+N12+Q12</f>
        <v>82506.813824928031</v>
      </c>
      <c r="U12" s="609">
        <f t="shared" ref="U12:U20" si="2">+C12+F12+I12+L12+O12+R12</f>
        <v>101760.49978505594</v>
      </c>
      <c r="V12" s="442">
        <f>IF(T12=0, "    ---- ", IF(ABS(ROUND(100/T12*U12-100,1))&lt;999,ROUND(100/T12*U12-100,1),IF(ROUND(100/T12*U12-100,1)&gt;999,999,-999)))</f>
        <v>23.3</v>
      </c>
      <c r="W12" s="616"/>
      <c r="X12" s="616"/>
      <c r="Y12" s="616"/>
    </row>
    <row r="13" spans="1:26" s="545" customFormat="1" ht="18.75" customHeight="1" x14ac:dyDescent="0.3">
      <c r="A13" s="603" t="s">
        <v>369</v>
      </c>
      <c r="B13" s="609">
        <v>5882</v>
      </c>
      <c r="C13" s="442">
        <v>5016.2896907989598</v>
      </c>
      <c r="D13" s="442">
        <f>IF(B13=0, "    ---- ", IF(ABS(ROUND(100/B13*C13-100,1))&lt;999,ROUND(100/B13*C13-100,1),IF(ROUND(100/B13*C13-100,1)&gt;999,999,-999)))</f>
        <v>-14.7</v>
      </c>
      <c r="E13" s="609">
        <v>2325</v>
      </c>
      <c r="F13" s="442">
        <v>4158</v>
      </c>
      <c r="G13" s="442">
        <f>IF(E13=0, "    ---- ", IF(ABS(ROUND(100/E13*F13-100,1))&lt;999,ROUND(100/E13*F13-100,1),IF(ROUND(100/E13*F13-100,1)&gt;999,999,-999)))</f>
        <v>78.8</v>
      </c>
      <c r="H13" s="609"/>
      <c r="I13" s="442"/>
      <c r="J13" s="442"/>
      <c r="K13" s="609">
        <v>5946.8766512769507</v>
      </c>
      <c r="L13" s="442">
        <v>7001.6680672150851</v>
      </c>
      <c r="M13" s="442">
        <f>IF(K13=0, "    ---- ", IF(ABS(ROUND(100/K13*L13-100,1))&lt;999,ROUND(100/K13*L13-100,1),IF(ROUND(100/K13*L13-100,1)&gt;999,999,-999)))</f>
        <v>17.7</v>
      </c>
      <c r="N13" s="609">
        <v>4434</v>
      </c>
      <c r="O13" s="442">
        <v>5273</v>
      </c>
      <c r="P13" s="442">
        <f>IF(N13=0, "    ---- ", IF(ABS(ROUND(100/N13*O13-100,1))&lt;999,ROUND(100/N13*O13-100,1),IF(ROUND(100/N13*O13-100,1)&gt;999,999,-999)))</f>
        <v>18.899999999999999</v>
      </c>
      <c r="Q13" s="609">
        <v>8868.0575629299965</v>
      </c>
      <c r="R13" s="442">
        <v>9859.7473502199991</v>
      </c>
      <c r="S13" s="442">
        <f t="shared" si="0"/>
        <v>11.2</v>
      </c>
      <c r="T13" s="609">
        <f t="shared" si="1"/>
        <v>27455.934214206947</v>
      </c>
      <c r="U13" s="609">
        <f t="shared" si="2"/>
        <v>31308.705108234048</v>
      </c>
      <c r="V13" s="442">
        <f>IF(T13=0, "    ---- ", IF(ABS(ROUND(100/T13*U13-100,1))&lt;999,ROUND(100/T13*U13-100,1),IF(ROUND(100/T13*U13-100,1)&gt;999,999,-999)))</f>
        <v>14</v>
      </c>
      <c r="W13" s="616"/>
      <c r="X13" s="616"/>
      <c r="Y13" s="616"/>
    </row>
    <row r="14" spans="1:26" s="545" customFormat="1" ht="18.75" customHeight="1" x14ac:dyDescent="0.3">
      <c r="A14" s="603" t="s">
        <v>454</v>
      </c>
      <c r="B14" s="609">
        <v>152597</v>
      </c>
      <c r="C14" s="442">
        <v>187758</v>
      </c>
      <c r="D14" s="442">
        <f>IF(B14=0, "    ---- ", IF(ABS(ROUND(100/B14*C14-100,1))&lt;999,ROUND(100/B14*C14-100,1),IF(ROUND(100/B14*C14-100,1)&gt;999,999,-999)))</f>
        <v>23</v>
      </c>
      <c r="E14" s="609">
        <v>55097</v>
      </c>
      <c r="F14" s="442">
        <v>69745</v>
      </c>
      <c r="G14" s="442">
        <f>IF(E14=0, "    ---- ", IF(ABS(ROUND(100/E14*F14-100,1))&lt;999,ROUND(100/E14*F14-100,1),IF(ROUND(100/E14*F14-100,1)&gt;999,999,-999)))</f>
        <v>26.6</v>
      </c>
      <c r="H14" s="609"/>
      <c r="I14" s="442"/>
      <c r="J14" s="442"/>
      <c r="K14" s="609">
        <v>88609.491975040015</v>
      </c>
      <c r="L14" s="442">
        <v>110323.03054063</v>
      </c>
      <c r="M14" s="442">
        <f>IF(K14=0, "    ---- ", IF(ABS(ROUND(100/K14*L14-100,1))&lt;999,ROUND(100/K14*L14-100,1),IF(ROUND(100/K14*L14-100,1)&gt;999,999,-999)))</f>
        <v>24.5</v>
      </c>
      <c r="N14" s="609">
        <v>57896</v>
      </c>
      <c r="O14" s="442">
        <v>71091</v>
      </c>
      <c r="P14" s="442">
        <f>IF(N14=0, "    ---- ", IF(ABS(ROUND(100/N14*O14-100,1))&lt;999,ROUND(100/N14*O14-100,1),IF(ROUND(100/N14*O14-100,1)&gt;999,999,-999)))</f>
        <v>22.8</v>
      </c>
      <c r="Q14" s="609">
        <v>186002.63716114001</v>
      </c>
      <c r="R14" s="442">
        <v>221919.51039315999</v>
      </c>
      <c r="S14" s="442">
        <f t="shared" si="0"/>
        <v>19.3</v>
      </c>
      <c r="T14" s="609">
        <f t="shared" si="1"/>
        <v>540202.12913618004</v>
      </c>
      <c r="U14" s="609">
        <f t="shared" si="2"/>
        <v>660836.54093378992</v>
      </c>
      <c r="V14" s="442">
        <f t="shared" ref="V14:V40" si="3">IF(T14=0, "    ---- ", IF(ABS(ROUND(100/T14*U14-100,1))&lt;999,ROUND(100/T14*U14-100,1),IF(ROUND(100/T14*U14-100,1)&gt;999,999,-999)))</f>
        <v>22.3</v>
      </c>
      <c r="W14" s="616"/>
      <c r="X14" s="616"/>
      <c r="Y14" s="616"/>
    </row>
    <row r="15" spans="1:26" s="545" customFormat="1" ht="18.75" customHeight="1" x14ac:dyDescent="0.3">
      <c r="A15" s="603" t="s">
        <v>455</v>
      </c>
      <c r="B15" s="609"/>
      <c r="C15" s="442"/>
      <c r="D15" s="442"/>
      <c r="E15" s="609"/>
      <c r="F15" s="442"/>
      <c r="G15" s="442"/>
      <c r="H15" s="609">
        <v>2173.3966015400001</v>
      </c>
      <c r="I15" s="442">
        <v>2290.2169535399998</v>
      </c>
      <c r="J15" s="442">
        <f>IF(H15=0, "    ---- ", IF(ABS(ROUND(100/H15*I15-100,1))&lt;999,ROUND(100/H15*I15-100,1),IF(ROUND(100/H15*I15-100,1)&gt;999,999,-999)))</f>
        <v>5.4</v>
      </c>
      <c r="K15" s="609"/>
      <c r="L15" s="442"/>
      <c r="M15" s="442"/>
      <c r="N15" s="609"/>
      <c r="O15" s="442"/>
      <c r="P15" s="442"/>
      <c r="Q15" s="609"/>
      <c r="R15" s="442"/>
      <c r="S15" s="442" t="str">
        <f t="shared" si="0"/>
        <v xml:space="preserve">    ---- </v>
      </c>
      <c r="T15" s="609">
        <f t="shared" si="1"/>
        <v>2173.3966015400001</v>
      </c>
      <c r="U15" s="609">
        <f t="shared" si="2"/>
        <v>2290.2169535399998</v>
      </c>
      <c r="V15" s="442">
        <f t="shared" si="3"/>
        <v>5.4</v>
      </c>
      <c r="W15" s="616"/>
      <c r="X15" s="616"/>
      <c r="Y15" s="616"/>
    </row>
    <row r="16" spans="1:26" s="548" customFormat="1" ht="18.75" customHeight="1" x14ac:dyDescent="0.3">
      <c r="A16" s="599" t="s">
        <v>482</v>
      </c>
      <c r="B16" s="611"/>
      <c r="C16" s="443"/>
      <c r="D16" s="443"/>
      <c r="E16" s="611">
        <f>SUM(E17:E20)</f>
        <v>59760</v>
      </c>
      <c r="F16" s="443">
        <f>SUM(F17:F20)</f>
        <v>76785</v>
      </c>
      <c r="G16" s="443">
        <f>IF(E16=0, "    ---- ", IF(ABS(ROUND(100/E16*F16-100,1))&lt;999,ROUND(100/E16*F16-100,1),IF(ROUND(100/E16*F16-100,1)&gt;999,999,-999)))</f>
        <v>28.5</v>
      </c>
      <c r="H16" s="611">
        <f>SUM(H17:H20)</f>
        <v>2173.3966015400001</v>
      </c>
      <c r="I16" s="443">
        <f>SUM(I17:I20)</f>
        <v>2290.2169535399998</v>
      </c>
      <c r="J16" s="443">
        <f>IF(H16=0, "    ---- ", IF(ABS(ROUND(100/H16*I16-100,1))&lt;999,ROUND(100/H16*I16-100,1),IF(ROUND(100/H16*I16-100,1)&gt;999,999,-999)))</f>
        <v>5.4</v>
      </c>
      <c r="K16" s="611">
        <f>SUM(K17:K20)</f>
        <v>147002.42574696499</v>
      </c>
      <c r="L16" s="443">
        <f>SUM(L17:L20)</f>
        <v>184044.03943382</v>
      </c>
      <c r="M16" s="443">
        <f>IF(K16=0, "    ---- ", IF(ABS(ROUND(100/K16*L16-100,1))&lt;999,ROUND(100/K16*L16-100,1),IF(ROUND(100/K16*L16-100,1)&gt;999,999,-999)))</f>
        <v>25.2</v>
      </c>
      <c r="N16" s="611">
        <f>SUM(N17:N20)</f>
        <v>64611</v>
      </c>
      <c r="O16" s="443">
        <f>SUM(O17:O20)</f>
        <v>82849</v>
      </c>
      <c r="P16" s="443"/>
      <c r="Q16" s="611">
        <f>SUM(Q17:Q20)</f>
        <v>209344.69842835001</v>
      </c>
      <c r="R16" s="443">
        <f>SUM(R17:R20)</f>
        <v>248216.02440141997</v>
      </c>
      <c r="S16" s="443">
        <f t="shared" si="0"/>
        <v>18.600000000000001</v>
      </c>
      <c r="T16" s="611">
        <f t="shared" si="1"/>
        <v>482891.52077685506</v>
      </c>
      <c r="U16" s="611">
        <f t="shared" si="2"/>
        <v>594184.28078877996</v>
      </c>
      <c r="V16" s="443">
        <f t="shared" si="3"/>
        <v>23</v>
      </c>
      <c r="W16" s="614"/>
      <c r="X16" s="614"/>
      <c r="Y16" s="614"/>
      <c r="Z16" s="521"/>
    </row>
    <row r="17" spans="1:26" s="545" customFormat="1" ht="18.75" customHeight="1" x14ac:dyDescent="0.3">
      <c r="A17" s="603" t="s">
        <v>366</v>
      </c>
      <c r="B17" s="609"/>
      <c r="C17" s="442"/>
      <c r="D17" s="442"/>
      <c r="E17" s="609">
        <v>2338</v>
      </c>
      <c r="F17" s="442">
        <v>2882</v>
      </c>
      <c r="G17" s="442">
        <f>IF(E17=0, "    ---- ", IF(ABS(ROUND(100/E17*F17-100,1))&lt;999,ROUND(100/E17*F17-100,1),IF(ROUND(100/E17*F17-100,1)&gt;999,999,-999)))</f>
        <v>23.3</v>
      </c>
      <c r="H17" s="609"/>
      <c r="I17" s="442"/>
      <c r="J17" s="442"/>
      <c r="K17" s="609">
        <v>52446.057120648038</v>
      </c>
      <c r="L17" s="442">
        <v>66719.340825974912</v>
      </c>
      <c r="M17" s="442">
        <f>IF(K17=0, "    ---- ", IF(ABS(ROUND(100/K17*L17-100,1))&lt;999,ROUND(100/K17*L17-100,1),IF(ROUND(100/K17*L17-100,1)&gt;999,999,-999)))</f>
        <v>27.2</v>
      </c>
      <c r="N17" s="609">
        <v>5282</v>
      </c>
      <c r="O17" s="442">
        <v>6485</v>
      </c>
      <c r="P17" s="442"/>
      <c r="Q17" s="609">
        <v>14474.003704280001</v>
      </c>
      <c r="R17" s="442">
        <v>16436.76665804</v>
      </c>
      <c r="S17" s="442">
        <f t="shared" si="0"/>
        <v>13.6</v>
      </c>
      <c r="T17" s="609">
        <f t="shared" si="1"/>
        <v>74540.060824928034</v>
      </c>
      <c r="U17" s="609">
        <f t="shared" si="2"/>
        <v>92523.107484014909</v>
      </c>
      <c r="V17" s="442">
        <f t="shared" si="3"/>
        <v>24.1</v>
      </c>
      <c r="W17" s="616"/>
      <c r="X17" s="616"/>
      <c r="Y17" s="616"/>
    </row>
    <row r="18" spans="1:26" s="545" customFormat="1" ht="18.75" customHeight="1" x14ac:dyDescent="0.3">
      <c r="A18" s="603" t="s">
        <v>369</v>
      </c>
      <c r="B18" s="609"/>
      <c r="C18" s="442"/>
      <c r="D18" s="442"/>
      <c r="E18" s="609">
        <v>2325</v>
      </c>
      <c r="F18" s="442">
        <v>4158</v>
      </c>
      <c r="G18" s="442">
        <f>IF(E18=0, "    ---- ", IF(ABS(ROUND(100/E18*F18-100,1))&lt;999,ROUND(100/E18*F18-100,1),IF(ROUND(100/E18*F18-100,1)&gt;999,999,-999)))</f>
        <v>78.8</v>
      </c>
      <c r="H18" s="609"/>
      <c r="I18" s="442"/>
      <c r="J18" s="442"/>
      <c r="K18" s="609">
        <v>5946.8766512769507</v>
      </c>
      <c r="L18" s="442">
        <v>7001.6680672150851</v>
      </c>
      <c r="M18" s="442">
        <f>IF(K18=0, "    ---- ", IF(ABS(ROUND(100/K18*L18-100,1))&lt;999,ROUND(100/K18*L18-100,1),IF(ROUND(100/K18*L18-100,1)&gt;999,999,-999)))</f>
        <v>17.7</v>
      </c>
      <c r="N18" s="609">
        <v>4434</v>
      </c>
      <c r="O18" s="442">
        <v>5273</v>
      </c>
      <c r="P18" s="442"/>
      <c r="Q18" s="609">
        <v>8868.0575629299965</v>
      </c>
      <c r="R18" s="442">
        <v>9859.7473502199991</v>
      </c>
      <c r="S18" s="442">
        <f t="shared" si="0"/>
        <v>11.2</v>
      </c>
      <c r="T18" s="609">
        <f t="shared" si="1"/>
        <v>21573.934214206947</v>
      </c>
      <c r="U18" s="609">
        <f t="shared" si="2"/>
        <v>26292.415417435084</v>
      </c>
      <c r="V18" s="442">
        <f t="shared" si="3"/>
        <v>21.9</v>
      </c>
      <c r="W18" s="616"/>
      <c r="X18" s="616"/>
      <c r="Y18" s="616"/>
    </row>
    <row r="19" spans="1:26" s="545" customFormat="1" ht="18.75" customHeight="1" x14ac:dyDescent="0.3">
      <c r="A19" s="603" t="s">
        <v>454</v>
      </c>
      <c r="B19" s="609"/>
      <c r="C19" s="442"/>
      <c r="D19" s="442"/>
      <c r="E19" s="609">
        <v>55097</v>
      </c>
      <c r="F19" s="442">
        <v>69745</v>
      </c>
      <c r="G19" s="442">
        <f>IF(E19=0, "    ---- ", IF(ABS(ROUND(100/E19*F19-100,1))&lt;999,ROUND(100/E19*F19-100,1),IF(ROUND(100/E19*F19-100,1)&gt;999,999,-999)))</f>
        <v>26.6</v>
      </c>
      <c r="H19" s="609"/>
      <c r="I19" s="442"/>
      <c r="J19" s="442"/>
      <c r="K19" s="609">
        <v>88609.491975040015</v>
      </c>
      <c r="L19" s="442">
        <v>110323.03054063</v>
      </c>
      <c r="M19" s="442">
        <f>IF(K19=0, "    ---- ", IF(ABS(ROUND(100/K19*L19-100,1))&lt;999,ROUND(100/K19*L19-100,1),IF(ROUND(100/K19*L19-100,1)&gt;999,999,-999)))</f>
        <v>24.5</v>
      </c>
      <c r="N19" s="609">
        <v>54895</v>
      </c>
      <c r="O19" s="442">
        <v>71091</v>
      </c>
      <c r="P19" s="442"/>
      <c r="Q19" s="609">
        <v>186002.63716114001</v>
      </c>
      <c r="R19" s="442">
        <v>221919.51039315999</v>
      </c>
      <c r="S19" s="442">
        <f t="shared" si="0"/>
        <v>19.3</v>
      </c>
      <c r="T19" s="609">
        <f t="shared" si="1"/>
        <v>384604.12913618004</v>
      </c>
      <c r="U19" s="609">
        <f t="shared" si="2"/>
        <v>473078.54093378998</v>
      </c>
      <c r="V19" s="442">
        <f t="shared" si="3"/>
        <v>23</v>
      </c>
      <c r="W19" s="616"/>
      <c r="X19" s="616"/>
      <c r="Y19" s="616"/>
    </row>
    <row r="20" spans="1:26" s="545" customFormat="1" ht="18.75" customHeight="1" x14ac:dyDescent="0.3">
      <c r="A20" s="603" t="s">
        <v>455</v>
      </c>
      <c r="B20" s="609"/>
      <c r="C20" s="442"/>
      <c r="D20" s="442"/>
      <c r="E20" s="609"/>
      <c r="F20" s="442"/>
      <c r="G20" s="442"/>
      <c r="H20" s="609">
        <v>2173.3966015400001</v>
      </c>
      <c r="I20" s="442">
        <v>2290.2169535399998</v>
      </c>
      <c r="J20" s="442">
        <f>IF(H20=0, "    ---- ", IF(ABS(ROUND(100/H20*I20-100,1))&lt;999,ROUND(100/H20*I20-100,1),IF(ROUND(100/H20*I20-100,1)&gt;999,999,-999)))</f>
        <v>5.4</v>
      </c>
      <c r="K20" s="609"/>
      <c r="L20" s="442"/>
      <c r="M20" s="442"/>
      <c r="N20" s="609"/>
      <c r="O20" s="442"/>
      <c r="P20" s="442"/>
      <c r="Q20" s="609"/>
      <c r="R20" s="442"/>
      <c r="S20" s="442"/>
      <c r="T20" s="609">
        <f t="shared" si="1"/>
        <v>2173.3966015400001</v>
      </c>
      <c r="U20" s="609">
        <f t="shared" si="2"/>
        <v>2290.2169535399998</v>
      </c>
      <c r="V20" s="442">
        <f t="shared" si="3"/>
        <v>5.4</v>
      </c>
      <c r="W20" s="616"/>
      <c r="X20" s="616"/>
      <c r="Y20" s="616"/>
    </row>
    <row r="21" spans="1:26" s="548" customFormat="1" ht="18.75" customHeight="1" x14ac:dyDescent="0.3">
      <c r="A21" s="599" t="s">
        <v>469</v>
      </c>
      <c r="B21" s="611"/>
      <c r="C21" s="443"/>
      <c r="D21" s="443"/>
      <c r="E21" s="611"/>
      <c r="F21" s="443"/>
      <c r="G21" s="443"/>
      <c r="H21" s="611">
        <f>SUM(H22:H25)</f>
        <v>185.05750487</v>
      </c>
      <c r="I21" s="443">
        <f>SUM(I22:I25)</f>
        <v>259.79510754</v>
      </c>
      <c r="J21" s="443">
        <f>IF(H21=0, "    ---- ", IF(ABS(ROUND(100/H21*I21-100,1))&lt;999,ROUND(100/H21*I21-100,1),IF(ROUND(100/H21*I21-100,1)&gt;999,999,-999)))</f>
        <v>40.4</v>
      </c>
      <c r="K21" s="611"/>
      <c r="L21" s="443"/>
      <c r="M21" s="443"/>
      <c r="N21" s="611"/>
      <c r="O21" s="443"/>
      <c r="P21" s="443"/>
      <c r="Q21" s="611"/>
      <c r="R21" s="443"/>
      <c r="S21" s="443"/>
      <c r="T21" s="611"/>
      <c r="U21" s="611"/>
      <c r="V21" s="443"/>
      <c r="W21" s="614"/>
      <c r="X21" s="614"/>
      <c r="Y21" s="614"/>
      <c r="Z21" s="521"/>
    </row>
    <row r="22" spans="1:26" s="545" customFormat="1" ht="18.75" customHeight="1" x14ac:dyDescent="0.3">
      <c r="A22" s="603" t="s">
        <v>366</v>
      </c>
      <c r="B22" s="609"/>
      <c r="C22" s="442"/>
      <c r="D22" s="442"/>
      <c r="E22" s="609"/>
      <c r="F22" s="442"/>
      <c r="G22" s="442"/>
      <c r="H22" s="609"/>
      <c r="I22" s="442"/>
      <c r="J22" s="442"/>
      <c r="K22" s="609"/>
      <c r="L22" s="442"/>
      <c r="M22" s="442"/>
      <c r="N22" s="609"/>
      <c r="O22" s="442"/>
      <c r="P22" s="442"/>
      <c r="Q22" s="609"/>
      <c r="R22" s="442"/>
      <c r="S22" s="442"/>
      <c r="T22" s="609"/>
      <c r="U22" s="609"/>
      <c r="V22" s="442"/>
      <c r="W22" s="616"/>
      <c r="X22" s="616"/>
      <c r="Y22" s="616"/>
    </row>
    <row r="23" spans="1:26" s="545" customFormat="1" ht="18.75" customHeight="1" x14ac:dyDescent="0.3">
      <c r="A23" s="603" t="s">
        <v>369</v>
      </c>
      <c r="B23" s="609"/>
      <c r="C23" s="442"/>
      <c r="D23" s="442"/>
      <c r="E23" s="609"/>
      <c r="F23" s="442"/>
      <c r="G23" s="442"/>
      <c r="H23" s="609"/>
      <c r="I23" s="442"/>
      <c r="J23" s="442"/>
      <c r="K23" s="609"/>
      <c r="L23" s="442"/>
      <c r="M23" s="442"/>
      <c r="N23" s="609"/>
      <c r="O23" s="442"/>
      <c r="P23" s="442"/>
      <c r="Q23" s="609"/>
      <c r="R23" s="442"/>
      <c r="S23" s="442"/>
      <c r="T23" s="609"/>
      <c r="U23" s="609"/>
      <c r="V23" s="442"/>
      <c r="W23" s="616"/>
      <c r="X23" s="616"/>
      <c r="Y23" s="616"/>
    </row>
    <row r="24" spans="1:26" s="545" customFormat="1" ht="18.75" customHeight="1" x14ac:dyDescent="0.3">
      <c r="A24" s="603" t="s">
        <v>454</v>
      </c>
      <c r="B24" s="609"/>
      <c r="C24" s="442"/>
      <c r="D24" s="442"/>
      <c r="E24" s="609"/>
      <c r="F24" s="442"/>
      <c r="G24" s="442"/>
      <c r="H24" s="609"/>
      <c r="I24" s="442"/>
      <c r="J24" s="442"/>
      <c r="K24" s="609"/>
      <c r="L24" s="442"/>
      <c r="M24" s="442"/>
      <c r="N24" s="609"/>
      <c r="O24" s="442"/>
      <c r="P24" s="442"/>
      <c r="Q24" s="609"/>
      <c r="R24" s="442"/>
      <c r="S24" s="442"/>
      <c r="T24" s="609"/>
      <c r="U24" s="609"/>
      <c r="V24" s="442"/>
      <c r="W24" s="616"/>
      <c r="X24" s="616"/>
      <c r="Y24" s="616"/>
    </row>
    <row r="25" spans="1:26" s="545" customFormat="1" ht="18.75" customHeight="1" x14ac:dyDescent="0.3">
      <c r="A25" s="603" t="s">
        <v>455</v>
      </c>
      <c r="B25" s="609"/>
      <c r="C25" s="442"/>
      <c r="D25" s="442"/>
      <c r="E25" s="609"/>
      <c r="F25" s="442"/>
      <c r="G25" s="442"/>
      <c r="H25" s="609">
        <v>185.05750487</v>
      </c>
      <c r="I25" s="442">
        <v>259.79510754</v>
      </c>
      <c r="J25" s="442">
        <f>IF(H25=0, "    ---- ", IF(ABS(ROUND(100/H25*I25-100,1))&lt;999,ROUND(100/H25*I25-100,1),IF(ROUND(100/H25*I25-100,1)&gt;999,999,-999)))</f>
        <v>40.4</v>
      </c>
      <c r="K25" s="609"/>
      <c r="L25" s="442"/>
      <c r="M25" s="442"/>
      <c r="N25" s="609"/>
      <c r="O25" s="442"/>
      <c r="P25" s="442"/>
      <c r="Q25" s="609"/>
      <c r="R25" s="442"/>
      <c r="S25" s="442"/>
      <c r="T25" s="609"/>
      <c r="U25" s="609"/>
      <c r="V25" s="442"/>
      <c r="W25" s="616"/>
      <c r="X25" s="616"/>
      <c r="Y25" s="616"/>
    </row>
    <row r="26" spans="1:26" s="548" customFormat="1" ht="18.75" customHeight="1" x14ac:dyDescent="0.35">
      <c r="A26" s="753" t="s">
        <v>481</v>
      </c>
      <c r="B26" s="611"/>
      <c r="C26" s="443"/>
      <c r="D26" s="443"/>
      <c r="E26" s="611"/>
      <c r="F26" s="443"/>
      <c r="G26" s="443"/>
      <c r="H26" s="611"/>
      <c r="I26" s="611"/>
      <c r="J26" s="443"/>
      <c r="K26" s="611"/>
      <c r="L26" s="443"/>
      <c r="M26" s="443"/>
      <c r="N26" s="611"/>
      <c r="O26" s="443"/>
      <c r="P26" s="443"/>
      <c r="Q26" s="611"/>
      <c r="R26" s="443"/>
      <c r="S26" s="443"/>
      <c r="T26" s="611"/>
      <c r="U26" s="611"/>
      <c r="V26" s="443"/>
      <c r="W26" s="614"/>
      <c r="X26" s="614"/>
      <c r="Y26" s="614"/>
      <c r="Z26" s="521"/>
    </row>
    <row r="27" spans="1:26" s="545" customFormat="1" ht="18.75" customHeight="1" x14ac:dyDescent="0.3">
      <c r="A27" s="751" t="s">
        <v>366</v>
      </c>
      <c r="B27" s="609"/>
      <c r="C27" s="442"/>
      <c r="D27" s="442"/>
      <c r="E27" s="609"/>
      <c r="F27" s="442"/>
      <c r="G27" s="442"/>
      <c r="H27" s="609"/>
      <c r="I27" s="442"/>
      <c r="J27" s="442"/>
      <c r="K27" s="609"/>
      <c r="L27" s="442"/>
      <c r="M27" s="442"/>
      <c r="N27" s="609"/>
      <c r="O27" s="442"/>
      <c r="P27" s="442"/>
      <c r="Q27" s="609"/>
      <c r="R27" s="442"/>
      <c r="S27" s="442"/>
      <c r="T27" s="609"/>
      <c r="U27" s="609"/>
      <c r="V27" s="442"/>
      <c r="W27" s="616"/>
      <c r="X27" s="616"/>
      <c r="Y27" s="616"/>
    </row>
    <row r="28" spans="1:26" s="545" customFormat="1" ht="18.75" customHeight="1" x14ac:dyDescent="0.3">
      <c r="A28" s="751" t="s">
        <v>369</v>
      </c>
      <c r="B28" s="609"/>
      <c r="C28" s="442"/>
      <c r="D28" s="442"/>
      <c r="E28" s="609"/>
      <c r="F28" s="442"/>
      <c r="G28" s="442"/>
      <c r="H28" s="609"/>
      <c r="I28" s="442"/>
      <c r="J28" s="442"/>
      <c r="K28" s="609"/>
      <c r="L28" s="442"/>
      <c r="M28" s="442"/>
      <c r="N28" s="609"/>
      <c r="O28" s="442"/>
      <c r="P28" s="442"/>
      <c r="Q28" s="609"/>
      <c r="R28" s="442"/>
      <c r="S28" s="442"/>
      <c r="T28" s="609"/>
      <c r="U28" s="609"/>
      <c r="V28" s="442"/>
      <c r="W28" s="616"/>
      <c r="X28" s="616"/>
      <c r="Y28" s="616"/>
    </row>
    <row r="29" spans="1:26" s="545" customFormat="1" ht="18.75" customHeight="1" x14ac:dyDescent="0.3">
      <c r="A29" s="751" t="s">
        <v>454</v>
      </c>
      <c r="B29" s="609"/>
      <c r="C29" s="442"/>
      <c r="D29" s="442"/>
      <c r="E29" s="609"/>
      <c r="F29" s="442"/>
      <c r="G29" s="442"/>
      <c r="H29" s="609"/>
      <c r="I29" s="442"/>
      <c r="J29" s="442"/>
      <c r="K29" s="609"/>
      <c r="L29" s="442"/>
      <c r="M29" s="442"/>
      <c r="N29" s="609"/>
      <c r="O29" s="442"/>
      <c r="P29" s="442"/>
      <c r="Q29" s="609"/>
      <c r="R29" s="442"/>
      <c r="S29" s="442"/>
      <c r="T29" s="609"/>
      <c r="U29" s="609"/>
      <c r="V29" s="442"/>
      <c r="W29" s="616"/>
      <c r="X29" s="616"/>
      <c r="Y29" s="616"/>
    </row>
    <row r="30" spans="1:26" s="545" customFormat="1" ht="18.75" customHeight="1" x14ac:dyDescent="0.3">
      <c r="A30" s="751" t="s">
        <v>455</v>
      </c>
      <c r="B30" s="609"/>
      <c r="C30" s="442"/>
      <c r="D30" s="442"/>
      <c r="E30" s="609"/>
      <c r="F30" s="442"/>
      <c r="G30" s="442"/>
      <c r="H30" s="609"/>
      <c r="I30" s="442"/>
      <c r="J30" s="442"/>
      <c r="K30" s="609"/>
      <c r="L30" s="442"/>
      <c r="M30" s="442"/>
      <c r="N30" s="609"/>
      <c r="O30" s="442"/>
      <c r="P30" s="442"/>
      <c r="Q30" s="609"/>
      <c r="R30" s="442"/>
      <c r="S30" s="442"/>
      <c r="T30" s="609"/>
      <c r="U30" s="609"/>
      <c r="V30" s="442"/>
      <c r="W30" s="616"/>
      <c r="X30" s="616"/>
      <c r="Y30" s="616"/>
    </row>
    <row r="31" spans="1:26" s="548" customFormat="1" ht="18.75" customHeight="1" x14ac:dyDescent="0.3">
      <c r="A31" s="573" t="s">
        <v>459</v>
      </c>
      <c r="B31" s="611">
        <f>SUM(B32:B34)</f>
        <v>276.12200000000001</v>
      </c>
      <c r="C31" s="443">
        <f>SUM(C32:C34)</f>
        <v>242.99742311000003</v>
      </c>
      <c r="D31" s="443">
        <f>IF(B31=0, "    ---- ", IF(ABS(ROUND(100/B31*C31-100,1))&lt;999,ROUND(100/B31*C31-100,1),IF(ROUND(100/B31*C31-100,1)&gt;999,999,-999)))</f>
        <v>-12</v>
      </c>
      <c r="E31" s="611">
        <f>SUM(E32:E34)</f>
        <v>96</v>
      </c>
      <c r="F31" s="443">
        <f>SUM(F32:F34)</f>
        <v>107</v>
      </c>
      <c r="G31" s="443">
        <f>IF(E31=0, "    ---- ", IF(ABS(ROUND(100/E31*F31-100,1))&lt;999,ROUND(100/E31*F31-100,1),IF(ROUND(100/E31*F31-100,1)&gt;999,999,-999)))</f>
        <v>11.5</v>
      </c>
      <c r="H31" s="611">
        <f>SUM(H32:H34)</f>
        <v>491.26229892000003</v>
      </c>
      <c r="I31" s="443">
        <f>SUM(I32:I34)</f>
        <v>597.41562424999995</v>
      </c>
      <c r="J31" s="443">
        <f>IF(H31=0, "    ---- ", IF(ABS(ROUND(100/H31*I31-100,1))&lt;999,ROUND(100/H31*I31-100,1),IF(ROUND(100/H31*I31-100,1)&gt;999,999,-999)))</f>
        <v>21.6</v>
      </c>
      <c r="K31" s="611"/>
      <c r="L31" s="443"/>
      <c r="M31" s="443"/>
      <c r="N31" s="611">
        <f>SUM(N32:N34)</f>
        <v>738</v>
      </c>
      <c r="O31" s="443">
        <f>SUM(O32:O34)</f>
        <v>911</v>
      </c>
      <c r="P31" s="443">
        <f>IF(N31=0, "    ---- ", IF(ABS(ROUND(100/N31*O31-100,1))&lt;999,ROUND(100/N31*O31-100,1),IF(ROUND(100/N31*O31-100,1)&gt;999,999,-999)))</f>
        <v>23.4</v>
      </c>
      <c r="Q31" s="611"/>
      <c r="R31" s="443"/>
      <c r="S31" s="443"/>
      <c r="T31" s="611">
        <f t="shared" ref="T31" si="4">+B31+E31+H31+K31+N31+Q31</f>
        <v>1601.38429892</v>
      </c>
      <c r="U31" s="611">
        <f t="shared" ref="U31" si="5">+C31+F31+I31+L31+O31+R31</f>
        <v>1858.4130473599998</v>
      </c>
      <c r="V31" s="443">
        <f t="shared" si="3"/>
        <v>16.100000000000001</v>
      </c>
      <c r="W31" s="614"/>
      <c r="X31" s="614"/>
      <c r="Y31" s="614"/>
      <c r="Z31" s="521"/>
    </row>
    <row r="32" spans="1:26" s="545" customFormat="1" ht="18.75" customHeight="1" x14ac:dyDescent="0.3">
      <c r="A32" s="603" t="s">
        <v>369</v>
      </c>
      <c r="B32" s="609"/>
      <c r="C32" s="442"/>
      <c r="D32" s="442"/>
      <c r="E32" s="609"/>
      <c r="F32" s="442"/>
      <c r="G32" s="442"/>
      <c r="H32" s="609"/>
      <c r="I32" s="442"/>
      <c r="J32" s="442"/>
      <c r="K32" s="609"/>
      <c r="L32" s="442"/>
      <c r="M32" s="442"/>
      <c r="N32" s="609"/>
      <c r="O32" s="442"/>
      <c r="P32" s="442"/>
      <c r="Q32" s="609"/>
      <c r="R32" s="442"/>
      <c r="S32" s="442"/>
      <c r="T32" s="609"/>
      <c r="U32" s="609"/>
      <c r="V32" s="442"/>
      <c r="W32" s="616"/>
      <c r="X32" s="616"/>
      <c r="Y32" s="616"/>
    </row>
    <row r="33" spans="1:26" s="545" customFormat="1" ht="18.75" customHeight="1" x14ac:dyDescent="0.3">
      <c r="A33" s="603" t="s">
        <v>454</v>
      </c>
      <c r="B33" s="609">
        <v>276.12200000000001</v>
      </c>
      <c r="C33" s="442">
        <v>242.99742311000003</v>
      </c>
      <c r="D33" s="442">
        <f>IF(B33=0, "    ---- ", IF(ABS(ROUND(100/B33*C33-100,1))&lt;999,ROUND(100/B33*C33-100,1),IF(ROUND(100/B33*C33-100,1)&gt;999,999,-999)))</f>
        <v>-12</v>
      </c>
      <c r="E33" s="609">
        <v>96</v>
      </c>
      <c r="F33" s="442">
        <v>107</v>
      </c>
      <c r="G33" s="442">
        <f>IF(E33=0, "    ---- ", IF(ABS(ROUND(100/E33*F33-100,1))&lt;999,ROUND(100/E33*F33-100,1),IF(ROUND(100/E33*F33-100,1)&gt;999,999,-999)))</f>
        <v>11.5</v>
      </c>
      <c r="H33" s="609"/>
      <c r="I33" s="442"/>
      <c r="J33" s="442"/>
      <c r="K33" s="609"/>
      <c r="L33" s="442"/>
      <c r="M33" s="442"/>
      <c r="N33" s="609">
        <v>738</v>
      </c>
      <c r="O33" s="442">
        <v>911</v>
      </c>
      <c r="P33" s="442">
        <f>IF(N33=0, "    ---- ", IF(ABS(ROUND(100/N33*O33-100,1))&lt;999,ROUND(100/N33*O33-100,1),IF(ROUND(100/N33*O33-100,1)&gt;999,999,-999)))</f>
        <v>23.4</v>
      </c>
      <c r="Q33" s="609"/>
      <c r="R33" s="442"/>
      <c r="S33" s="442"/>
      <c r="T33" s="609">
        <f t="shared" ref="T33:T37" si="6">+B33+E33+H33+K33+N33+Q33</f>
        <v>1110.1220000000001</v>
      </c>
      <c r="U33" s="609">
        <f t="shared" ref="U33:U37" si="7">+C33+F33+I33+L33+O33+R33</f>
        <v>1260.99742311</v>
      </c>
      <c r="V33" s="442">
        <f t="shared" si="3"/>
        <v>13.6</v>
      </c>
      <c r="W33" s="616"/>
      <c r="X33" s="616"/>
      <c r="Y33" s="616"/>
    </row>
    <row r="34" spans="1:26" s="545" customFormat="1" ht="18.75" customHeight="1" x14ac:dyDescent="0.3">
      <c r="A34" s="603" t="s">
        <v>455</v>
      </c>
      <c r="B34" s="609"/>
      <c r="C34" s="442"/>
      <c r="D34" s="442"/>
      <c r="E34" s="609"/>
      <c r="F34" s="442"/>
      <c r="G34" s="442"/>
      <c r="H34" s="609">
        <v>491.26229892000003</v>
      </c>
      <c r="I34" s="442">
        <v>597.41562424999995</v>
      </c>
      <c r="J34" s="442">
        <f>IF(H34=0, "    ---- ", IF(ABS(ROUND(100/H34*I34-100,1))&lt;999,ROUND(100/H34*I34-100,1),IF(ROUND(100/H34*I34-100,1)&gt;999,999,-999)))</f>
        <v>21.6</v>
      </c>
      <c r="K34" s="609"/>
      <c r="L34" s="442"/>
      <c r="M34" s="442"/>
      <c r="N34" s="609"/>
      <c r="O34" s="442"/>
      <c r="P34" s="442"/>
      <c r="Q34" s="609"/>
      <c r="R34" s="442"/>
      <c r="S34" s="442"/>
      <c r="T34" s="609">
        <f t="shared" si="6"/>
        <v>491.26229892000003</v>
      </c>
      <c r="U34" s="609">
        <f t="shared" si="7"/>
        <v>597.41562424999995</v>
      </c>
      <c r="V34" s="442">
        <f t="shared" si="3"/>
        <v>21.6</v>
      </c>
      <c r="W34" s="617"/>
      <c r="X34" s="616"/>
      <c r="Y34" s="616"/>
    </row>
    <row r="35" spans="1:26" s="548" customFormat="1" ht="18.75" customHeight="1" x14ac:dyDescent="0.3">
      <c r="A35" s="573" t="s">
        <v>380</v>
      </c>
      <c r="B35" s="443">
        <f>SUM(B11+B21+B26+B31)</f>
        <v>166721.875</v>
      </c>
      <c r="C35" s="443">
        <f>SUM(C11+C21+C26+C31)</f>
        <v>202254.67941495002</v>
      </c>
      <c r="D35" s="443">
        <f>IF(B35=0, "    ---- ", IF(ABS(ROUND(100/B35*C35-100,1))&lt;999,ROUND(100/B35*C35-100,1),IF(ROUND(100/B35*C35-100,1)&gt;999,999,-999)))</f>
        <v>21.3</v>
      </c>
      <c r="E35" s="443">
        <f>SUM(E11+E21+E26+E31)</f>
        <v>59856</v>
      </c>
      <c r="F35" s="443">
        <f>SUM(F11+F21+F26+F31)</f>
        <v>76892</v>
      </c>
      <c r="G35" s="443">
        <f>IF(E35=0, "    ---- ", IF(ABS(ROUND(100/E35*F35-100,1))&lt;999,ROUND(100/E35*F35-100,1),IF(ROUND(100/E35*F35-100,1)&gt;999,999,-999)))</f>
        <v>28.5</v>
      </c>
      <c r="H35" s="611">
        <f>SUM(H11+H21+H26+H31)</f>
        <v>2849.7164053300003</v>
      </c>
      <c r="I35" s="443">
        <f>SUM(I11+I21+I26+I31)</f>
        <v>3147.4276853299998</v>
      </c>
      <c r="J35" s="443">
        <f>IF(H35=0, "    ---- ", IF(ABS(ROUND(100/H35*I35-100,1))&lt;999,ROUND(100/H35*I35-100,1),IF(ROUND(100/H35*I35-100,1)&gt;999,999,-999)))</f>
        <v>10.4</v>
      </c>
      <c r="K35" s="443">
        <f>SUM(K11+K21+K26+K31)</f>
        <v>147002.42574696499</v>
      </c>
      <c r="L35" s="443">
        <f>SUM(L11+L21+L26+L31)</f>
        <v>184044.03943382</v>
      </c>
      <c r="M35" s="443">
        <f>IF(K35=0, "    ---- ", IF(ABS(ROUND(100/K35*L35-100,1))&lt;999,ROUND(100/K35*L35-100,1),IF(ROUND(100/K35*L35-100,1)&gt;999,999,-999)))</f>
        <v>25.2</v>
      </c>
      <c r="N35" s="443">
        <f>SUM(N11+N21+N26+N31)</f>
        <v>68350</v>
      </c>
      <c r="O35" s="443">
        <f>SUM(O11+O21+O26+O31)</f>
        <v>83760</v>
      </c>
      <c r="P35" s="443">
        <f>IF(N35=0, "    ---- ", IF(ABS(ROUND(100/N35*O35-100,1))&lt;999,ROUND(100/N35*O35-100,1),IF(ROUND(100/N35*O35-100,1)&gt;999,999,-999)))</f>
        <v>22.5</v>
      </c>
      <c r="Q35" s="443">
        <f>SUM(Q11+Q21+Q26+Q31)</f>
        <v>209344.69842835001</v>
      </c>
      <c r="R35" s="443">
        <f>SUM(R11+R21+R26+R31)</f>
        <v>248216.02440141997</v>
      </c>
      <c r="S35" s="443">
        <f t="shared" si="0"/>
        <v>18.600000000000001</v>
      </c>
      <c r="T35" s="611">
        <f t="shared" si="6"/>
        <v>654124.71558064502</v>
      </c>
      <c r="U35" s="611">
        <f t="shared" si="7"/>
        <v>798314.17093551997</v>
      </c>
      <c r="V35" s="443">
        <f t="shared" si="3"/>
        <v>22</v>
      </c>
      <c r="W35" s="611">
        <f>T35+'Tabell 7a'!AF52</f>
        <v>1989578.8702922587</v>
      </c>
      <c r="X35" s="443">
        <f>U35+'Tabell 7a'!AG52</f>
        <v>2227792.2620275128</v>
      </c>
      <c r="Y35" s="443">
        <f t="shared" ref="Y35:Y42" si="8">IF(W35=0, "    ---- ", IF(ABS(ROUND(100/W35*X35-100,1))&lt;999,ROUND(100/W35*X35-100,1),IF(ROUND(100/W35*X35-100,1)&gt;999,999,-999)))</f>
        <v>12</v>
      </c>
      <c r="Z35" s="521"/>
    </row>
    <row r="36" spans="1:26" s="545" customFormat="1" ht="18.75" customHeight="1" x14ac:dyDescent="0.3">
      <c r="A36" s="603" t="s">
        <v>366</v>
      </c>
      <c r="B36" s="442">
        <f>SUM(B12+B22)</f>
        <v>7966.7529999999997</v>
      </c>
      <c r="C36" s="442">
        <f>SUM(C12+C22+C27)</f>
        <v>9237.3923010410399</v>
      </c>
      <c r="D36" s="442">
        <f>IF(B36=0, "    ---- ", IF(ABS(ROUND(100/B36*C36-100,1))&lt;999,ROUND(100/B36*C36-100,1),IF(ROUND(100/B36*C36-100,1)&gt;999,999,-999)))</f>
        <v>15.9</v>
      </c>
      <c r="E36" s="442">
        <f>SUM(E12+E22+E27)</f>
        <v>2338</v>
      </c>
      <c r="F36" s="442">
        <f>SUM(F12+F22+F27)</f>
        <v>2882</v>
      </c>
      <c r="G36" s="442">
        <f>IF(E36=0, "    ---- ", IF(ABS(ROUND(100/E36*F36-100,1))&lt;999,ROUND(100/E36*F36-100,1),IF(ROUND(100/E36*F36-100,1)&gt;999,999,-999)))</f>
        <v>23.3</v>
      </c>
      <c r="H36" s="609"/>
      <c r="I36" s="442"/>
      <c r="J36" s="442"/>
      <c r="K36" s="442">
        <f>SUM(K12+K22+K27)</f>
        <v>52446.057120648038</v>
      </c>
      <c r="L36" s="442">
        <f>SUM(L12+L22+L27)</f>
        <v>66719.340825974912</v>
      </c>
      <c r="M36" s="442">
        <f>IF(K36=0, "    ---- ", IF(ABS(ROUND(100/K36*L36-100,1))&lt;999,ROUND(100/K36*L36-100,1),IF(ROUND(100/K36*L36-100,1)&gt;999,999,-999)))</f>
        <v>27.2</v>
      </c>
      <c r="N36" s="442">
        <f>SUM(N12+N22+N27)</f>
        <v>5282</v>
      </c>
      <c r="O36" s="442">
        <f>SUM(O12+O22+O27)</f>
        <v>6485</v>
      </c>
      <c r="P36" s="442">
        <f>IF(N36=0, "    ---- ", IF(ABS(ROUND(100/N36*O36-100,1))&lt;999,ROUND(100/N36*O36-100,1),IF(ROUND(100/N36*O36-100,1)&gt;999,999,-999)))</f>
        <v>22.8</v>
      </c>
      <c r="Q36" s="442">
        <f>SUM(Q12+Q22+Q27)</f>
        <v>14474.003704280001</v>
      </c>
      <c r="R36" s="442">
        <f>SUM(R12+R22+R27)</f>
        <v>16436.76665804</v>
      </c>
      <c r="S36" s="442">
        <f t="shared" si="0"/>
        <v>13.6</v>
      </c>
      <c r="T36" s="609">
        <f t="shared" si="6"/>
        <v>82506.813824928031</v>
      </c>
      <c r="U36" s="609">
        <f t="shared" si="7"/>
        <v>101760.49978505594</v>
      </c>
      <c r="V36" s="442">
        <f t="shared" si="3"/>
        <v>23.3</v>
      </c>
      <c r="W36" s="609">
        <f>T36+'Tabell 7a'!AF53</f>
        <v>93809.825850392372</v>
      </c>
      <c r="X36" s="442">
        <f>U36+'Tabell 7a'!AG53</f>
        <v>112010.61672811807</v>
      </c>
      <c r="Y36" s="442">
        <f t="shared" si="8"/>
        <v>19.399999999999999</v>
      </c>
    </row>
    <row r="37" spans="1:26" s="545" customFormat="1" ht="18.75" customHeight="1" x14ac:dyDescent="0.3">
      <c r="A37" s="603" t="s">
        <v>369</v>
      </c>
      <c r="B37" s="442">
        <f>SUM(B13+B23+B32)</f>
        <v>5882</v>
      </c>
      <c r="C37" s="442">
        <f>SUM(C13+C23+C28+C32)</f>
        <v>5016.2896907989598</v>
      </c>
      <c r="D37" s="442">
        <f>IF(B37=0, "    ---- ", IF(ABS(ROUND(100/B37*C37-100,1))&lt;999,ROUND(100/B37*C37-100,1),IF(ROUND(100/B37*C37-100,1)&gt;999,999,-999)))</f>
        <v>-14.7</v>
      </c>
      <c r="E37" s="442">
        <f>SUM(E13+E23+E28+E32)</f>
        <v>2325</v>
      </c>
      <c r="F37" s="442">
        <f>SUM(F13+F23+F28+F32)</f>
        <v>4158</v>
      </c>
      <c r="G37" s="442">
        <f>IF(E37=0, "    ---- ", IF(ABS(ROUND(100/E37*F37-100,1))&lt;999,ROUND(100/E37*F37-100,1),IF(ROUND(100/E37*F37-100,1)&gt;999,999,-999)))</f>
        <v>78.8</v>
      </c>
      <c r="H37" s="609"/>
      <c r="I37" s="442"/>
      <c r="J37" s="442"/>
      <c r="K37" s="442">
        <f>SUM(K13+K23+K28+K32)</f>
        <v>5946.8766512769507</v>
      </c>
      <c r="L37" s="442">
        <f>SUM(L13+L23+L28+L32)</f>
        <v>7001.6680672150851</v>
      </c>
      <c r="M37" s="442">
        <f>IF(K37=0, "    ---- ", IF(ABS(ROUND(100/K37*L37-100,1))&lt;999,ROUND(100/K37*L37-100,1),IF(ROUND(100/K37*L37-100,1)&gt;999,999,-999)))</f>
        <v>17.7</v>
      </c>
      <c r="N37" s="442">
        <f>SUM(N13+N23+N28+N32)</f>
        <v>4434</v>
      </c>
      <c r="O37" s="442">
        <f>SUM(O13+O23+O28+O32)</f>
        <v>5273</v>
      </c>
      <c r="P37" s="442">
        <f>IF(N37=0, "    ---- ", IF(ABS(ROUND(100/N37*O37-100,1))&lt;999,ROUND(100/N37*O37-100,1),IF(ROUND(100/N37*O37-100,1)&gt;999,999,-999)))</f>
        <v>18.899999999999999</v>
      </c>
      <c r="Q37" s="442">
        <f>SUM(Q13+Q23+Q28+Q32)</f>
        <v>8868.0575629299965</v>
      </c>
      <c r="R37" s="442">
        <f>SUM(R13+R23+R28+R32)</f>
        <v>9859.7473502199991</v>
      </c>
      <c r="S37" s="442">
        <f t="shared" si="0"/>
        <v>11.2</v>
      </c>
      <c r="T37" s="609">
        <f t="shared" si="6"/>
        <v>27455.934214206947</v>
      </c>
      <c r="U37" s="609">
        <f t="shared" si="7"/>
        <v>31308.705108234048</v>
      </c>
      <c r="V37" s="442">
        <f t="shared" si="3"/>
        <v>14</v>
      </c>
      <c r="W37" s="609">
        <f>T37+'Tabell 7a'!AF54</f>
        <v>72715.631777022601</v>
      </c>
      <c r="X37" s="442">
        <f>U37+'Tabell 7a'!AG54</f>
        <v>77592.741139325037</v>
      </c>
      <c r="Y37" s="442">
        <f t="shared" si="8"/>
        <v>6.7</v>
      </c>
    </row>
    <row r="38" spans="1:26" s="545" customFormat="1" ht="18.75" customHeight="1" x14ac:dyDescent="0.3">
      <c r="A38" s="411" t="s">
        <v>370</v>
      </c>
      <c r="B38" s="442"/>
      <c r="C38" s="442"/>
      <c r="D38" s="442"/>
      <c r="E38" s="442"/>
      <c r="F38" s="442"/>
      <c r="G38" s="442"/>
      <c r="H38" s="609"/>
      <c r="I38" s="442"/>
      <c r="J38" s="442"/>
      <c r="K38" s="442"/>
      <c r="L38" s="442"/>
      <c r="M38" s="442"/>
      <c r="N38" s="442"/>
      <c r="O38" s="442"/>
      <c r="P38" s="442"/>
      <c r="Q38" s="442"/>
      <c r="R38" s="442"/>
      <c r="S38" s="442"/>
      <c r="T38" s="609"/>
      <c r="U38" s="609"/>
      <c r="V38" s="442"/>
      <c r="W38" s="609">
        <f>T38+'Tabell 7a'!AF55</f>
        <v>5144.5837938000004</v>
      </c>
      <c r="X38" s="442">
        <f>U38+'Tabell 7a'!AG55</f>
        <v>5443.0955957200003</v>
      </c>
      <c r="Y38" s="442">
        <f t="shared" si="8"/>
        <v>5.8</v>
      </c>
    </row>
    <row r="39" spans="1:26" s="545" customFormat="1" ht="18.75" customHeight="1" x14ac:dyDescent="0.3">
      <c r="A39" s="603" t="s">
        <v>454</v>
      </c>
      <c r="B39" s="442">
        <f>SUM(B14+B24+B33)</f>
        <v>152873.122</v>
      </c>
      <c r="C39" s="442">
        <f>SUM(C14+C24+C29+C33)</f>
        <v>188000.99742311001</v>
      </c>
      <c r="D39" s="442">
        <f>IF(B39=0, "    ---- ", IF(ABS(ROUND(100/B39*C39-100,1))&lt;999,ROUND(100/B39*C39-100,1),IF(ROUND(100/B39*C39-100,1)&gt;999,999,-999)))</f>
        <v>23</v>
      </c>
      <c r="E39" s="442">
        <f>SUM(E14+E24+E29+E33)</f>
        <v>55193</v>
      </c>
      <c r="F39" s="442">
        <f>SUM(F14+F24+F29+F33)</f>
        <v>69852</v>
      </c>
      <c r="G39" s="442">
        <f>IF(E39=0, "    ---- ", IF(ABS(ROUND(100/E39*F39-100,1))&lt;999,ROUND(100/E39*F39-100,1),IF(ROUND(100/E39*F39-100,1)&gt;999,999,-999)))</f>
        <v>26.6</v>
      </c>
      <c r="H39" s="609"/>
      <c r="I39" s="442"/>
      <c r="J39" s="442"/>
      <c r="K39" s="442">
        <f>SUM(K14+K24+K29+K33)</f>
        <v>88609.491975040015</v>
      </c>
      <c r="L39" s="442">
        <f>SUM(L14+L24+L29+L33)</f>
        <v>110323.03054063</v>
      </c>
      <c r="M39" s="442">
        <f>IF(K39=0, "    ---- ", IF(ABS(ROUND(100/K39*L39-100,1))&lt;999,ROUND(100/K39*L39-100,1),IF(ROUND(100/K39*L39-100,1)&gt;999,999,-999)))</f>
        <v>24.5</v>
      </c>
      <c r="N39" s="442">
        <f>SUM(N14+N24+N29+N33)</f>
        <v>58634</v>
      </c>
      <c r="O39" s="442">
        <f>SUM(O14+O24+O29+O33)</f>
        <v>72002</v>
      </c>
      <c r="P39" s="442">
        <f>IF(N39=0, "    ---- ", IF(ABS(ROUND(100/N39*O39-100,1))&lt;999,ROUND(100/N39*O39-100,1),IF(ROUND(100/N39*O39-100,1)&gt;999,999,-999)))</f>
        <v>22.8</v>
      </c>
      <c r="Q39" s="442">
        <f>SUM(Q14+Q24+Q29+Q33)</f>
        <v>186002.63716114001</v>
      </c>
      <c r="R39" s="442">
        <f>SUM(R14+R24+R29+R33)</f>
        <v>221919.51039315999</v>
      </c>
      <c r="S39" s="442">
        <f t="shared" si="0"/>
        <v>19.3</v>
      </c>
      <c r="T39" s="609">
        <f t="shared" ref="T39:T40" si="9">+B39+E39+H39+K39+N39+Q39</f>
        <v>541312.25113618001</v>
      </c>
      <c r="U39" s="609">
        <f t="shared" ref="U39:U40" si="10">+C39+F39+I39+L39+O39+R39</f>
        <v>662097.53835689998</v>
      </c>
      <c r="V39" s="442">
        <f t="shared" si="3"/>
        <v>22.3</v>
      </c>
      <c r="W39" s="609">
        <f>T39+'Tabell 7a'!AF56</f>
        <v>939354.07043594099</v>
      </c>
      <c r="X39" s="442">
        <f>U39+'Tabell 7a'!AG56</f>
        <v>1071489.5284014179</v>
      </c>
      <c r="Y39" s="442">
        <f t="shared" si="8"/>
        <v>14.1</v>
      </c>
    </row>
    <row r="40" spans="1:26" s="545" customFormat="1" ht="18.75" customHeight="1" x14ac:dyDescent="0.3">
      <c r="A40" s="603" t="s">
        <v>455</v>
      </c>
      <c r="B40" s="442"/>
      <c r="C40" s="442"/>
      <c r="D40" s="442"/>
      <c r="E40" s="442"/>
      <c r="F40" s="442"/>
      <c r="G40" s="442"/>
      <c r="H40" s="609">
        <f t="shared" ref="H40:I40" si="11">H15+H25+H30+H34</f>
        <v>2849.7164053300003</v>
      </c>
      <c r="I40" s="442">
        <f t="shared" si="11"/>
        <v>3147.4276853299998</v>
      </c>
      <c r="J40" s="442">
        <f>IF(H40=0, "    ---- ", IF(ABS(ROUND(100/H40*I40-100,1))&lt;999,ROUND(100/H40*I40-100,1),IF(ROUND(100/H40*I40-100,1)&gt;999,999,-999)))</f>
        <v>10.4</v>
      </c>
      <c r="K40" s="442"/>
      <c r="L40" s="442"/>
      <c r="M40" s="442"/>
      <c r="N40" s="442"/>
      <c r="O40" s="442"/>
      <c r="P40" s="442"/>
      <c r="Q40" s="442"/>
      <c r="R40" s="442"/>
      <c r="S40" s="442"/>
      <c r="T40" s="609">
        <f t="shared" si="9"/>
        <v>2849.7164053300003</v>
      </c>
      <c r="U40" s="609">
        <f t="shared" si="10"/>
        <v>3147.4276853299998</v>
      </c>
      <c r="V40" s="442">
        <f t="shared" si="3"/>
        <v>10.4</v>
      </c>
      <c r="W40" s="609">
        <f>T40+'Tabell 7a'!AF57</f>
        <v>832871.87967039994</v>
      </c>
      <c r="X40" s="442">
        <f>U40+'Tabell 7a'!AG57</f>
        <v>956763.69098277995</v>
      </c>
      <c r="Y40" s="442">
        <f t="shared" si="8"/>
        <v>14.9</v>
      </c>
    </row>
    <row r="41" spans="1:26" s="545" customFormat="1" ht="18.75" customHeight="1" x14ac:dyDescent="0.3">
      <c r="A41" s="411" t="s">
        <v>372</v>
      </c>
      <c r="B41" s="442"/>
      <c r="C41" s="442"/>
      <c r="D41" s="442"/>
      <c r="E41" s="442"/>
      <c r="F41" s="442"/>
      <c r="G41" s="442"/>
      <c r="H41" s="609"/>
      <c r="I41" s="442"/>
      <c r="J41" s="442"/>
      <c r="K41" s="442"/>
      <c r="L41" s="442"/>
      <c r="M41" s="442"/>
      <c r="N41" s="442"/>
      <c r="O41" s="442"/>
      <c r="P41" s="442"/>
      <c r="Q41" s="442"/>
      <c r="R41" s="442"/>
      <c r="S41" s="442"/>
      <c r="T41" s="609"/>
      <c r="U41" s="609"/>
      <c r="V41" s="442"/>
      <c r="W41" s="609">
        <f>T41+'Tabell 7a'!AF58</f>
        <v>864.69318163288926</v>
      </c>
      <c r="X41" s="442">
        <f>U41+'Tabell 7a'!AG58</f>
        <v>1014.0811801519689</v>
      </c>
      <c r="Y41" s="442">
        <f t="shared" si="8"/>
        <v>17.3</v>
      </c>
    </row>
    <row r="42" spans="1:26" s="545" customFormat="1" ht="18.75" customHeight="1" x14ac:dyDescent="0.3">
      <c r="A42" s="605" t="s">
        <v>460</v>
      </c>
      <c r="B42" s="438"/>
      <c r="C42" s="438"/>
      <c r="D42" s="438"/>
      <c r="E42" s="438"/>
      <c r="F42" s="438"/>
      <c r="G42" s="438"/>
      <c r="H42" s="618"/>
      <c r="I42" s="438"/>
      <c r="J42" s="438"/>
      <c r="K42" s="438"/>
      <c r="L42" s="438"/>
      <c r="M42" s="438"/>
      <c r="N42" s="438"/>
      <c r="O42" s="438"/>
      <c r="P42" s="438"/>
      <c r="Q42" s="438"/>
      <c r="R42" s="438"/>
      <c r="S42" s="438"/>
      <c r="T42" s="618"/>
      <c r="U42" s="618"/>
      <c r="V42" s="438"/>
      <c r="W42" s="618">
        <f>T42+'Tabell 7a'!AF59</f>
        <v>44818.185583070001</v>
      </c>
      <c r="X42" s="438">
        <f>U42+'Tabell 7a'!AG59</f>
        <v>3478.5079999999998</v>
      </c>
      <c r="Y42" s="438">
        <f t="shared" si="8"/>
        <v>-92.2</v>
      </c>
    </row>
    <row r="43" spans="1:26" s="568" customFormat="1" ht="18.75" customHeight="1" x14ac:dyDescent="0.3">
      <c r="A43" s="385" t="s">
        <v>223</v>
      </c>
      <c r="E43" s="385"/>
      <c r="K43" s="619"/>
      <c r="N43" s="385"/>
      <c r="T43" s="385"/>
      <c r="W43" s="385"/>
    </row>
    <row r="44" spans="1:26" s="568" customFormat="1" ht="18.75" customHeight="1" x14ac:dyDescent="0.3">
      <c r="A44" s="385" t="s">
        <v>225</v>
      </c>
      <c r="E44" s="385"/>
      <c r="N44" s="385"/>
      <c r="W44" s="385"/>
    </row>
    <row r="45" spans="1:26" s="568" customFormat="1" ht="18.75" x14ac:dyDescent="0.3"/>
    <row r="46" spans="1:26" s="568" customFormat="1" ht="18.75" x14ac:dyDescent="0.3"/>
    <row r="47" spans="1:26" s="568" customFormat="1" ht="18.75" x14ac:dyDescent="0.3"/>
    <row r="48" spans="1:26" s="568" customFormat="1" ht="18.75" x14ac:dyDescent="0.3"/>
    <row r="49" s="568" customFormat="1" ht="18.75" x14ac:dyDescent="0.3"/>
    <row r="50" s="568" customFormat="1" ht="18.75" x14ac:dyDescent="0.3"/>
    <row r="51" s="568" customFormat="1" ht="18.75" x14ac:dyDescent="0.3"/>
    <row r="52" s="568" customFormat="1" ht="18.75" x14ac:dyDescent="0.3"/>
    <row r="53" s="568" customFormat="1" ht="18.75" x14ac:dyDescent="0.3"/>
    <row r="54" s="568" customFormat="1" ht="18.75" x14ac:dyDescent="0.3"/>
    <row r="55" s="568" customFormat="1" ht="18.75" x14ac:dyDescent="0.3"/>
    <row r="56" s="568" customFormat="1" ht="18.75" x14ac:dyDescent="0.3"/>
    <row r="57" s="568" customFormat="1" ht="18.75" x14ac:dyDescent="0.3"/>
    <row r="58" s="568" customFormat="1" ht="18.75" x14ac:dyDescent="0.3"/>
    <row r="59" s="568" customFormat="1" ht="18.75" x14ac:dyDescent="0.3"/>
    <row r="60" s="568" customFormat="1" ht="18.75" x14ac:dyDescent="0.3"/>
    <row r="61" s="568" customFormat="1" ht="18.75" x14ac:dyDescent="0.3"/>
    <row r="62" s="568" customFormat="1" ht="18.75" x14ac:dyDescent="0.3"/>
    <row r="63" s="568" customFormat="1" ht="18.75" x14ac:dyDescent="0.3"/>
    <row r="64" s="568" customFormat="1" ht="18.75" x14ac:dyDescent="0.3"/>
    <row r="65" s="568" customFormat="1" ht="18.75" x14ac:dyDescent="0.3"/>
    <row r="66" s="568" customFormat="1" ht="18.75" x14ac:dyDescent="0.3"/>
    <row r="67" s="568" customFormat="1" ht="18.75" x14ac:dyDescent="0.3"/>
    <row r="68" s="568" customFormat="1" ht="18.75" x14ac:dyDescent="0.3"/>
  </sheetData>
  <mergeCells count="14">
    <mergeCell ref="N5:P5"/>
    <mergeCell ref="Q5:S5"/>
    <mergeCell ref="T5:V5"/>
    <mergeCell ref="W5:Y5"/>
    <mergeCell ref="B6:D6"/>
    <mergeCell ref="E6:G6"/>
    <mergeCell ref="K5:M5"/>
    <mergeCell ref="B5:D5"/>
    <mergeCell ref="E5:G5"/>
    <mergeCell ref="K6:M6"/>
    <mergeCell ref="N6:P6"/>
    <mergeCell ref="Q6:S6"/>
    <mergeCell ref="T6:V6"/>
    <mergeCell ref="W6:Y6"/>
  </mergeCells>
  <conditionalFormatting sqref="B21 K21 N21 T21:U21 W21:X21">
    <cfRule type="expression" dxfId="33" priority="452">
      <formula>#REF!="21≠22+23+24+25"</formula>
    </cfRule>
  </conditionalFormatting>
  <conditionalFormatting sqref="B11:C11">
    <cfRule type="expression" dxfId="32" priority="11">
      <formula>#REF!="11≠12+13+14+15"</formula>
    </cfRule>
  </conditionalFormatting>
  <conditionalFormatting sqref="B16:C16">
    <cfRule type="expression" dxfId="31" priority="12">
      <formula>#REF!="11≠12+13+14+15"</formula>
    </cfRule>
  </conditionalFormatting>
  <conditionalFormatting sqref="B26:C26 E26:F26 K26:L26 N26:O26 Q26:R26 W26:X26">
    <cfRule type="expression" dxfId="30" priority="454">
      <formula>#REF!="26≠27+28+29+30"</formula>
    </cfRule>
  </conditionalFormatting>
  <conditionalFormatting sqref="B31:C31 E31:F31 H31:I31 K31:L31 N31:O31 Q31:R31 W31:X31">
    <cfRule type="expression" dxfId="29" priority="455">
      <formula>#REF!="36≠37+38+39"</formula>
    </cfRule>
  </conditionalFormatting>
  <conditionalFormatting sqref="B35:C35">
    <cfRule type="expression" dxfId="28" priority="123">
      <formula>#REF!="40≠41+42+43+44+45+46+47"</formula>
    </cfRule>
  </conditionalFormatting>
  <conditionalFormatting sqref="E16">
    <cfRule type="expression" dxfId="27" priority="33">
      <formula>#REF!="16≠17+18+19+20"</formula>
    </cfRule>
  </conditionalFormatting>
  <conditionalFormatting sqref="E21">
    <cfRule type="expression" dxfId="26" priority="35">
      <formula>#REF!="21≠22+23+24+25"</formula>
    </cfRule>
  </conditionalFormatting>
  <conditionalFormatting sqref="E11:F11">
    <cfRule type="expression" dxfId="25" priority="34">
      <formula>#REF!="11≠12+13+14+15"</formula>
    </cfRule>
  </conditionalFormatting>
  <conditionalFormatting sqref="E35:F35">
    <cfRule type="expression" dxfId="24" priority="83">
      <formula>#REF!="40≠41+42+43+44+45+46+47"</formula>
    </cfRule>
  </conditionalFormatting>
  <conditionalFormatting sqref="H16">
    <cfRule type="expression" dxfId="23" priority="3">
      <formula>#REF!="16≠17+18+19+20"</formula>
    </cfRule>
  </conditionalFormatting>
  <conditionalFormatting sqref="H11:I11">
    <cfRule type="expression" dxfId="22" priority="2">
      <formula>#REF!="11≠12+13+14+15"</formula>
    </cfRule>
  </conditionalFormatting>
  <conditionalFormatting sqref="H35:I35">
    <cfRule type="expression" dxfId="21" priority="6">
      <formula>#REF!="40≠41+42+43+44+45+46+47"</formula>
    </cfRule>
  </conditionalFormatting>
  <conditionalFormatting sqref="K16">
    <cfRule type="expression" dxfId="20" priority="42">
      <formula>#REF!="16≠17+18+19+20"</formula>
    </cfRule>
  </conditionalFormatting>
  <conditionalFormatting sqref="K11:L11">
    <cfRule type="expression" dxfId="19" priority="41">
      <formula>#REF!="11≠12+13+14+15"</formula>
    </cfRule>
  </conditionalFormatting>
  <conditionalFormatting sqref="K35:L35">
    <cfRule type="expression" dxfId="18" priority="74">
      <formula>#REF!="40≠41+42+43+44+45+46+47"</formula>
    </cfRule>
  </conditionalFormatting>
  <conditionalFormatting sqref="N11:O11">
    <cfRule type="expression" dxfId="17" priority="25">
      <formula>#REF!="11≠12+13+14+15"</formula>
    </cfRule>
  </conditionalFormatting>
  <conditionalFormatting sqref="N16:O16">
    <cfRule type="expression" dxfId="16" priority="26">
      <formula>#REF!="11≠12+13+14+15"</formula>
    </cfRule>
  </conditionalFormatting>
  <conditionalFormatting sqref="N35:O35">
    <cfRule type="expression" dxfId="15" priority="68">
      <formula>#REF!="40≠41+42+43+44+45+46+47"</formula>
    </cfRule>
  </conditionalFormatting>
  <conditionalFormatting sqref="Q16">
    <cfRule type="expression" dxfId="14" priority="18">
      <formula>#REF!="16≠17+18+19+20"</formula>
    </cfRule>
  </conditionalFormatting>
  <conditionalFormatting sqref="Q21">
    <cfRule type="expression" dxfId="13" priority="19">
      <formula>#REF!="21≠22+23+24+25"</formula>
    </cfRule>
  </conditionalFormatting>
  <conditionalFormatting sqref="Q11:R11">
    <cfRule type="expression" dxfId="12" priority="17">
      <formula>#REF!="11≠12+13+14+15"</formula>
    </cfRule>
  </conditionalFormatting>
  <conditionalFormatting sqref="Q35:R35">
    <cfRule type="expression" dxfId="11" priority="65">
      <formula>#REF!="40≠41+42+43+44+45+46+47"</formula>
    </cfRule>
  </conditionalFormatting>
  <conditionalFormatting sqref="W11:X11 T11:U20 F16 I16 L16 R16 C21 F21 H21:I21 L21 O21 R21 H26:I26 T26:U26 T30:U31 T33:U37 T39:U40">
    <cfRule type="expression" dxfId="10" priority="450">
      <formula>#REF!="11≠12+13+14+15"</formula>
    </cfRule>
  </conditionalFormatting>
  <conditionalFormatting sqref="W16:X16">
    <cfRule type="expression" dxfId="9" priority="456">
      <formula>#REF!="16≠17+18+19+20"</formula>
    </cfRule>
  </conditionalFormatting>
  <conditionalFormatting sqref="W35:X35">
    <cfRule type="expression" dxfId="8" priority="128">
      <formula>#REF!="40≠41+42+43+44+45+46+47"</formula>
    </cfRule>
  </conditionalFormatting>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4" min="1" max="48" man="1"/>
    <brk id="10" min="1" max="48" man="1"/>
    <brk id="13" min="1" max="48" man="1"/>
    <brk id="22" min="1" max="4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5483-50BC-43CD-92B6-43EBC7563ED5}">
  <sheetPr codeName="Ark42"/>
  <dimension ref="A1:AV53"/>
  <sheetViews>
    <sheetView showGridLines="0" zoomScale="60" zoomScaleNormal="60" zoomScaleSheetLayoutView="8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68.28515625" style="392" customWidth="1"/>
    <col min="2" max="31" width="11.7109375" style="392" customWidth="1"/>
    <col min="32" max="250" width="11.42578125" style="392"/>
    <col min="251" max="251" width="62" style="392" customWidth="1"/>
    <col min="252" max="287" width="11.7109375" style="392" customWidth="1"/>
    <col min="288" max="506" width="11.42578125" style="392"/>
    <col min="507" max="507" width="62" style="392" customWidth="1"/>
    <col min="508" max="543" width="11.7109375" style="392" customWidth="1"/>
    <col min="544" max="762" width="11.42578125" style="392"/>
    <col min="763" max="763" width="62" style="392" customWidth="1"/>
    <col min="764" max="799" width="11.7109375" style="392" customWidth="1"/>
    <col min="800" max="1018" width="11.42578125" style="392"/>
    <col min="1019" max="1019" width="62" style="392" customWidth="1"/>
    <col min="1020" max="1055" width="11.7109375" style="392" customWidth="1"/>
    <col min="1056" max="1274" width="11.42578125" style="392"/>
    <col min="1275" max="1275" width="62" style="392" customWidth="1"/>
    <col min="1276" max="1311" width="11.7109375" style="392" customWidth="1"/>
    <col min="1312" max="1530" width="11.42578125" style="392"/>
    <col min="1531" max="1531" width="62" style="392" customWidth="1"/>
    <col min="1532" max="1567" width="11.7109375" style="392" customWidth="1"/>
    <col min="1568" max="1786" width="11.42578125" style="392"/>
    <col min="1787" max="1787" width="62" style="392" customWidth="1"/>
    <col min="1788" max="1823" width="11.7109375" style="392" customWidth="1"/>
    <col min="1824" max="2042" width="11.42578125" style="392"/>
    <col min="2043" max="2043" width="62" style="392" customWidth="1"/>
    <col min="2044" max="2079" width="11.7109375" style="392" customWidth="1"/>
    <col min="2080" max="2298" width="11.42578125" style="392"/>
    <col min="2299" max="2299" width="62" style="392" customWidth="1"/>
    <col min="2300" max="2335" width="11.7109375" style="392" customWidth="1"/>
    <col min="2336" max="2554" width="11.42578125" style="392"/>
    <col min="2555" max="2555" width="62" style="392" customWidth="1"/>
    <col min="2556" max="2591" width="11.7109375" style="392" customWidth="1"/>
    <col min="2592" max="2810" width="11.42578125" style="392"/>
    <col min="2811" max="2811" width="62" style="392" customWidth="1"/>
    <col min="2812" max="2847" width="11.7109375" style="392" customWidth="1"/>
    <col min="2848" max="3066" width="11.42578125" style="392"/>
    <col min="3067" max="3067" width="62" style="392" customWidth="1"/>
    <col min="3068" max="3103" width="11.7109375" style="392" customWidth="1"/>
    <col min="3104" max="3322" width="11.42578125" style="392"/>
    <col min="3323" max="3323" width="62" style="392" customWidth="1"/>
    <col min="3324" max="3359" width="11.7109375" style="392" customWidth="1"/>
    <col min="3360" max="3578" width="11.42578125" style="392"/>
    <col min="3579" max="3579" width="62" style="392" customWidth="1"/>
    <col min="3580" max="3615" width="11.7109375" style="392" customWidth="1"/>
    <col min="3616" max="3834" width="11.42578125" style="392"/>
    <col min="3835" max="3835" width="62" style="392" customWidth="1"/>
    <col min="3836" max="3871" width="11.7109375" style="392" customWidth="1"/>
    <col min="3872" max="4090" width="11.42578125" style="392"/>
    <col min="4091" max="4091" width="62" style="392" customWidth="1"/>
    <col min="4092" max="4127" width="11.7109375" style="392" customWidth="1"/>
    <col min="4128" max="4346" width="11.42578125" style="392"/>
    <col min="4347" max="4347" width="62" style="392" customWidth="1"/>
    <col min="4348" max="4383" width="11.7109375" style="392" customWidth="1"/>
    <col min="4384" max="4602" width="11.42578125" style="392"/>
    <col min="4603" max="4603" width="62" style="392" customWidth="1"/>
    <col min="4604" max="4639" width="11.7109375" style="392" customWidth="1"/>
    <col min="4640" max="4858" width="11.42578125" style="392"/>
    <col min="4859" max="4859" width="62" style="392" customWidth="1"/>
    <col min="4860" max="4895" width="11.7109375" style="392" customWidth="1"/>
    <col min="4896" max="5114" width="11.42578125" style="392"/>
    <col min="5115" max="5115" width="62" style="392" customWidth="1"/>
    <col min="5116" max="5151" width="11.7109375" style="392" customWidth="1"/>
    <col min="5152" max="5370" width="11.42578125" style="392"/>
    <col min="5371" max="5371" width="62" style="392" customWidth="1"/>
    <col min="5372" max="5407" width="11.7109375" style="392" customWidth="1"/>
    <col min="5408" max="5626" width="11.42578125" style="392"/>
    <col min="5627" max="5627" width="62" style="392" customWidth="1"/>
    <col min="5628" max="5663" width="11.7109375" style="392" customWidth="1"/>
    <col min="5664" max="5882" width="11.42578125" style="392"/>
    <col min="5883" max="5883" width="62" style="392" customWidth="1"/>
    <col min="5884" max="5919" width="11.7109375" style="392" customWidth="1"/>
    <col min="5920" max="6138" width="11.42578125" style="392"/>
    <col min="6139" max="6139" width="62" style="392" customWidth="1"/>
    <col min="6140" max="6175" width="11.7109375" style="392" customWidth="1"/>
    <col min="6176" max="6394" width="11.42578125" style="392"/>
    <col min="6395" max="6395" width="62" style="392" customWidth="1"/>
    <col min="6396" max="6431" width="11.7109375" style="392" customWidth="1"/>
    <col min="6432" max="6650" width="11.42578125" style="392"/>
    <col min="6651" max="6651" width="62" style="392" customWidth="1"/>
    <col min="6652" max="6687" width="11.7109375" style="392" customWidth="1"/>
    <col min="6688" max="6906" width="11.42578125" style="392"/>
    <col min="6907" max="6907" width="62" style="392" customWidth="1"/>
    <col min="6908" max="6943" width="11.7109375" style="392" customWidth="1"/>
    <col min="6944" max="7162" width="11.42578125" style="392"/>
    <col min="7163" max="7163" width="62" style="392" customWidth="1"/>
    <col min="7164" max="7199" width="11.7109375" style="392" customWidth="1"/>
    <col min="7200" max="7418" width="11.42578125" style="392"/>
    <col min="7419" max="7419" width="62" style="392" customWidth="1"/>
    <col min="7420" max="7455" width="11.7109375" style="392" customWidth="1"/>
    <col min="7456" max="7674" width="11.42578125" style="392"/>
    <col min="7675" max="7675" width="62" style="392" customWidth="1"/>
    <col min="7676" max="7711" width="11.7109375" style="392" customWidth="1"/>
    <col min="7712" max="7930" width="11.42578125" style="392"/>
    <col min="7931" max="7931" width="62" style="392" customWidth="1"/>
    <col min="7932" max="7967" width="11.7109375" style="392" customWidth="1"/>
    <col min="7968" max="8186" width="11.42578125" style="392"/>
    <col min="8187" max="8187" width="62" style="392" customWidth="1"/>
    <col min="8188" max="8223" width="11.7109375" style="392" customWidth="1"/>
    <col min="8224" max="8442" width="11.42578125" style="392"/>
    <col min="8443" max="8443" width="62" style="392" customWidth="1"/>
    <col min="8444" max="8479" width="11.7109375" style="392" customWidth="1"/>
    <col min="8480" max="8698" width="11.42578125" style="392"/>
    <col min="8699" max="8699" width="62" style="392" customWidth="1"/>
    <col min="8700" max="8735" width="11.7109375" style="392" customWidth="1"/>
    <col min="8736" max="8954" width="11.42578125" style="392"/>
    <col min="8955" max="8955" width="62" style="392" customWidth="1"/>
    <col min="8956" max="8991" width="11.7109375" style="392" customWidth="1"/>
    <col min="8992" max="9210" width="11.42578125" style="392"/>
    <col min="9211" max="9211" width="62" style="392" customWidth="1"/>
    <col min="9212" max="9247" width="11.7109375" style="392" customWidth="1"/>
    <col min="9248" max="9466" width="11.42578125" style="392"/>
    <col min="9467" max="9467" width="62" style="392" customWidth="1"/>
    <col min="9468" max="9503" width="11.7109375" style="392" customWidth="1"/>
    <col min="9504" max="9722" width="11.42578125" style="392"/>
    <col min="9723" max="9723" width="62" style="392" customWidth="1"/>
    <col min="9724" max="9759" width="11.7109375" style="392" customWidth="1"/>
    <col min="9760" max="9978" width="11.42578125" style="392"/>
    <col min="9979" max="9979" width="62" style="392" customWidth="1"/>
    <col min="9980" max="10015" width="11.7109375" style="392" customWidth="1"/>
    <col min="10016" max="10234" width="11.42578125" style="392"/>
    <col min="10235" max="10235" width="62" style="392" customWidth="1"/>
    <col min="10236" max="10271" width="11.7109375" style="392" customWidth="1"/>
    <col min="10272" max="10490" width="11.42578125" style="392"/>
    <col min="10491" max="10491" width="62" style="392" customWidth="1"/>
    <col min="10492" max="10527" width="11.7109375" style="392" customWidth="1"/>
    <col min="10528" max="10746" width="11.42578125" style="392"/>
    <col min="10747" max="10747" width="62" style="392" customWidth="1"/>
    <col min="10748" max="10783" width="11.7109375" style="392" customWidth="1"/>
    <col min="10784" max="11002" width="11.42578125" style="392"/>
    <col min="11003" max="11003" width="62" style="392" customWidth="1"/>
    <col min="11004" max="11039" width="11.7109375" style="392" customWidth="1"/>
    <col min="11040" max="11258" width="11.42578125" style="392"/>
    <col min="11259" max="11259" width="62" style="392" customWidth="1"/>
    <col min="11260" max="11295" width="11.7109375" style="392" customWidth="1"/>
    <col min="11296" max="11514" width="11.42578125" style="392"/>
    <col min="11515" max="11515" width="62" style="392" customWidth="1"/>
    <col min="11516" max="11551" width="11.7109375" style="392" customWidth="1"/>
    <col min="11552" max="11770" width="11.42578125" style="392"/>
    <col min="11771" max="11771" width="62" style="392" customWidth="1"/>
    <col min="11772" max="11807" width="11.7109375" style="392" customWidth="1"/>
    <col min="11808" max="12026" width="11.42578125" style="392"/>
    <col min="12027" max="12027" width="62" style="392" customWidth="1"/>
    <col min="12028" max="12063" width="11.7109375" style="392" customWidth="1"/>
    <col min="12064" max="12282" width="11.42578125" style="392"/>
    <col min="12283" max="12283" width="62" style="392" customWidth="1"/>
    <col min="12284" max="12319" width="11.7109375" style="392" customWidth="1"/>
    <col min="12320" max="12538" width="11.42578125" style="392"/>
    <col min="12539" max="12539" width="62" style="392" customWidth="1"/>
    <col min="12540" max="12575" width="11.7109375" style="392" customWidth="1"/>
    <col min="12576" max="12794" width="11.42578125" style="392"/>
    <col min="12795" max="12795" width="62" style="392" customWidth="1"/>
    <col min="12796" max="12831" width="11.7109375" style="392" customWidth="1"/>
    <col min="12832" max="13050" width="11.42578125" style="392"/>
    <col min="13051" max="13051" width="62" style="392" customWidth="1"/>
    <col min="13052" max="13087" width="11.7109375" style="392" customWidth="1"/>
    <col min="13088" max="13306" width="11.42578125" style="392"/>
    <col min="13307" max="13307" width="62" style="392" customWidth="1"/>
    <col min="13308" max="13343" width="11.7109375" style="392" customWidth="1"/>
    <col min="13344" max="13562" width="11.42578125" style="392"/>
    <col min="13563" max="13563" width="62" style="392" customWidth="1"/>
    <col min="13564" max="13599" width="11.7109375" style="392" customWidth="1"/>
    <col min="13600" max="13818" width="11.42578125" style="392"/>
    <col min="13819" max="13819" width="62" style="392" customWidth="1"/>
    <col min="13820" max="13855" width="11.7109375" style="392" customWidth="1"/>
    <col min="13856" max="14074" width="11.42578125" style="392"/>
    <col min="14075" max="14075" width="62" style="392" customWidth="1"/>
    <col min="14076" max="14111" width="11.7109375" style="392" customWidth="1"/>
    <col min="14112" max="14330" width="11.42578125" style="392"/>
    <col min="14331" max="14331" width="62" style="392" customWidth="1"/>
    <col min="14332" max="14367" width="11.7109375" style="392" customWidth="1"/>
    <col min="14368" max="14586" width="11.42578125" style="392"/>
    <col min="14587" max="14587" width="62" style="392" customWidth="1"/>
    <col min="14588" max="14623" width="11.7109375" style="392" customWidth="1"/>
    <col min="14624" max="14842" width="11.42578125" style="392"/>
    <col min="14843" max="14843" width="62" style="392" customWidth="1"/>
    <col min="14844" max="14879" width="11.7109375" style="392" customWidth="1"/>
    <col min="14880" max="15098" width="11.42578125" style="392"/>
    <col min="15099" max="15099" width="62" style="392" customWidth="1"/>
    <col min="15100" max="15135" width="11.7109375" style="392" customWidth="1"/>
    <col min="15136" max="15354" width="11.42578125" style="392"/>
    <col min="15355" max="15355" width="62" style="392" customWidth="1"/>
    <col min="15356" max="15391" width="11.7109375" style="392" customWidth="1"/>
    <col min="15392" max="15610" width="11.42578125" style="392"/>
    <col min="15611" max="15611" width="62" style="392" customWidth="1"/>
    <col min="15612" max="15647" width="11.7109375" style="392" customWidth="1"/>
    <col min="15648" max="15866" width="11.42578125" style="392"/>
    <col min="15867" max="15867" width="62" style="392" customWidth="1"/>
    <col min="15868" max="15903" width="11.7109375" style="392" customWidth="1"/>
    <col min="15904" max="16122" width="11.42578125" style="392"/>
    <col min="16123" max="16123" width="62" style="392" customWidth="1"/>
    <col min="16124" max="16159" width="11.7109375" style="392" customWidth="1"/>
    <col min="16160" max="16384" width="11.42578125" style="392"/>
  </cols>
  <sheetData>
    <row r="1" spans="1:48" ht="20.25" customHeight="1" x14ac:dyDescent="0.3">
      <c r="A1" s="391" t="s">
        <v>153</v>
      </c>
      <c r="AF1" s="588"/>
    </row>
    <row r="2" spans="1:48" ht="20.100000000000001" customHeight="1" x14ac:dyDescent="0.3">
      <c r="A2" s="391" t="s">
        <v>238</v>
      </c>
      <c r="C2" s="667"/>
      <c r="Z2" s="602"/>
      <c r="AF2" s="588"/>
    </row>
    <row r="3" spans="1:48" ht="20.100000000000001" customHeight="1" x14ac:dyDescent="0.3">
      <c r="A3" s="393" t="s">
        <v>296</v>
      </c>
      <c r="AF3" s="588"/>
    </row>
    <row r="4" spans="1:48" ht="20.100000000000001" customHeight="1" x14ac:dyDescent="0.3">
      <c r="A4" s="394" t="s">
        <v>320</v>
      </c>
      <c r="B4" s="395"/>
      <c r="C4" s="396"/>
      <c r="D4" s="397"/>
      <c r="E4" s="396"/>
      <c r="F4" s="396"/>
      <c r="G4" s="397"/>
      <c r="H4" s="396"/>
      <c r="I4" s="396"/>
      <c r="J4" s="397"/>
      <c r="K4" s="395"/>
      <c r="L4" s="396"/>
      <c r="M4" s="397"/>
      <c r="N4" s="395"/>
      <c r="O4" s="396"/>
      <c r="P4" s="397"/>
      <c r="Q4" s="395"/>
      <c r="R4" s="396"/>
      <c r="S4" s="397"/>
      <c r="T4" s="395"/>
      <c r="U4" s="396"/>
      <c r="V4" s="397"/>
      <c r="W4" s="395"/>
      <c r="X4" s="396"/>
      <c r="Y4" s="397"/>
      <c r="Z4" s="395"/>
      <c r="AA4" s="396"/>
      <c r="AB4" s="397"/>
      <c r="AC4" s="395"/>
      <c r="AD4" s="398"/>
      <c r="AE4" s="397"/>
      <c r="AF4" s="621"/>
      <c r="AG4" s="399"/>
      <c r="AH4" s="399"/>
      <c r="AI4" s="399"/>
      <c r="AJ4" s="399"/>
      <c r="AK4" s="399"/>
      <c r="AL4" s="399"/>
      <c r="AM4" s="399"/>
      <c r="AN4" s="399"/>
      <c r="AO4" s="399"/>
      <c r="AP4" s="399"/>
      <c r="AQ4" s="399"/>
      <c r="AR4" s="399"/>
      <c r="AS4" s="399"/>
      <c r="AT4" s="399"/>
      <c r="AU4" s="399"/>
      <c r="AV4" s="399"/>
    </row>
    <row r="5" spans="1:48" ht="20.100000000000001" customHeight="1" x14ac:dyDescent="0.3">
      <c r="A5" s="400"/>
      <c r="B5" s="802" t="s">
        <v>156</v>
      </c>
      <c r="C5" s="803"/>
      <c r="D5" s="804"/>
      <c r="E5" s="803"/>
      <c r="F5" s="803"/>
      <c r="G5" s="804"/>
      <c r="H5" s="803" t="s">
        <v>157</v>
      </c>
      <c r="I5" s="803"/>
      <c r="J5" s="804"/>
      <c r="K5" s="802" t="s">
        <v>158</v>
      </c>
      <c r="L5" s="803"/>
      <c r="M5" s="804"/>
      <c r="N5" s="635" t="s">
        <v>159</v>
      </c>
      <c r="O5" s="636"/>
      <c r="P5" s="637"/>
      <c r="Q5" s="635"/>
      <c r="R5" s="636"/>
      <c r="S5" s="637"/>
      <c r="T5" s="802" t="s">
        <v>160</v>
      </c>
      <c r="U5" s="803"/>
      <c r="V5" s="804"/>
      <c r="W5" s="802" t="s">
        <v>65</v>
      </c>
      <c r="X5" s="803"/>
      <c r="Y5" s="804"/>
      <c r="Z5" s="802" t="s">
        <v>68</v>
      </c>
      <c r="AA5" s="803"/>
      <c r="AB5" s="804"/>
      <c r="AC5" s="802" t="s">
        <v>256</v>
      </c>
      <c r="AD5" s="803"/>
      <c r="AE5" s="804"/>
      <c r="AG5" s="640"/>
      <c r="AH5" s="816"/>
      <c r="AI5" s="816"/>
      <c r="AJ5" s="816"/>
      <c r="AK5" s="816"/>
      <c r="AL5" s="816"/>
      <c r="AM5" s="816"/>
      <c r="AN5" s="816"/>
      <c r="AO5" s="816"/>
      <c r="AP5" s="816"/>
      <c r="AQ5" s="816"/>
      <c r="AR5" s="816"/>
      <c r="AS5" s="816"/>
      <c r="AT5" s="816"/>
      <c r="AU5" s="816"/>
      <c r="AV5" s="816"/>
    </row>
    <row r="6" spans="1:48" ht="20.100000000000001" customHeight="1" x14ac:dyDescent="0.3">
      <c r="A6" s="401"/>
      <c r="B6" s="805" t="s">
        <v>162</v>
      </c>
      <c r="C6" s="806"/>
      <c r="D6" s="807"/>
      <c r="E6" s="806" t="s">
        <v>421</v>
      </c>
      <c r="F6" s="806"/>
      <c r="G6" s="807"/>
      <c r="H6" s="806" t="s">
        <v>162</v>
      </c>
      <c r="I6" s="806"/>
      <c r="J6" s="807"/>
      <c r="K6" s="805" t="s">
        <v>163</v>
      </c>
      <c r="L6" s="806"/>
      <c r="M6" s="807"/>
      <c r="N6" s="805" t="s">
        <v>61</v>
      </c>
      <c r="O6" s="806"/>
      <c r="P6" s="807"/>
      <c r="Q6" s="805" t="s">
        <v>63</v>
      </c>
      <c r="R6" s="806"/>
      <c r="S6" s="807"/>
      <c r="T6" s="805" t="s">
        <v>161</v>
      </c>
      <c r="U6" s="806"/>
      <c r="V6" s="807"/>
      <c r="W6" s="805" t="s">
        <v>430</v>
      </c>
      <c r="X6" s="806"/>
      <c r="Y6" s="807"/>
      <c r="Z6" s="805" t="s">
        <v>162</v>
      </c>
      <c r="AA6" s="806"/>
      <c r="AB6" s="807"/>
      <c r="AC6" s="805" t="s">
        <v>257</v>
      </c>
      <c r="AD6" s="806"/>
      <c r="AE6" s="807"/>
      <c r="AG6" s="640"/>
      <c r="AH6" s="816"/>
      <c r="AI6" s="816"/>
      <c r="AJ6" s="816"/>
      <c r="AK6" s="816"/>
      <c r="AL6" s="816"/>
      <c r="AM6" s="816"/>
      <c r="AN6" s="816"/>
      <c r="AO6" s="816"/>
      <c r="AP6" s="816"/>
      <c r="AQ6" s="816"/>
      <c r="AR6" s="816"/>
      <c r="AS6" s="816"/>
      <c r="AT6" s="816"/>
      <c r="AU6" s="816"/>
      <c r="AV6" s="816"/>
    </row>
    <row r="7" spans="1:48" ht="20.100000000000001" customHeight="1" x14ac:dyDescent="0.3">
      <c r="A7" s="401"/>
      <c r="B7" s="402"/>
      <c r="C7" s="402"/>
      <c r="D7" s="403" t="s">
        <v>76</v>
      </c>
      <c r="E7" s="402"/>
      <c r="F7" s="402"/>
      <c r="G7" s="403" t="s">
        <v>76</v>
      </c>
      <c r="H7" s="402"/>
      <c r="I7" s="402"/>
      <c r="J7" s="403" t="s">
        <v>76</v>
      </c>
      <c r="K7" s="402"/>
      <c r="L7" s="402"/>
      <c r="M7" s="403" t="s">
        <v>76</v>
      </c>
      <c r="N7" s="402"/>
      <c r="O7" s="402"/>
      <c r="P7" s="403" t="s">
        <v>76</v>
      </c>
      <c r="Q7" s="402"/>
      <c r="R7" s="402"/>
      <c r="S7" s="403" t="s">
        <v>76</v>
      </c>
      <c r="T7" s="402"/>
      <c r="U7" s="402"/>
      <c r="V7" s="403" t="s">
        <v>76</v>
      </c>
      <c r="W7" s="402"/>
      <c r="X7" s="402"/>
      <c r="Y7" s="403" t="s">
        <v>76</v>
      </c>
      <c r="Z7" s="402"/>
      <c r="AA7" s="402"/>
      <c r="AB7" s="403" t="s">
        <v>76</v>
      </c>
      <c r="AC7" s="402"/>
      <c r="AD7" s="402"/>
      <c r="AE7" s="403" t="s">
        <v>76</v>
      </c>
      <c r="AG7" s="640"/>
      <c r="AH7" s="640"/>
      <c r="AI7" s="640"/>
      <c r="AJ7" s="640"/>
      <c r="AK7" s="640"/>
      <c r="AL7" s="640"/>
      <c r="AM7" s="640"/>
      <c r="AN7" s="640"/>
      <c r="AO7" s="640"/>
      <c r="AP7" s="640"/>
      <c r="AQ7" s="640"/>
      <c r="AR7" s="640"/>
      <c r="AS7" s="640"/>
      <c r="AT7" s="640"/>
      <c r="AU7" s="640"/>
      <c r="AV7" s="640"/>
    </row>
    <row r="8" spans="1:48" ht="20.100000000000001" customHeight="1" x14ac:dyDescent="0.25">
      <c r="A8" s="404" t="s">
        <v>259</v>
      </c>
      <c r="B8" s="405">
        <v>2023</v>
      </c>
      <c r="C8" s="405">
        <v>2024</v>
      </c>
      <c r="D8" s="406" t="s">
        <v>78</v>
      </c>
      <c r="E8" s="405">
        <v>2023</v>
      </c>
      <c r="F8" s="405">
        <v>2024</v>
      </c>
      <c r="G8" s="406" t="s">
        <v>78</v>
      </c>
      <c r="H8" s="405">
        <v>2023</v>
      </c>
      <c r="I8" s="405">
        <v>2024</v>
      </c>
      <c r="J8" s="406" t="s">
        <v>78</v>
      </c>
      <c r="K8" s="405">
        <v>2023</v>
      </c>
      <c r="L8" s="405">
        <v>2024</v>
      </c>
      <c r="M8" s="406" t="s">
        <v>78</v>
      </c>
      <c r="N8" s="405">
        <v>2023</v>
      </c>
      <c r="O8" s="405">
        <v>2024</v>
      </c>
      <c r="P8" s="406" t="s">
        <v>78</v>
      </c>
      <c r="Q8" s="405">
        <v>2023</v>
      </c>
      <c r="R8" s="405">
        <v>2024</v>
      </c>
      <c r="S8" s="406" t="s">
        <v>78</v>
      </c>
      <c r="T8" s="405">
        <v>2023</v>
      </c>
      <c r="U8" s="405">
        <v>2024</v>
      </c>
      <c r="V8" s="406" t="s">
        <v>78</v>
      </c>
      <c r="W8" s="405">
        <v>2023</v>
      </c>
      <c r="X8" s="405">
        <v>2024</v>
      </c>
      <c r="Y8" s="406" t="s">
        <v>78</v>
      </c>
      <c r="Z8" s="405">
        <v>2023</v>
      </c>
      <c r="AA8" s="405">
        <v>2024</v>
      </c>
      <c r="AB8" s="406" t="s">
        <v>78</v>
      </c>
      <c r="AC8" s="405">
        <v>2023</v>
      </c>
      <c r="AD8" s="405">
        <v>2024</v>
      </c>
      <c r="AE8" s="406" t="s">
        <v>78</v>
      </c>
      <c r="AG8" s="407"/>
      <c r="AH8" s="408"/>
      <c r="AI8" s="408"/>
      <c r="AJ8" s="407"/>
      <c r="AK8" s="408"/>
      <c r="AL8" s="408"/>
      <c r="AM8" s="407"/>
      <c r="AN8" s="408"/>
      <c r="AO8" s="408"/>
      <c r="AP8" s="407"/>
      <c r="AQ8" s="408"/>
      <c r="AR8" s="408"/>
      <c r="AS8" s="407"/>
      <c r="AT8" s="408"/>
      <c r="AU8" s="408"/>
      <c r="AV8" s="407"/>
    </row>
    <row r="9" spans="1:48" s="620" customFormat="1" ht="20.100000000000001" customHeight="1" x14ac:dyDescent="0.3">
      <c r="A9" s="528"/>
      <c r="B9" s="410"/>
      <c r="C9" s="417"/>
      <c r="D9" s="417"/>
      <c r="E9" s="622"/>
      <c r="F9" s="417"/>
      <c r="G9" s="417"/>
      <c r="H9" s="622"/>
      <c r="I9" s="417"/>
      <c r="J9" s="417"/>
      <c r="K9" s="623"/>
      <c r="L9" s="386"/>
      <c r="M9" s="417"/>
      <c r="N9" s="417"/>
      <c r="O9" s="417"/>
      <c r="P9" s="417"/>
      <c r="Q9" s="623"/>
      <c r="R9" s="386"/>
      <c r="S9" s="417"/>
      <c r="T9" s="410"/>
      <c r="U9" s="417"/>
      <c r="V9" s="417"/>
      <c r="W9" s="410"/>
      <c r="X9" s="417"/>
      <c r="Y9" s="409"/>
      <c r="Z9" s="624"/>
      <c r="AA9" s="417"/>
      <c r="AB9" s="417"/>
      <c r="AC9" s="417"/>
      <c r="AD9" s="417"/>
      <c r="AE9" s="417"/>
    </row>
    <row r="10" spans="1:48" s="626" customFormat="1" ht="20.100000000000001" customHeight="1" x14ac:dyDescent="0.3">
      <c r="A10" s="603" t="s">
        <v>381</v>
      </c>
      <c r="B10" s="738">
        <v>19.32</v>
      </c>
      <c r="C10" s="738">
        <v>18.52</v>
      </c>
      <c r="D10" s="417"/>
      <c r="E10" s="417">
        <v>35.12002204952087</v>
      </c>
      <c r="F10" s="417">
        <v>31.026390136867626</v>
      </c>
      <c r="G10" s="417"/>
      <c r="H10" s="417">
        <v>31.2</v>
      </c>
      <c r="I10" s="417">
        <v>27.9</v>
      </c>
      <c r="J10" s="417"/>
      <c r="K10" s="386">
        <v>6.3</v>
      </c>
      <c r="L10" s="386">
        <v>7.14</v>
      </c>
      <c r="M10" s="417"/>
      <c r="N10" s="417">
        <v>21.250655152829655</v>
      </c>
      <c r="O10" s="417">
        <v>24</v>
      </c>
      <c r="P10" s="417"/>
      <c r="Q10" s="386">
        <v>32.6</v>
      </c>
      <c r="R10" s="417"/>
      <c r="S10" s="417"/>
      <c r="T10" s="410"/>
      <c r="U10" s="417"/>
      <c r="V10" s="417"/>
      <c r="W10" s="625">
        <v>34.905170373853068</v>
      </c>
      <c r="X10" s="446">
        <v>38.365474356170942</v>
      </c>
      <c r="Y10" s="417"/>
      <c r="Z10" s="625"/>
      <c r="AA10" s="446"/>
      <c r="AB10" s="417"/>
      <c r="AC10" s="417"/>
      <c r="AD10" s="417"/>
      <c r="AE10" s="417"/>
    </row>
    <row r="11" spans="1:48" s="626" customFormat="1" ht="20.100000000000001" customHeight="1" x14ac:dyDescent="0.3">
      <c r="A11" s="751" t="s">
        <v>483</v>
      </c>
      <c r="B11" s="739">
        <v>1151.18</v>
      </c>
      <c r="C11" s="735">
        <v>0</v>
      </c>
      <c r="D11" s="418">
        <f>IF(B11=0, "    ---- ", IF(ABS(ROUND(100/B11*C11-100,1))&lt;999,ROUND(100/B11*C11-100,1),IF(ROUND(100/B11*C11-100,1)&gt;999,999,-999)))</f>
        <v>-100</v>
      </c>
      <c r="E11" s="418">
        <v>112.97187581999999</v>
      </c>
      <c r="F11" s="76"/>
      <c r="G11" s="418">
        <f t="shared" ref="G11" si="0">IF(E11=0, "    ---- ", IF(ABS(ROUND(100/E11*F11-100,1))&lt;999,ROUND(100/E11*F11-100,1),IF(ROUND(100/E11*F11-100,1)&gt;999,999,-999)))</f>
        <v>-100</v>
      </c>
      <c r="H11" s="627"/>
      <c r="I11" s="76"/>
      <c r="J11" s="418"/>
      <c r="K11" s="387">
        <v>1</v>
      </c>
      <c r="L11" s="76"/>
      <c r="M11" s="418">
        <f>IF(K11=0, "    ---- ", IF(ABS(ROUND(100/K11*L11-100,1))&lt;999,ROUND(100/K11*L11-100,1),IF(ROUND(100/K11*L11-100,1)&gt;999,999,-999)))</f>
        <v>-100</v>
      </c>
      <c r="N11" s="418"/>
      <c r="O11" s="76"/>
      <c r="P11" s="418" t="str">
        <f>IF(N11=0, "    ---- ", IF(ABS(ROUND(100/N11*O11-100,1))&lt;999,ROUND(100/N11*O11-100,1),IF(ROUND(100/N11*O11-100,1)&gt;999,999,-999)))</f>
        <v xml:space="preserve">    ---- </v>
      </c>
      <c r="Q11" s="418">
        <v>2100</v>
      </c>
      <c r="R11" s="76"/>
      <c r="S11" s="418">
        <f>IF(Q11=0, "    ---- ", IF(ABS(ROUND(100/Q11*R11-100,1))&lt;999,ROUND(100/Q11*R11-100,1),IF(ROUND(100/Q11*R11-100,1)&gt;999,999,-999)))</f>
        <v>-100</v>
      </c>
      <c r="T11" s="412"/>
      <c r="U11" s="417"/>
      <c r="V11" s="418"/>
      <c r="W11" s="596">
        <v>2707</v>
      </c>
      <c r="X11" s="76"/>
      <c r="Y11" s="418">
        <f>IF(W11=0, "    ---- ", IF(ABS(ROUND(100/W11*X11-100,1))&lt;999,ROUND(100/W11*X11-100,1),IF(ROUND(100/W11*X11-100,1)&gt;999,999,-999)))</f>
        <v>-100</v>
      </c>
      <c r="Z11" s="596"/>
      <c r="AA11" s="76"/>
      <c r="AB11" s="418"/>
      <c r="AC11" s="418">
        <f>B11+E11+H11+K11+N11+Q11+T11+W11+Z11</f>
        <v>6072.15187582</v>
      </c>
      <c r="AD11" s="418"/>
      <c r="AE11" s="418">
        <f>IF(AC11=0, "    ---- ", IF(ABS(ROUND(100/AC11*AD11-100,1))&lt;999,ROUND(100/AC11*AD11-100,1),IF(ROUND(100/AC11*AD11-100,1)&gt;999,999,-999)))</f>
        <v>-100</v>
      </c>
    </row>
    <row r="12" spans="1:48" s="626" customFormat="1" ht="20.100000000000001" customHeight="1" x14ac:dyDescent="0.3">
      <c r="A12" s="603" t="s">
        <v>441</v>
      </c>
      <c r="B12" s="739"/>
      <c r="C12" s="739">
        <v>7680.7510000000002</v>
      </c>
      <c r="D12" s="418" t="str">
        <f t="shared" ref="D12" si="1">IF(B12=0, "    ---- ", IF(ABS(ROUND(100/B12*C12-100,1))&lt;999,ROUND(100/B12*C12-100,1),IF(ROUND(100/B12*C12-100,1)&gt;999,999,-999)))</f>
        <v xml:space="preserve">    ---- </v>
      </c>
      <c r="E12" s="418"/>
      <c r="F12" s="418"/>
      <c r="G12" s="418"/>
      <c r="H12" s="627"/>
      <c r="I12" s="418"/>
      <c r="J12" s="418"/>
      <c r="K12" s="387"/>
      <c r="L12" s="425">
        <v>315.3</v>
      </c>
      <c r="M12" s="418" t="str">
        <f t="shared" ref="M12:M13" si="2">IF(K12=0, "    ---- ", IF(ABS(ROUND(100/K12*L12-100,1))&lt;999,ROUND(100/K12*L12-100,1),IF(ROUND(100/K12*L12-100,1)&gt;999,999,-999)))</f>
        <v xml:space="preserve">    ---- </v>
      </c>
      <c r="N12" s="418">
        <v>101801.57428620999</v>
      </c>
      <c r="O12" s="418">
        <v>123236</v>
      </c>
      <c r="P12" s="418">
        <f>IF(N12=0, "    ---- ", IF(ABS(ROUND(100/N12*O12-100,1))&lt;999,ROUND(100/N12*O12-100,1),IF(ROUND(100/N12*O12-100,1)&gt;999,999,-999)))</f>
        <v>21.1</v>
      </c>
      <c r="Q12" s="387"/>
      <c r="R12" s="387">
        <v>5899</v>
      </c>
      <c r="S12" s="418" t="str">
        <f>IF(Q12=0, "    ---- ", IF(ABS(ROUND(100/Q12*R12-100,1))&lt;999,ROUND(100/Q12*R12-100,1),IF(ROUND(100/Q12*R12-100,1)&gt;999,999,-999)))</f>
        <v xml:space="preserve">    ---- </v>
      </c>
      <c r="T12" s="412">
        <v>30008</v>
      </c>
      <c r="U12" s="418">
        <v>32468</v>
      </c>
      <c r="V12" s="418">
        <f>IF(T12=0, "    ---- ", IF(ABS(ROUND(100/T12*U12-100,1))&lt;999,ROUND(100/T12*U12-100,1),IF(ROUND(100/T12*U12-100,1)&gt;999,999,-999)))</f>
        <v>8.1999999999999993</v>
      </c>
      <c r="W12" s="596"/>
      <c r="X12" s="439">
        <v>3722</v>
      </c>
      <c r="Y12" s="418" t="str">
        <f>IF(W12=0, "    ---- ", IF(ABS(ROUND(100/W12*X12-100,1))&lt;999,ROUND(100/W12*X12-100,1),IF(ROUND(100/W12*X12-100,1)&gt;999,999,-999)))</f>
        <v xml:space="preserve">    ---- </v>
      </c>
      <c r="Z12" s="596">
        <v>2071</v>
      </c>
      <c r="AA12" s="439">
        <v>14128</v>
      </c>
      <c r="AB12" s="418">
        <f>IF(Z12=0, "    ---- ", IF(ABS(ROUND(100/Z12*AA12-100,1))&lt;999,ROUND(100/Z12*AA12-100,1),IF(ROUND(100/Z12*AA12-100,1)&gt;999,999,-999)))</f>
        <v>582.20000000000005</v>
      </c>
      <c r="AC12" s="418">
        <f t="shared" ref="AC12:AD12" si="3">B12+E12+H12+K12+N12+Q12+T12+W12+Z12</f>
        <v>133880.57428621</v>
      </c>
      <c r="AD12" s="418">
        <f t="shared" si="3"/>
        <v>187449.05100000001</v>
      </c>
      <c r="AE12" s="418">
        <f>IF(AC12=0, "    ---- ", IF(ABS(ROUND(100/AC12*AD12-100,1))&lt;999,ROUND(100/AC12*AD12-100,1),IF(ROUND(100/AC12*AD12-100,1)&gt;999,999,-999)))</f>
        <v>40</v>
      </c>
    </row>
    <row r="13" spans="1:48" s="626" customFormat="1" ht="20.100000000000001" customHeight="1" x14ac:dyDescent="0.3">
      <c r="A13" s="605" t="s">
        <v>422</v>
      </c>
      <c r="B13" s="740">
        <v>-3186</v>
      </c>
      <c r="C13" s="740">
        <v>-6022.8429999999998</v>
      </c>
      <c r="D13" s="419">
        <f>IF(B13=0, "    ---- ", IF(ABS(ROUND(100/B13*C13-100,1))&lt;999,ROUND(100/B13*C13-100,1),IF(ROUND(100/B13*C13-100,1)&gt;999,999,-999)))</f>
        <v>89</v>
      </c>
      <c r="E13" s="419">
        <v>28</v>
      </c>
      <c r="F13" s="419">
        <v>36.5</v>
      </c>
      <c r="G13" s="419">
        <f t="shared" ref="G13" si="4">IF(E13=0, "    ---- ", IF(ABS(ROUND(100/E13*F13-100,1))&lt;999,ROUND(100/E13*F13-100,1),IF(ROUND(100/E13*F13-100,1)&gt;999,999,-999)))</f>
        <v>30.4</v>
      </c>
      <c r="H13" s="628"/>
      <c r="I13" s="419"/>
      <c r="J13" s="419"/>
      <c r="K13" s="388">
        <v>-16</v>
      </c>
      <c r="L13" s="388">
        <v>-15</v>
      </c>
      <c r="M13" s="419">
        <f t="shared" si="2"/>
        <v>-6.3</v>
      </c>
      <c r="N13" s="419">
        <v>-1594.904</v>
      </c>
      <c r="O13" s="419">
        <v>-12501</v>
      </c>
      <c r="P13" s="419">
        <f>IF(N13=0, "    ---- ", IF(ABS(ROUND(100/N13*O13-100,1))&lt;999,ROUND(100/N13*O13-100,1),IF(ROUND(100/N13*O13-100,1)&gt;999,999,-999)))</f>
        <v>683.8</v>
      </c>
      <c r="Q13" s="388">
        <v>-1978</v>
      </c>
      <c r="R13" s="388">
        <v>-2969</v>
      </c>
      <c r="S13" s="419">
        <f>IF(Q13=0, "    ---- ", IF(ABS(ROUND(100/Q13*R13-100,1))&lt;999,ROUND(100/Q13*R13-100,1),IF(ROUND(100/Q13*R13-100,1)&gt;999,999,-999)))</f>
        <v>50.1</v>
      </c>
      <c r="T13" s="414"/>
      <c r="U13" s="419"/>
      <c r="V13" s="419"/>
      <c r="W13" s="606">
        <v>-46.948</v>
      </c>
      <c r="X13" s="441">
        <v>-63.011000000000003</v>
      </c>
      <c r="Y13" s="419">
        <f>IF(W13=0, "    ---- ", IF(ABS(ROUND(100/W13*X13-100,1))&lt;999,ROUND(100/W13*X13-100,1),IF(ROUND(100/W13*X13-100,1)&gt;999,999,-999)))</f>
        <v>34.200000000000003</v>
      </c>
      <c r="Z13" s="606"/>
      <c r="AA13" s="441"/>
      <c r="AB13" s="419"/>
      <c r="AC13" s="419">
        <f>B13+E13+H13+K13+N13+Q13+T13+W13+Z13</f>
        <v>-6793.8520000000008</v>
      </c>
      <c r="AD13" s="419">
        <f>C13+F13+I13+L13+O13+R13+U13+X13+AA13</f>
        <v>-21534.353999999999</v>
      </c>
      <c r="AE13" s="419">
        <f>IF(AC13=0, "    ---- ", IF(ABS(ROUND(100/AC13*AD13-100,1))&lt;999,ROUND(100/AC13*AD13-100,1),IF(ROUND(100/AC13*AD13-100,1)&gt;999,999,-999)))</f>
        <v>217</v>
      </c>
    </row>
    <row r="14" spans="1:48" s="626" customFormat="1" ht="20.100000000000001" customHeight="1" x14ac:dyDescent="0.3">
      <c r="A14" s="447"/>
      <c r="B14" s="738"/>
      <c r="C14" s="738"/>
      <c r="D14" s="446"/>
      <c r="E14" s="629"/>
      <c r="F14" s="746"/>
      <c r="G14" s="446"/>
      <c r="H14" s="629"/>
      <c r="I14" s="446"/>
      <c r="J14" s="446"/>
      <c r="K14" s="444"/>
      <c r="L14" s="444"/>
      <c r="M14" s="446"/>
      <c r="N14" s="446"/>
      <c r="O14" s="446"/>
      <c r="P14" s="446"/>
      <c r="Q14" s="444"/>
      <c r="R14" s="444"/>
      <c r="S14" s="446"/>
      <c r="T14" s="446"/>
      <c r="U14" s="446"/>
      <c r="V14" s="446"/>
      <c r="W14" s="446"/>
      <c r="X14" s="446"/>
      <c r="Y14" s="446"/>
      <c r="Z14" s="446"/>
      <c r="AA14" s="446"/>
      <c r="AB14" s="446"/>
      <c r="AC14" s="446"/>
      <c r="AD14" s="446"/>
      <c r="AE14" s="446"/>
    </row>
    <row r="15" spans="1:48" s="626" customFormat="1" ht="20.100000000000001" customHeight="1" x14ac:dyDescent="0.3">
      <c r="A15" s="447" t="s">
        <v>382</v>
      </c>
      <c r="B15" s="741"/>
      <c r="C15" s="741"/>
      <c r="D15" s="445"/>
      <c r="E15" s="630"/>
      <c r="F15" s="445"/>
      <c r="G15" s="445"/>
      <c r="H15" s="630"/>
      <c r="I15" s="445"/>
      <c r="J15" s="445"/>
      <c r="K15" s="445"/>
      <c r="L15" s="445"/>
      <c r="M15" s="445"/>
      <c r="N15" s="445"/>
      <c r="O15" s="445"/>
      <c r="P15" s="445"/>
      <c r="Q15" s="445"/>
      <c r="R15" s="445"/>
      <c r="S15" s="445"/>
      <c r="T15" s="445"/>
      <c r="U15" s="445"/>
      <c r="V15" s="445"/>
      <c r="W15" s="445"/>
      <c r="X15" s="445"/>
      <c r="Y15" s="445"/>
      <c r="Z15" s="445"/>
      <c r="AA15" s="445"/>
      <c r="AB15" s="445"/>
      <c r="AC15" s="440"/>
      <c r="AD15" s="445"/>
      <c r="AE15" s="445"/>
    </row>
    <row r="16" spans="1:48" s="626" customFormat="1" ht="19.5" customHeight="1" x14ac:dyDescent="0.35">
      <c r="A16" s="747" t="s">
        <v>487</v>
      </c>
      <c r="B16" s="741"/>
      <c r="C16" s="741"/>
      <c r="D16" s="445"/>
      <c r="E16" s="630"/>
      <c r="F16" s="445"/>
      <c r="G16" s="445"/>
      <c r="H16" s="630"/>
      <c r="I16" s="445"/>
      <c r="J16" s="445"/>
      <c r="K16" s="445"/>
      <c r="L16" s="445"/>
      <c r="M16" s="445"/>
      <c r="N16" s="445"/>
      <c r="O16" s="445"/>
      <c r="P16" s="445"/>
      <c r="Q16" s="445"/>
      <c r="R16" s="445"/>
      <c r="S16" s="445"/>
      <c r="T16" s="445"/>
      <c r="U16" s="445"/>
      <c r="V16" s="445"/>
      <c r="W16" s="445"/>
      <c r="X16" s="445"/>
      <c r="Y16" s="445"/>
      <c r="Z16" s="445"/>
      <c r="AA16" s="445"/>
      <c r="AB16" s="445"/>
      <c r="AC16" s="440"/>
      <c r="AD16" s="445"/>
      <c r="AE16" s="445"/>
    </row>
    <row r="17" spans="1:31" s="626" customFormat="1" ht="20.100000000000001" customHeight="1" x14ac:dyDescent="0.35">
      <c r="A17" s="748" t="s">
        <v>488</v>
      </c>
      <c r="B17" s="741"/>
      <c r="C17" s="741">
        <v>3.09545287512214</v>
      </c>
      <c r="D17" s="445"/>
      <c r="E17" s="445"/>
      <c r="F17" s="445">
        <v>2.1</v>
      </c>
      <c r="G17" s="445"/>
      <c r="H17" s="445"/>
      <c r="I17" s="445"/>
      <c r="J17" s="445"/>
      <c r="K17" s="445"/>
      <c r="L17" s="445">
        <v>2.8594999999999997</v>
      </c>
      <c r="M17" s="445"/>
      <c r="N17" s="445"/>
      <c r="O17" s="445">
        <v>8.9600000000000009</v>
      </c>
      <c r="P17" s="445"/>
      <c r="Q17" s="445"/>
      <c r="R17" s="445">
        <v>3.9249999999999998</v>
      </c>
      <c r="S17" s="445"/>
      <c r="T17" s="445"/>
      <c r="U17" s="445">
        <v>8.17</v>
      </c>
      <c r="V17" s="445"/>
      <c r="W17" s="445"/>
      <c r="X17" s="445">
        <v>3.228635588250413</v>
      </c>
      <c r="Y17" s="445"/>
      <c r="Z17" s="445"/>
      <c r="AA17" s="445">
        <v>3.1324999999999998</v>
      </c>
      <c r="AB17" s="445"/>
      <c r="AC17" s="440"/>
      <c r="AD17" s="445"/>
      <c r="AE17" s="445"/>
    </row>
    <row r="18" spans="1:31" s="626" customFormat="1" ht="20.100000000000001" customHeight="1" x14ac:dyDescent="0.3">
      <c r="A18" s="749">
        <v>2024</v>
      </c>
      <c r="B18" s="741"/>
      <c r="C18" s="741"/>
      <c r="D18" s="445"/>
      <c r="E18" s="445"/>
      <c r="F18" s="620">
        <v>3.82</v>
      </c>
      <c r="G18" s="445"/>
      <c r="H18" s="630"/>
      <c r="I18" s="445"/>
      <c r="J18" s="445"/>
      <c r="K18" s="445"/>
      <c r="L18" s="445"/>
      <c r="M18" s="445"/>
      <c r="N18" s="445"/>
      <c r="O18" s="445"/>
      <c r="P18" s="445"/>
      <c r="Q18" s="445"/>
      <c r="R18" s="445"/>
      <c r="S18" s="445"/>
      <c r="T18" s="445"/>
      <c r="U18" s="445"/>
      <c r="V18" s="445"/>
      <c r="W18" s="445"/>
      <c r="X18" s="445"/>
      <c r="Y18" s="445"/>
      <c r="Z18" s="445"/>
      <c r="AA18" s="445"/>
      <c r="AB18" s="445"/>
      <c r="AC18" s="440"/>
      <c r="AD18" s="445"/>
      <c r="AE18" s="445"/>
    </row>
    <row r="19" spans="1:31" s="620" customFormat="1" ht="20.100000000000001" customHeight="1" x14ac:dyDescent="0.3">
      <c r="A19" s="749">
        <v>2023</v>
      </c>
      <c r="B19" s="738"/>
      <c r="C19" s="738">
        <v>2.99</v>
      </c>
      <c r="D19" s="446"/>
      <c r="E19" s="446"/>
      <c r="F19" s="446">
        <v>2.4</v>
      </c>
      <c r="G19" s="446"/>
      <c r="H19" s="629"/>
      <c r="I19" s="446"/>
      <c r="J19" s="446"/>
      <c r="K19" s="446"/>
      <c r="L19" s="446">
        <v>2.2519999999999998</v>
      </c>
      <c r="M19" s="446"/>
      <c r="N19" s="446"/>
      <c r="O19" s="446">
        <v>5.8771634759466895</v>
      </c>
      <c r="P19" s="446"/>
      <c r="Q19" s="446"/>
      <c r="R19" s="446">
        <v>2.5</v>
      </c>
      <c r="S19" s="446"/>
      <c r="T19" s="446"/>
      <c r="U19" s="446"/>
      <c r="V19" s="446"/>
      <c r="W19" s="446"/>
      <c r="X19" s="446">
        <v>0.43335931663717198</v>
      </c>
      <c r="Y19" s="446"/>
      <c r="Z19" s="446"/>
      <c r="AA19" s="446">
        <v>1.83</v>
      </c>
      <c r="AB19" s="446"/>
      <c r="AC19" s="439"/>
      <c r="AD19" s="446"/>
      <c r="AE19" s="446"/>
    </row>
    <row r="20" spans="1:31" s="626" customFormat="1" ht="20.100000000000001" customHeight="1" x14ac:dyDescent="0.3">
      <c r="A20" s="749">
        <v>2022</v>
      </c>
      <c r="B20" s="738"/>
      <c r="C20" s="738">
        <v>2.21</v>
      </c>
      <c r="D20" s="446"/>
      <c r="E20" s="446"/>
      <c r="F20" s="446">
        <v>0.32</v>
      </c>
      <c r="G20" s="446"/>
      <c r="H20" s="629"/>
      <c r="I20" s="446"/>
      <c r="J20" s="446"/>
      <c r="K20" s="446"/>
      <c r="L20" s="446">
        <v>2.0859999999999999</v>
      </c>
      <c r="M20" s="446"/>
      <c r="N20" s="446"/>
      <c r="O20" s="446">
        <v>-1.1419025277987549</v>
      </c>
      <c r="P20" s="446"/>
      <c r="Q20" s="446"/>
      <c r="R20" s="446">
        <v>3.3</v>
      </c>
      <c r="S20" s="446"/>
      <c r="T20" s="446"/>
      <c r="U20" s="446"/>
      <c r="V20" s="446"/>
      <c r="W20" s="446"/>
      <c r="X20" s="446">
        <v>0.42079774499987899</v>
      </c>
      <c r="Y20" s="446"/>
      <c r="Z20" s="446"/>
      <c r="AA20" s="446">
        <v>1.42</v>
      </c>
      <c r="AB20" s="446"/>
      <c r="AC20" s="439"/>
      <c r="AD20" s="446"/>
      <c r="AE20" s="446"/>
    </row>
    <row r="21" spans="1:31" s="626" customFormat="1" ht="20.100000000000001" customHeight="1" x14ac:dyDescent="0.3">
      <c r="A21" s="749">
        <v>2021</v>
      </c>
      <c r="B21" s="738"/>
      <c r="C21" s="738">
        <v>4.25</v>
      </c>
      <c r="D21" s="446"/>
      <c r="E21" s="446"/>
      <c r="F21" s="446">
        <v>1.86</v>
      </c>
      <c r="G21" s="446"/>
      <c r="H21" s="629"/>
      <c r="I21" s="446"/>
      <c r="J21" s="446"/>
      <c r="K21" s="446"/>
      <c r="L21" s="446">
        <v>3.77</v>
      </c>
      <c r="M21" s="446"/>
      <c r="N21" s="446"/>
      <c r="O21" s="446">
        <v>4.972816929202617</v>
      </c>
      <c r="P21" s="446"/>
      <c r="Q21" s="446"/>
      <c r="R21" s="446">
        <v>6.4</v>
      </c>
      <c r="S21" s="446"/>
      <c r="T21" s="446"/>
      <c r="U21" s="446">
        <v>8.1</v>
      </c>
      <c r="V21" s="446"/>
      <c r="W21" s="446"/>
      <c r="X21" s="446">
        <v>9.7832972045713404</v>
      </c>
      <c r="Y21" s="446"/>
      <c r="Z21" s="446"/>
      <c r="AA21" s="446">
        <v>4.5199999999999996</v>
      </c>
      <c r="AB21" s="446"/>
      <c r="AC21" s="439"/>
      <c r="AD21" s="446"/>
      <c r="AE21" s="446"/>
    </row>
    <row r="22" spans="1:31" s="626" customFormat="1" ht="20.100000000000001" customHeight="1" x14ac:dyDescent="0.3">
      <c r="A22" s="749">
        <v>2020</v>
      </c>
      <c r="B22" s="738"/>
      <c r="C22" s="738">
        <v>2.9318115004885601</v>
      </c>
      <c r="D22" s="446"/>
      <c r="E22" s="446"/>
      <c r="G22" s="446"/>
      <c r="H22" s="629"/>
      <c r="I22" s="446"/>
      <c r="J22" s="446"/>
      <c r="K22" s="446"/>
      <c r="L22" s="446">
        <v>3.33</v>
      </c>
      <c r="M22" s="446"/>
      <c r="N22" s="446"/>
      <c r="O22" s="446">
        <v>4.815178754619609</v>
      </c>
      <c r="P22" s="446"/>
      <c r="Q22" s="446"/>
      <c r="R22" s="446">
        <v>3.5</v>
      </c>
      <c r="S22" s="446"/>
      <c r="T22" s="446"/>
      <c r="U22" s="446">
        <v>8.24</v>
      </c>
      <c r="V22" s="446"/>
      <c r="W22" s="446"/>
      <c r="X22" s="446">
        <v>2.2770880867932601</v>
      </c>
      <c r="Y22" s="446"/>
      <c r="Z22" s="446"/>
      <c r="AA22" s="446">
        <v>4.76</v>
      </c>
      <c r="AB22" s="446"/>
      <c r="AC22" s="439"/>
      <c r="AD22" s="446"/>
      <c r="AE22" s="446"/>
    </row>
    <row r="23" spans="1:31" s="626" customFormat="1" ht="20.100000000000001" customHeight="1" x14ac:dyDescent="0.3">
      <c r="A23" s="750" t="s">
        <v>383</v>
      </c>
      <c r="B23" s="738"/>
      <c r="C23" s="738"/>
      <c r="D23" s="446"/>
      <c r="E23" s="446"/>
      <c r="G23" s="446"/>
      <c r="H23" s="629"/>
      <c r="I23" s="446"/>
      <c r="J23" s="446"/>
      <c r="K23" s="446"/>
      <c r="L23" s="446"/>
      <c r="M23" s="446"/>
      <c r="N23" s="446"/>
      <c r="O23" s="446"/>
      <c r="P23" s="446"/>
      <c r="Q23" s="446"/>
      <c r="R23" s="446"/>
      <c r="S23" s="446"/>
      <c r="T23" s="446"/>
      <c r="U23" s="446"/>
      <c r="V23" s="446"/>
      <c r="W23" s="446"/>
      <c r="X23" s="446"/>
      <c r="Y23" s="446"/>
      <c r="Z23" s="446"/>
      <c r="AA23" s="446"/>
      <c r="AB23" s="446"/>
      <c r="AC23" s="439"/>
      <c r="AD23" s="446"/>
      <c r="AE23" s="446"/>
    </row>
    <row r="24" spans="1:31" s="626" customFormat="1" ht="20.100000000000001" customHeight="1" x14ac:dyDescent="0.3">
      <c r="A24" s="750"/>
      <c r="B24" s="738"/>
      <c r="C24" s="738"/>
      <c r="D24" s="446"/>
      <c r="E24" s="446"/>
      <c r="G24" s="446"/>
      <c r="H24" s="629"/>
      <c r="I24" s="446"/>
      <c r="J24" s="446"/>
      <c r="K24" s="446"/>
      <c r="L24" s="446"/>
      <c r="M24" s="446"/>
      <c r="N24" s="446"/>
      <c r="O24" s="446"/>
      <c r="P24" s="446"/>
      <c r="Q24" s="446"/>
      <c r="R24" s="446"/>
      <c r="S24" s="446"/>
      <c r="T24" s="446"/>
      <c r="U24" s="446"/>
      <c r="V24" s="446"/>
      <c r="W24" s="446"/>
      <c r="X24" s="446"/>
      <c r="Y24" s="446"/>
      <c r="Z24" s="446"/>
      <c r="AA24" s="446"/>
      <c r="AB24" s="446"/>
      <c r="AC24" s="439"/>
      <c r="AD24" s="446"/>
      <c r="AE24" s="446"/>
    </row>
    <row r="25" spans="1:31" s="626" customFormat="1" ht="20.100000000000001" customHeight="1" x14ac:dyDescent="0.3">
      <c r="A25" s="749">
        <v>2023</v>
      </c>
      <c r="B25" s="738"/>
      <c r="C25" s="738">
        <v>3.02</v>
      </c>
      <c r="D25" s="446"/>
      <c r="E25" s="446"/>
      <c r="G25" s="446"/>
      <c r="H25" s="629"/>
      <c r="I25" s="446"/>
      <c r="J25" s="446"/>
      <c r="K25" s="446"/>
      <c r="L25" s="446"/>
      <c r="M25" s="446"/>
      <c r="N25" s="446"/>
      <c r="O25" s="446"/>
      <c r="P25" s="446"/>
      <c r="Q25" s="446"/>
      <c r="R25" s="446">
        <v>2.5</v>
      </c>
      <c r="S25" s="446"/>
      <c r="T25" s="446"/>
      <c r="U25" s="446"/>
      <c r="V25" s="446"/>
      <c r="W25" s="446"/>
      <c r="X25" s="446">
        <v>2.9983710581383201</v>
      </c>
      <c r="Y25" s="446"/>
      <c r="Z25" s="446"/>
      <c r="AA25" s="446"/>
      <c r="AB25" s="446"/>
      <c r="AC25" s="439"/>
      <c r="AD25" s="446"/>
      <c r="AE25" s="446"/>
    </row>
    <row r="26" spans="1:31" s="626" customFormat="1" ht="20.100000000000001" customHeight="1" x14ac:dyDescent="0.3">
      <c r="A26" s="749">
        <v>2022</v>
      </c>
      <c r="B26" s="738"/>
      <c r="C26" s="738">
        <v>2.5299999999999998</v>
      </c>
      <c r="D26" s="446"/>
      <c r="E26" s="446"/>
      <c r="G26" s="446"/>
      <c r="H26" s="629"/>
      <c r="I26" s="446"/>
      <c r="J26" s="446"/>
      <c r="K26" s="446"/>
      <c r="L26" s="446"/>
      <c r="M26" s="446"/>
      <c r="N26" s="446"/>
      <c r="O26" s="446"/>
      <c r="P26" s="446"/>
      <c r="Q26" s="446"/>
      <c r="R26" s="446">
        <v>3.3</v>
      </c>
      <c r="S26" s="446"/>
      <c r="T26" s="446"/>
      <c r="U26" s="446"/>
      <c r="V26" s="446"/>
      <c r="W26" s="446"/>
      <c r="X26" s="446">
        <v>2.6684866555120501</v>
      </c>
      <c r="Y26" s="446"/>
      <c r="Z26" s="446"/>
      <c r="AA26" s="446"/>
      <c r="AB26" s="446"/>
      <c r="AC26" s="439"/>
      <c r="AD26" s="446"/>
      <c r="AE26" s="446"/>
    </row>
    <row r="27" spans="1:31" s="626" customFormat="1" ht="20.100000000000001" customHeight="1" x14ac:dyDescent="0.3">
      <c r="A27" s="749">
        <v>2021</v>
      </c>
      <c r="B27" s="738"/>
      <c r="C27" s="738">
        <v>4.91</v>
      </c>
      <c r="D27" s="446"/>
      <c r="E27" s="446"/>
      <c r="G27" s="446"/>
      <c r="H27" s="629"/>
      <c r="I27" s="446"/>
      <c r="J27" s="446"/>
      <c r="K27" s="446"/>
      <c r="L27" s="446"/>
      <c r="M27" s="446"/>
      <c r="N27" s="446"/>
      <c r="O27" s="446"/>
      <c r="P27" s="446"/>
      <c r="Q27" s="446"/>
      <c r="R27" s="446">
        <v>6.4</v>
      </c>
      <c r="S27" s="446"/>
      <c r="T27" s="446"/>
      <c r="U27" s="446"/>
      <c r="V27" s="446"/>
      <c r="W27" s="446"/>
      <c r="X27" s="446">
        <v>11.193545306355499</v>
      </c>
      <c r="Y27" s="446"/>
      <c r="Z27" s="446"/>
      <c r="AA27" s="446"/>
      <c r="AB27" s="446"/>
      <c r="AC27" s="439"/>
      <c r="AD27" s="446"/>
      <c r="AE27" s="446"/>
    </row>
    <row r="28" spans="1:31" s="626" customFormat="1" ht="20.100000000000001" customHeight="1" x14ac:dyDescent="0.3">
      <c r="A28" s="749">
        <v>2020</v>
      </c>
      <c r="B28" s="738"/>
      <c r="C28" s="738">
        <v>1.99175835002305</v>
      </c>
      <c r="D28" s="446"/>
      <c r="E28" s="446"/>
      <c r="G28" s="446"/>
      <c r="H28" s="629"/>
      <c r="I28" s="446"/>
      <c r="J28" s="446"/>
      <c r="K28" s="446"/>
      <c r="L28" s="446"/>
      <c r="M28" s="446"/>
      <c r="N28" s="446"/>
      <c r="O28" s="446"/>
      <c r="P28" s="446"/>
      <c r="Q28" s="446"/>
      <c r="R28" s="446">
        <v>3.5</v>
      </c>
      <c r="S28" s="446"/>
      <c r="T28" s="446"/>
      <c r="U28" s="446"/>
      <c r="V28" s="446"/>
      <c r="W28" s="446"/>
      <c r="X28" s="446">
        <v>4.6721988481442498</v>
      </c>
      <c r="Y28" s="446"/>
      <c r="Z28" s="446"/>
      <c r="AA28" s="446"/>
      <c r="AB28" s="446"/>
      <c r="AC28" s="439"/>
      <c r="AD28" s="446"/>
      <c r="AE28" s="446"/>
    </row>
    <row r="29" spans="1:31" s="626" customFormat="1" ht="20.100000000000001" customHeight="1" x14ac:dyDescent="0.3">
      <c r="A29" s="750" t="s">
        <v>384</v>
      </c>
      <c r="B29" s="738"/>
      <c r="C29" s="738"/>
      <c r="D29" s="446"/>
      <c r="E29" s="446"/>
      <c r="G29" s="446"/>
      <c r="H29" s="629"/>
      <c r="I29" s="446"/>
      <c r="J29" s="446"/>
      <c r="K29" s="446"/>
      <c r="L29" s="446"/>
      <c r="M29" s="446"/>
      <c r="N29" s="446"/>
      <c r="O29" s="446"/>
      <c r="P29" s="446"/>
      <c r="Q29" s="446"/>
      <c r="R29" s="446"/>
      <c r="S29" s="446"/>
      <c r="T29" s="446"/>
      <c r="U29" s="446"/>
      <c r="V29" s="446"/>
      <c r="W29" s="446"/>
      <c r="X29" s="446"/>
      <c r="Y29" s="446"/>
      <c r="Z29" s="446"/>
      <c r="AA29" s="446"/>
      <c r="AB29" s="446"/>
      <c r="AC29" s="439"/>
      <c r="AD29" s="446"/>
      <c r="AE29" s="446"/>
    </row>
    <row r="30" spans="1:31" s="626" customFormat="1" ht="20.100000000000001" customHeight="1" x14ac:dyDescent="0.3">
      <c r="A30" s="750"/>
      <c r="B30" s="738"/>
      <c r="C30" s="738"/>
      <c r="D30" s="446"/>
      <c r="E30" s="446"/>
      <c r="G30" s="446"/>
      <c r="H30" s="629"/>
      <c r="I30" s="631"/>
      <c r="J30" s="446"/>
      <c r="K30" s="446"/>
      <c r="L30" s="446"/>
      <c r="M30" s="446"/>
      <c r="N30" s="446"/>
      <c r="O30" s="446"/>
      <c r="P30" s="446"/>
      <c r="Q30" s="446"/>
      <c r="R30" s="446"/>
      <c r="S30" s="446"/>
      <c r="T30" s="446"/>
      <c r="U30" s="446"/>
      <c r="V30" s="446"/>
      <c r="W30" s="446"/>
      <c r="X30" s="446"/>
      <c r="Y30" s="446"/>
      <c r="Z30" s="446"/>
      <c r="AA30" s="446"/>
      <c r="AB30" s="446"/>
      <c r="AC30" s="439"/>
      <c r="AD30" s="446"/>
      <c r="AE30" s="446"/>
    </row>
    <row r="31" spans="1:31" s="626" customFormat="1" ht="20.100000000000001" customHeight="1" x14ac:dyDescent="0.3">
      <c r="A31" s="749">
        <v>2023</v>
      </c>
      <c r="B31" s="738"/>
      <c r="C31" s="738">
        <v>2.14</v>
      </c>
      <c r="D31" s="446"/>
      <c r="E31" s="446"/>
      <c r="G31" s="446"/>
      <c r="H31" s="629"/>
      <c r="I31" s="631"/>
      <c r="J31" s="446"/>
      <c r="K31" s="446"/>
      <c r="L31" s="446">
        <v>1.212</v>
      </c>
      <c r="M31" s="446"/>
      <c r="N31" s="446"/>
      <c r="O31" s="446"/>
      <c r="P31" s="446"/>
      <c r="Q31" s="446"/>
      <c r="R31" s="446">
        <v>2.5</v>
      </c>
      <c r="S31" s="446"/>
      <c r="T31" s="446"/>
      <c r="U31" s="446"/>
      <c r="V31" s="446"/>
      <c r="W31" s="446"/>
      <c r="X31" s="446">
        <v>-1.9411023544135798E-2</v>
      </c>
      <c r="Y31" s="446"/>
      <c r="Z31" s="446"/>
      <c r="AA31" s="446"/>
      <c r="AB31" s="446"/>
      <c r="AC31" s="439"/>
      <c r="AD31" s="446"/>
      <c r="AE31" s="446"/>
    </row>
    <row r="32" spans="1:31" s="626" customFormat="1" ht="20.100000000000001" customHeight="1" x14ac:dyDescent="0.3">
      <c r="A32" s="749">
        <v>2022</v>
      </c>
      <c r="B32" s="738"/>
      <c r="C32" s="738">
        <v>2.19</v>
      </c>
      <c r="D32" s="446"/>
      <c r="E32" s="446"/>
      <c r="G32" s="446"/>
      <c r="H32" s="629"/>
      <c r="I32" s="631"/>
      <c r="J32" s="446"/>
      <c r="K32" s="446"/>
      <c r="L32" s="446">
        <v>1.413</v>
      </c>
      <c r="M32" s="446"/>
      <c r="N32" s="446"/>
      <c r="O32" s="446"/>
      <c r="P32" s="446"/>
      <c r="Q32" s="446"/>
      <c r="R32" s="446">
        <v>3.3</v>
      </c>
      <c r="S32" s="446"/>
      <c r="T32" s="446"/>
      <c r="U32" s="446"/>
      <c r="V32" s="446"/>
      <c r="W32" s="446"/>
      <c r="X32" s="446">
        <v>0.102322356358409</v>
      </c>
      <c r="Y32" s="446"/>
      <c r="Z32" s="446"/>
      <c r="AA32" s="446"/>
      <c r="AB32" s="446"/>
      <c r="AC32" s="439"/>
      <c r="AD32" s="446"/>
      <c r="AE32" s="446"/>
    </row>
    <row r="33" spans="1:31" s="626" customFormat="1" ht="20.100000000000001" customHeight="1" x14ac:dyDescent="0.3">
      <c r="A33" s="749">
        <v>2021</v>
      </c>
      <c r="B33" s="738"/>
      <c r="C33" s="738">
        <v>4.26</v>
      </c>
      <c r="D33" s="446"/>
      <c r="E33" s="446"/>
      <c r="G33" s="446"/>
      <c r="H33" s="629"/>
      <c r="I33" s="631"/>
      <c r="J33" s="446"/>
      <c r="K33" s="446"/>
      <c r="L33" s="446">
        <v>4.38</v>
      </c>
      <c r="M33" s="446"/>
      <c r="N33" s="446"/>
      <c r="O33" s="446"/>
      <c r="P33" s="446"/>
      <c r="Q33" s="446"/>
      <c r="R33" s="446">
        <v>6.4</v>
      </c>
      <c r="S33" s="446"/>
      <c r="T33" s="446"/>
      <c r="U33" s="446"/>
      <c r="V33" s="446"/>
      <c r="W33" s="446"/>
      <c r="X33" s="446">
        <v>9.5524359778779608</v>
      </c>
      <c r="Y33" s="446"/>
      <c r="Z33" s="446"/>
      <c r="AA33" s="446"/>
      <c r="AB33" s="446"/>
      <c r="AC33" s="439"/>
      <c r="AD33" s="446"/>
      <c r="AE33" s="446"/>
    </row>
    <row r="34" spans="1:31" s="626" customFormat="1" ht="20.100000000000001" customHeight="1" x14ac:dyDescent="0.3">
      <c r="A34" s="749">
        <v>2020</v>
      </c>
      <c r="B34" s="738"/>
      <c r="C34" s="738">
        <v>1.9570432727373399</v>
      </c>
      <c r="D34" s="446"/>
      <c r="E34" s="446"/>
      <c r="G34" s="446"/>
      <c r="H34" s="629"/>
      <c r="I34" s="631"/>
      <c r="J34" s="446"/>
      <c r="K34" s="446"/>
      <c r="L34" s="446">
        <v>3.48</v>
      </c>
      <c r="M34" s="446"/>
      <c r="N34" s="446"/>
      <c r="O34" s="446"/>
      <c r="P34" s="446"/>
      <c r="Q34" s="446"/>
      <c r="R34" s="446">
        <v>3.5</v>
      </c>
      <c r="S34" s="446"/>
      <c r="T34" s="446"/>
      <c r="U34" s="446"/>
      <c r="V34" s="446"/>
      <c r="W34" s="446"/>
      <c r="X34" s="446">
        <v>1.8527955574985999</v>
      </c>
      <c r="Y34" s="446"/>
      <c r="Z34" s="446"/>
      <c r="AA34" s="446"/>
      <c r="AB34" s="446"/>
      <c r="AC34" s="439"/>
      <c r="AD34" s="446"/>
      <c r="AE34" s="446"/>
    </row>
    <row r="35" spans="1:31" s="385" customFormat="1" ht="19.5" x14ac:dyDescent="0.35">
      <c r="A35" s="447" t="s">
        <v>489</v>
      </c>
      <c r="B35" s="741"/>
      <c r="C35" s="741"/>
      <c r="D35" s="648"/>
      <c r="E35" s="445"/>
      <c r="G35" s="648"/>
      <c r="H35" s="649"/>
      <c r="I35" s="648"/>
      <c r="J35" s="648"/>
      <c r="K35" s="445"/>
      <c r="L35" s="445"/>
      <c r="M35" s="648"/>
      <c r="N35" s="445"/>
      <c r="O35" s="445"/>
      <c r="P35" s="648"/>
      <c r="Q35" s="445"/>
      <c r="R35" s="445"/>
      <c r="S35" s="648"/>
      <c r="T35" s="445"/>
      <c r="U35" s="445"/>
      <c r="V35" s="648"/>
      <c r="W35" s="445"/>
      <c r="X35" s="445"/>
      <c r="Y35" s="648"/>
      <c r="Z35" s="445"/>
      <c r="AA35" s="445"/>
      <c r="AB35" s="648"/>
      <c r="AC35" s="650"/>
      <c r="AD35" s="648"/>
      <c r="AE35" s="648"/>
    </row>
    <row r="36" spans="1:31" s="385" customFormat="1" ht="18.75" x14ac:dyDescent="0.3">
      <c r="A36" s="448" t="s">
        <v>488</v>
      </c>
      <c r="B36" s="742"/>
      <c r="C36" s="741">
        <v>2.9482381627391137</v>
      </c>
      <c r="D36" s="648"/>
      <c r="E36" s="445"/>
      <c r="F36" s="445">
        <v>2.0425</v>
      </c>
      <c r="G36" s="648"/>
      <c r="H36" s="648"/>
      <c r="I36" s="445"/>
      <c r="J36" s="648"/>
      <c r="K36" s="445"/>
      <c r="L36" s="445">
        <v>3.0244</v>
      </c>
      <c r="M36" s="648"/>
      <c r="N36" s="651"/>
      <c r="O36" s="445">
        <v>4.7555203411231215</v>
      </c>
      <c r="P36" s="648"/>
      <c r="Q36" s="445"/>
      <c r="R36" s="445">
        <v>4.12</v>
      </c>
      <c r="S36" s="648"/>
      <c r="T36" s="651"/>
      <c r="U36" s="445">
        <v>6.0619999999999994</v>
      </c>
      <c r="V36" s="648"/>
      <c r="W36" s="651"/>
      <c r="X36" s="445">
        <v>4.0366035486607723</v>
      </c>
      <c r="Y36" s="648"/>
      <c r="Z36" s="651"/>
      <c r="AA36" s="445">
        <v>3.1219999999999999</v>
      </c>
      <c r="AB36" s="648"/>
      <c r="AC36" s="650"/>
      <c r="AD36" s="648"/>
      <c r="AE36" s="648"/>
    </row>
    <row r="37" spans="1:31" s="385" customFormat="1" ht="18.75" x14ac:dyDescent="0.3">
      <c r="A37" s="449">
        <v>2024</v>
      </c>
      <c r="B37" s="742"/>
      <c r="C37" s="743">
        <v>4.72</v>
      </c>
      <c r="D37" s="652"/>
      <c r="E37" s="446"/>
      <c r="F37" s="385">
        <v>5.07</v>
      </c>
      <c r="G37" s="652"/>
      <c r="H37" s="653"/>
      <c r="I37" s="654"/>
      <c r="J37" s="652"/>
      <c r="K37" s="445"/>
      <c r="L37" s="446">
        <v>3.99</v>
      </c>
      <c r="M37" s="652"/>
      <c r="N37" s="651"/>
      <c r="O37" s="444">
        <v>8.7200000000000006</v>
      </c>
      <c r="P37" s="652"/>
      <c r="Q37" s="445"/>
      <c r="R37" s="446">
        <v>4.4000000000000004</v>
      </c>
      <c r="S37" s="652"/>
      <c r="T37" s="651"/>
      <c r="U37" s="444">
        <v>7.1</v>
      </c>
      <c r="V37" s="652"/>
      <c r="W37" s="651"/>
      <c r="X37" s="444">
        <v>5.3634607283506304</v>
      </c>
      <c r="Y37" s="652"/>
      <c r="Z37" s="651"/>
      <c r="AA37" s="444">
        <v>4.91</v>
      </c>
      <c r="AB37" s="652"/>
      <c r="AC37" s="655"/>
      <c r="AD37" s="652"/>
      <c r="AE37" s="652"/>
    </row>
    <row r="38" spans="1:31" s="385" customFormat="1" ht="18.75" x14ac:dyDescent="0.3">
      <c r="A38" s="449">
        <v>2023</v>
      </c>
      <c r="B38" s="743"/>
      <c r="C38" s="743">
        <v>3.14</v>
      </c>
      <c r="D38" s="656"/>
      <c r="E38" s="446"/>
      <c r="F38" s="446">
        <v>1.22</v>
      </c>
      <c r="G38" s="656"/>
      <c r="H38" s="657"/>
      <c r="I38" s="658"/>
      <c r="J38" s="656"/>
      <c r="K38" s="446"/>
      <c r="L38" s="446">
        <v>2.2610000000000001</v>
      </c>
      <c r="M38" s="656"/>
      <c r="N38" s="444"/>
      <c r="O38" s="444">
        <v>6.3941972727610707</v>
      </c>
      <c r="P38" s="656"/>
      <c r="Q38" s="446"/>
      <c r="R38" s="446">
        <v>2.5</v>
      </c>
      <c r="S38" s="656"/>
      <c r="T38" s="444"/>
      <c r="U38" s="444">
        <v>5.4</v>
      </c>
      <c r="V38" s="656"/>
      <c r="W38" s="444"/>
      <c r="X38" s="444">
        <v>3.0955783508854302</v>
      </c>
      <c r="Y38" s="656"/>
      <c r="Z38" s="444"/>
      <c r="AA38" s="444">
        <v>2.71</v>
      </c>
      <c r="AB38" s="652"/>
      <c r="AC38" s="655"/>
      <c r="AD38" s="652"/>
      <c r="AE38" s="652"/>
    </row>
    <row r="39" spans="1:31" s="385" customFormat="1" ht="18.75" x14ac:dyDescent="0.3">
      <c r="A39" s="449">
        <v>2022</v>
      </c>
      <c r="B39" s="743"/>
      <c r="C39" s="743">
        <v>0.98</v>
      </c>
      <c r="D39" s="656"/>
      <c r="E39" s="446"/>
      <c r="F39" s="446">
        <v>0.6</v>
      </c>
      <c r="G39" s="656"/>
      <c r="H39" s="657"/>
      <c r="I39" s="658"/>
      <c r="J39" s="656"/>
      <c r="K39" s="446"/>
      <c r="L39" s="446">
        <v>1.931</v>
      </c>
      <c r="M39" s="656"/>
      <c r="N39" s="444"/>
      <c r="O39" s="444">
        <v>-3.9206710477550644</v>
      </c>
      <c r="P39" s="656"/>
      <c r="Q39" s="446"/>
      <c r="R39" s="446">
        <v>0.8</v>
      </c>
      <c r="S39" s="656"/>
      <c r="T39" s="444"/>
      <c r="U39" s="444">
        <v>-0.3</v>
      </c>
      <c r="V39" s="656"/>
      <c r="W39" s="444"/>
      <c r="X39" s="444">
        <v>-2.3071379296748402</v>
      </c>
      <c r="Y39" s="656"/>
      <c r="Z39" s="444"/>
      <c r="AA39" s="444">
        <v>-1.45</v>
      </c>
      <c r="AB39" s="652"/>
      <c r="AC39" s="655"/>
      <c r="AD39" s="652"/>
      <c r="AE39" s="652"/>
    </row>
    <row r="40" spans="1:31" s="385" customFormat="1" ht="18.75" x14ac:dyDescent="0.3">
      <c r="A40" s="449">
        <v>2021</v>
      </c>
      <c r="B40" s="743"/>
      <c r="C40" s="743">
        <v>4.5199999999999996</v>
      </c>
      <c r="D40" s="656"/>
      <c r="E40" s="446"/>
      <c r="F40" s="446">
        <v>1.28</v>
      </c>
      <c r="G40" s="656"/>
      <c r="H40" s="657"/>
      <c r="I40" s="658"/>
      <c r="J40" s="656"/>
      <c r="K40" s="446"/>
      <c r="L40" s="446">
        <v>3.9</v>
      </c>
      <c r="M40" s="656"/>
      <c r="N40" s="444"/>
      <c r="O40" s="444">
        <v>8.3589403494660708</v>
      </c>
      <c r="P40" s="656"/>
      <c r="Q40" s="446"/>
      <c r="R40" s="446">
        <v>8.1</v>
      </c>
      <c r="S40" s="656"/>
      <c r="T40" s="444"/>
      <c r="U40" s="444">
        <v>10.24</v>
      </c>
      <c r="V40" s="656"/>
      <c r="W40" s="444"/>
      <c r="X40" s="444">
        <v>9.4496512474785899</v>
      </c>
      <c r="Y40" s="656"/>
      <c r="Z40" s="444"/>
      <c r="AA40" s="444">
        <v>3.94</v>
      </c>
      <c r="AB40" s="652"/>
      <c r="AC40" s="655"/>
      <c r="AD40" s="652"/>
      <c r="AE40" s="652"/>
    </row>
    <row r="41" spans="1:31" s="385" customFormat="1" ht="18.75" x14ac:dyDescent="0.3">
      <c r="A41" s="449">
        <v>2020</v>
      </c>
      <c r="B41" s="743"/>
      <c r="C41" s="743">
        <v>1.38119081369557</v>
      </c>
      <c r="D41" s="656"/>
      <c r="E41" s="446"/>
      <c r="G41" s="656"/>
      <c r="H41" s="657"/>
      <c r="I41" s="658"/>
      <c r="J41" s="656"/>
      <c r="K41" s="446"/>
      <c r="L41" s="446">
        <v>3.04</v>
      </c>
      <c r="M41" s="656"/>
      <c r="N41" s="444"/>
      <c r="O41" s="444">
        <v>4.2251351311435315</v>
      </c>
      <c r="P41" s="656"/>
      <c r="Q41" s="446"/>
      <c r="R41" s="446">
        <v>4.8</v>
      </c>
      <c r="S41" s="656"/>
      <c r="T41" s="444"/>
      <c r="U41" s="444">
        <v>7.87</v>
      </c>
      <c r="V41" s="656"/>
      <c r="W41" s="444"/>
      <c r="X41" s="444">
        <v>4.58146534626405</v>
      </c>
      <c r="Y41" s="656"/>
      <c r="Z41" s="444"/>
      <c r="AA41" s="444">
        <v>5.5</v>
      </c>
      <c r="AB41" s="652"/>
      <c r="AC41" s="655"/>
      <c r="AD41" s="652"/>
      <c r="AE41" s="652"/>
    </row>
    <row r="42" spans="1:31" ht="18.75" x14ac:dyDescent="0.3">
      <c r="A42" s="450" t="s">
        <v>383</v>
      </c>
      <c r="B42" s="738"/>
      <c r="C42" s="738"/>
      <c r="D42" s="652"/>
      <c r="E42" s="446"/>
      <c r="G42" s="652"/>
      <c r="H42" s="659"/>
      <c r="I42" s="652"/>
      <c r="J42" s="652"/>
      <c r="K42" s="446"/>
      <c r="L42" s="446"/>
      <c r="M42" s="652"/>
      <c r="N42" s="446"/>
      <c r="O42" s="446"/>
      <c r="P42" s="652"/>
      <c r="Q42" s="446"/>
      <c r="R42" s="446"/>
      <c r="S42" s="652"/>
      <c r="T42" s="446"/>
      <c r="U42" s="446"/>
      <c r="V42" s="652"/>
      <c r="W42" s="446"/>
      <c r="X42" s="446"/>
      <c r="Y42" s="652"/>
      <c r="Z42" s="446"/>
      <c r="AA42" s="446"/>
      <c r="AB42" s="652"/>
      <c r="AC42" s="655"/>
      <c r="AD42" s="652"/>
      <c r="AE42" s="652"/>
    </row>
    <row r="43" spans="1:31" ht="18.75" x14ac:dyDescent="0.3">
      <c r="A43" s="449">
        <v>2024</v>
      </c>
      <c r="B43" s="738"/>
      <c r="C43" s="738">
        <v>4.68</v>
      </c>
      <c r="D43" s="652"/>
      <c r="E43" s="446"/>
      <c r="G43" s="652"/>
      <c r="H43" s="659"/>
      <c r="I43" s="652"/>
      <c r="J43" s="652"/>
      <c r="K43" s="446"/>
      <c r="L43" s="446"/>
      <c r="M43" s="652"/>
      <c r="N43" s="446"/>
      <c r="O43" s="446"/>
      <c r="P43" s="652"/>
      <c r="Q43" s="446"/>
      <c r="R43" s="446">
        <v>4.4000000000000004</v>
      </c>
      <c r="S43" s="652"/>
      <c r="T43" s="446"/>
      <c r="U43" s="446"/>
      <c r="V43" s="652"/>
      <c r="W43" s="446"/>
      <c r="X43" s="446">
        <v>5.1556274808600904</v>
      </c>
      <c r="Y43" s="652"/>
      <c r="Z43" s="446"/>
      <c r="AA43" s="446"/>
      <c r="AB43" s="652"/>
      <c r="AC43" s="655"/>
      <c r="AD43" s="652"/>
      <c r="AE43" s="652"/>
    </row>
    <row r="44" spans="1:31" ht="18.75" x14ac:dyDescent="0.3">
      <c r="A44" s="449">
        <v>2023</v>
      </c>
      <c r="B44" s="738"/>
      <c r="C44" s="738">
        <v>3.09</v>
      </c>
      <c r="D44" s="656"/>
      <c r="E44" s="446"/>
      <c r="G44" s="656"/>
      <c r="H44" s="660"/>
      <c r="I44" s="656"/>
      <c r="J44" s="656"/>
      <c r="K44" s="446"/>
      <c r="L44" s="446"/>
      <c r="M44" s="656"/>
      <c r="N44" s="446"/>
      <c r="O44" s="446"/>
      <c r="P44" s="656"/>
      <c r="Q44" s="446"/>
      <c r="R44" s="446">
        <v>2.5</v>
      </c>
      <c r="S44" s="656"/>
      <c r="T44" s="446"/>
      <c r="U44" s="446"/>
      <c r="V44" s="656"/>
      <c r="W44" s="446"/>
      <c r="X44" s="446">
        <v>3.0892643858577302</v>
      </c>
      <c r="Y44" s="656"/>
      <c r="Z44" s="446"/>
      <c r="AA44" s="446"/>
      <c r="AB44" s="652"/>
      <c r="AC44" s="655"/>
      <c r="AD44" s="652"/>
      <c r="AE44" s="652"/>
    </row>
    <row r="45" spans="1:31" ht="18.75" x14ac:dyDescent="0.3">
      <c r="A45" s="449">
        <v>2022</v>
      </c>
      <c r="B45" s="738"/>
      <c r="C45" s="738">
        <v>0.33</v>
      </c>
      <c r="D45" s="656"/>
      <c r="E45" s="446"/>
      <c r="G45" s="656"/>
      <c r="H45" s="660"/>
      <c r="I45" s="656"/>
      <c r="J45" s="656"/>
      <c r="K45" s="446"/>
      <c r="L45" s="446"/>
      <c r="M45" s="656"/>
      <c r="N45" s="446"/>
      <c r="O45" s="446"/>
      <c r="P45" s="656"/>
      <c r="Q45" s="446"/>
      <c r="R45" s="446">
        <v>0.8</v>
      </c>
      <c r="S45" s="656"/>
      <c r="T45" s="446"/>
      <c r="U45" s="446"/>
      <c r="V45" s="656"/>
      <c r="W45" s="446"/>
      <c r="X45" s="446">
        <v>-1.42620707786671</v>
      </c>
      <c r="Y45" s="656"/>
      <c r="Z45" s="446"/>
      <c r="AA45" s="446"/>
      <c r="AB45" s="652"/>
      <c r="AC45" s="655"/>
      <c r="AD45" s="652"/>
      <c r="AE45" s="652"/>
    </row>
    <row r="46" spans="1:31" ht="18.75" x14ac:dyDescent="0.3">
      <c r="A46" s="449">
        <v>2021</v>
      </c>
      <c r="B46" s="738"/>
      <c r="C46" s="738">
        <v>5.07</v>
      </c>
      <c r="D46" s="656"/>
      <c r="E46" s="446"/>
      <c r="G46" s="656"/>
      <c r="H46" s="660"/>
      <c r="I46" s="656"/>
      <c r="J46" s="656"/>
      <c r="K46" s="446"/>
      <c r="L46" s="446"/>
      <c r="M46" s="656"/>
      <c r="N46" s="446"/>
      <c r="O46" s="446"/>
      <c r="P46" s="656"/>
      <c r="Q46" s="446"/>
      <c r="R46" s="446">
        <v>8.1</v>
      </c>
      <c r="S46" s="656"/>
      <c r="T46" s="446"/>
      <c r="U46" s="446"/>
      <c r="V46" s="656"/>
      <c r="W46" s="446"/>
      <c r="X46" s="446">
        <v>9.4582857477536297</v>
      </c>
      <c r="Y46" s="656"/>
      <c r="Z46" s="446"/>
      <c r="AA46" s="446"/>
      <c r="AB46" s="652"/>
      <c r="AC46" s="655"/>
      <c r="AD46" s="652"/>
      <c r="AE46" s="652"/>
    </row>
    <row r="47" spans="1:31" ht="18.75" x14ac:dyDescent="0.3">
      <c r="A47" s="449">
        <v>2020</v>
      </c>
      <c r="B47" s="738"/>
      <c r="C47" s="738">
        <v>1.54511464901146</v>
      </c>
      <c r="D47" s="656"/>
      <c r="E47" s="446"/>
      <c r="G47" s="656"/>
      <c r="H47" s="660"/>
      <c r="I47" s="656"/>
      <c r="J47" s="656"/>
      <c r="K47" s="446"/>
      <c r="L47" s="446"/>
      <c r="M47" s="656"/>
      <c r="N47" s="446"/>
      <c r="O47" s="446"/>
      <c r="P47" s="656"/>
      <c r="Q47" s="446"/>
      <c r="R47" s="446">
        <v>4.8</v>
      </c>
      <c r="S47" s="656"/>
      <c r="T47" s="446"/>
      <c r="U47" s="446"/>
      <c r="V47" s="656"/>
      <c r="W47" s="446"/>
      <c r="X47" s="446">
        <v>4.6074355643218201</v>
      </c>
      <c r="Y47" s="656"/>
      <c r="Z47" s="446"/>
      <c r="AA47" s="446"/>
      <c r="AB47" s="652"/>
      <c r="AC47" s="655"/>
      <c r="AD47" s="652"/>
      <c r="AE47" s="652"/>
    </row>
    <row r="48" spans="1:31" ht="18.75" x14ac:dyDescent="0.3">
      <c r="A48" s="450" t="s">
        <v>384</v>
      </c>
      <c r="B48" s="738"/>
      <c r="C48" s="738"/>
      <c r="D48" s="652"/>
      <c r="E48" s="446"/>
      <c r="G48" s="652"/>
      <c r="H48" s="659"/>
      <c r="I48" s="652"/>
      <c r="J48" s="652"/>
      <c r="K48" s="446"/>
      <c r="L48" s="446"/>
      <c r="M48" s="652"/>
      <c r="N48" s="446"/>
      <c r="O48" s="446"/>
      <c r="P48" s="652"/>
      <c r="Q48" s="446"/>
      <c r="R48" s="446"/>
      <c r="S48" s="652"/>
      <c r="T48" s="444"/>
      <c r="U48" s="444"/>
      <c r="V48" s="652"/>
      <c r="W48" s="444"/>
      <c r="X48" s="444"/>
      <c r="Y48" s="652"/>
      <c r="Z48" s="446"/>
      <c r="AA48" s="446"/>
      <c r="AB48" s="652"/>
      <c r="AC48" s="655"/>
      <c r="AD48" s="652"/>
      <c r="AE48" s="652"/>
    </row>
    <row r="49" spans="1:31" ht="18.75" x14ac:dyDescent="0.3">
      <c r="A49" s="449">
        <v>2024</v>
      </c>
      <c r="B49" s="738"/>
      <c r="C49" s="738">
        <v>4.5999999999999996</v>
      </c>
      <c r="D49" s="652"/>
      <c r="E49" s="446"/>
      <c r="G49" s="652"/>
      <c r="H49" s="659"/>
      <c r="I49" s="652"/>
      <c r="J49" s="652"/>
      <c r="K49" s="446"/>
      <c r="L49" s="446">
        <v>3.52</v>
      </c>
      <c r="M49" s="652"/>
      <c r="N49" s="446"/>
      <c r="O49" s="446"/>
      <c r="P49" s="652"/>
      <c r="Q49" s="446"/>
      <c r="R49" s="446">
        <v>4.4000000000000004</v>
      </c>
      <c r="S49" s="652"/>
      <c r="T49" s="444"/>
      <c r="U49" s="444"/>
      <c r="V49" s="652"/>
      <c r="W49" s="444"/>
      <c r="X49" s="444">
        <v>5.5120134751666798</v>
      </c>
      <c r="Y49" s="652"/>
      <c r="Z49" s="446"/>
      <c r="AA49" s="446"/>
      <c r="AB49" s="652"/>
      <c r="AC49" s="655"/>
      <c r="AD49" s="652"/>
      <c r="AE49" s="652"/>
    </row>
    <row r="50" spans="1:31" ht="18.75" x14ac:dyDescent="0.3">
      <c r="A50" s="449">
        <v>2023</v>
      </c>
      <c r="B50" s="744"/>
      <c r="C50" s="446">
        <v>3.04</v>
      </c>
      <c r="D50" s="656"/>
      <c r="E50" s="446"/>
      <c r="G50" s="656"/>
      <c r="H50" s="660"/>
      <c r="I50" s="656"/>
      <c r="J50" s="656"/>
      <c r="K50" s="446"/>
      <c r="L50" s="446">
        <v>1.228</v>
      </c>
      <c r="M50" s="656"/>
      <c r="N50" s="446"/>
      <c r="O50" s="446"/>
      <c r="P50" s="656"/>
      <c r="Q50" s="446"/>
      <c r="R50" s="446">
        <v>2.5</v>
      </c>
      <c r="S50" s="656"/>
      <c r="T50" s="444"/>
      <c r="U50" s="444"/>
      <c r="V50" s="656"/>
      <c r="W50" s="444"/>
      <c r="X50" s="444">
        <v>3.1635067988680099</v>
      </c>
      <c r="Y50" s="656"/>
      <c r="Z50" s="446"/>
      <c r="AA50" s="446"/>
      <c r="AB50" s="652"/>
      <c r="AC50" s="655"/>
      <c r="AD50" s="652"/>
      <c r="AE50" s="652"/>
    </row>
    <row r="51" spans="1:31" ht="18.75" x14ac:dyDescent="0.3">
      <c r="A51" s="449">
        <v>2022</v>
      </c>
      <c r="B51" s="446"/>
      <c r="C51" s="446">
        <v>1.19</v>
      </c>
      <c r="D51" s="656"/>
      <c r="E51" s="446"/>
      <c r="G51" s="656"/>
      <c r="H51" s="660"/>
      <c r="I51" s="656"/>
      <c r="J51" s="656"/>
      <c r="K51" s="446"/>
      <c r="L51" s="446">
        <v>1.1299999999999999</v>
      </c>
      <c r="M51" s="656"/>
      <c r="N51" s="446"/>
      <c r="O51" s="446">
        <v>5.83</v>
      </c>
      <c r="P51" s="656"/>
      <c r="Q51" s="446"/>
      <c r="R51" s="446">
        <v>0.8</v>
      </c>
      <c r="S51" s="656"/>
      <c r="T51" s="444"/>
      <c r="U51" s="444"/>
      <c r="V51" s="656"/>
      <c r="W51" s="444"/>
      <c r="X51" s="444">
        <v>-2.7469041014758102</v>
      </c>
      <c r="Y51" s="656"/>
      <c r="Z51" s="446"/>
      <c r="AA51" s="446"/>
      <c r="AB51" s="652"/>
      <c r="AC51" s="655"/>
      <c r="AD51" s="652"/>
      <c r="AE51" s="652"/>
    </row>
    <row r="52" spans="1:31" ht="18.75" x14ac:dyDescent="0.3">
      <c r="A52" s="449">
        <v>2021</v>
      </c>
      <c r="B52" s="446"/>
      <c r="C52" s="446">
        <v>4.46</v>
      </c>
      <c r="D52" s="656"/>
      <c r="E52" s="446"/>
      <c r="G52" s="656"/>
      <c r="H52" s="660"/>
      <c r="I52" s="656"/>
      <c r="J52" s="656"/>
      <c r="K52" s="446"/>
      <c r="L52" s="446">
        <v>4.63</v>
      </c>
      <c r="M52" s="656"/>
      <c r="N52" s="446"/>
      <c r="O52" s="446">
        <v>3.95</v>
      </c>
      <c r="P52" s="656"/>
      <c r="Q52" s="446"/>
      <c r="R52" s="446">
        <v>8.1</v>
      </c>
      <c r="S52" s="656"/>
      <c r="T52" s="444"/>
      <c r="U52" s="444"/>
      <c r="V52" s="656"/>
      <c r="W52" s="444"/>
      <c r="X52" s="444">
        <v>9.4482270924385308</v>
      </c>
      <c r="Y52" s="656"/>
      <c r="Z52" s="446"/>
      <c r="AA52" s="446"/>
      <c r="AB52" s="652"/>
      <c r="AC52" s="655"/>
      <c r="AD52" s="652"/>
      <c r="AE52" s="652"/>
    </row>
    <row r="53" spans="1:31" ht="18.75" x14ac:dyDescent="0.3">
      <c r="A53" s="647">
        <v>2020</v>
      </c>
      <c r="B53" s="661"/>
      <c r="C53" s="661">
        <v>-0.58810640830035998</v>
      </c>
      <c r="D53" s="662"/>
      <c r="E53" s="661"/>
      <c r="F53" s="661"/>
      <c r="G53" s="662"/>
      <c r="H53" s="663"/>
      <c r="I53" s="662"/>
      <c r="J53" s="662"/>
      <c r="K53" s="661"/>
      <c r="L53" s="661">
        <v>2.99</v>
      </c>
      <c r="M53" s="662"/>
      <c r="N53" s="661"/>
      <c r="O53" s="661">
        <v>6.94</v>
      </c>
      <c r="P53" s="662"/>
      <c r="Q53" s="661"/>
      <c r="R53" s="661">
        <v>4.8</v>
      </c>
      <c r="S53" s="662"/>
      <c r="T53" s="664"/>
      <c r="U53" s="664"/>
      <c r="V53" s="662"/>
      <c r="W53" s="664"/>
      <c r="X53" s="664">
        <v>4.6702930831617797</v>
      </c>
      <c r="Y53" s="662"/>
      <c r="Z53" s="661"/>
      <c r="AA53" s="661"/>
      <c r="AB53" s="665"/>
      <c r="AC53" s="666"/>
      <c r="AD53" s="665"/>
      <c r="AE53" s="665"/>
    </row>
  </sheetData>
  <mergeCells count="28">
    <mergeCell ref="AC6:AE6"/>
    <mergeCell ref="AH6:AJ6"/>
    <mergeCell ref="AK6:AM6"/>
    <mergeCell ref="AN6:AP6"/>
    <mergeCell ref="AQ6:AS6"/>
    <mergeCell ref="AT6:AV6"/>
    <mergeCell ref="AT5:AV5"/>
    <mergeCell ref="B6:D6"/>
    <mergeCell ref="E6:G6"/>
    <mergeCell ref="H6:J6"/>
    <mergeCell ref="K6:M6"/>
    <mergeCell ref="N6:P6"/>
    <mergeCell ref="Q6:S6"/>
    <mergeCell ref="T6:V6"/>
    <mergeCell ref="W6:Y6"/>
    <mergeCell ref="Z6:AB6"/>
    <mergeCell ref="Z5:AB5"/>
    <mergeCell ref="AC5:AE5"/>
    <mergeCell ref="AH5:AJ5"/>
    <mergeCell ref="AK5:AM5"/>
    <mergeCell ref="AN5:AP5"/>
    <mergeCell ref="AQ5:AS5"/>
    <mergeCell ref="B5:D5"/>
    <mergeCell ref="E5:G5"/>
    <mergeCell ref="H5:J5"/>
    <mergeCell ref="K5:M5"/>
    <mergeCell ref="T5:V5"/>
    <mergeCell ref="W5:Y5"/>
  </mergeCells>
  <conditionalFormatting sqref="C11">
    <cfRule type="expression" dxfId="7" priority="3">
      <formula>kvartal &lt; 4</formula>
    </cfRule>
  </conditionalFormatting>
  <conditionalFormatting sqref="F11">
    <cfRule type="expression" dxfId="6" priority="2">
      <formula>kvartal &lt; 4</formula>
    </cfRule>
  </conditionalFormatting>
  <conditionalFormatting sqref="I11">
    <cfRule type="expression" dxfId="5" priority="4">
      <formula>kvartal &lt; 4</formula>
    </cfRule>
  </conditionalFormatting>
  <conditionalFormatting sqref="L11">
    <cfRule type="expression" dxfId="4" priority="7">
      <formula>kvartal &lt; 4</formula>
    </cfRule>
  </conditionalFormatting>
  <conditionalFormatting sqref="O11">
    <cfRule type="expression" dxfId="3" priority="1">
      <formula>kvartal &lt; 4</formula>
    </cfRule>
  </conditionalFormatting>
  <conditionalFormatting sqref="R11">
    <cfRule type="expression" dxfId="2" priority="8">
      <formula>kvartal &lt; 4</formula>
    </cfRule>
  </conditionalFormatting>
  <conditionalFormatting sqref="X11">
    <cfRule type="expression" dxfId="1" priority="6">
      <formula>kvartal &lt; 4</formula>
    </cfRule>
  </conditionalFormatting>
  <conditionalFormatting sqref="AA11">
    <cfRule type="expression" dxfId="0" priority="5">
      <formula>kvartal &lt; 4</formula>
    </cfRule>
  </conditionalFormatting>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72" man="1"/>
    <brk id="16" min="1" max="72" man="1"/>
    <brk id="22" min="1" max="72" man="1"/>
    <brk id="3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N65"/>
  <sheetViews>
    <sheetView showGridLines="0" zoomScale="90" zoomScaleNormal="90" workbookViewId="0"/>
  </sheetViews>
  <sheetFormatPr baseColWidth="10" defaultColWidth="11.42578125" defaultRowHeight="12.75" x14ac:dyDescent="0.2"/>
  <cols>
    <col min="1" max="1" width="66.28515625" style="1" customWidth="1"/>
    <col min="2" max="2" width="4.28515625" style="4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1" x14ac:dyDescent="0.2">
      <c r="C2" s="265"/>
      <c r="D2" s="265"/>
      <c r="E2" s="265"/>
    </row>
    <row r="3" spans="1:11" x14ac:dyDescent="0.2">
      <c r="A3" s="35" t="s">
        <v>51</v>
      </c>
    </row>
    <row r="4" spans="1:11" x14ac:dyDescent="0.2">
      <c r="C4" s="265"/>
      <c r="D4" s="265"/>
      <c r="E4" s="265"/>
      <c r="F4" s="265"/>
      <c r="G4" s="265"/>
      <c r="H4" s="265"/>
      <c r="I4" s="265"/>
      <c r="J4" s="265"/>
      <c r="K4" s="265"/>
    </row>
    <row r="6" spans="1:11" ht="15.75" x14ac:dyDescent="0.25">
      <c r="C6" s="270" t="s">
        <v>16</v>
      </c>
      <c r="E6" s="270"/>
    </row>
    <row r="7" spans="1:11" ht="18.75" customHeight="1" x14ac:dyDescent="0.2">
      <c r="E7" s="40"/>
    </row>
    <row r="8" spans="1:11" ht="15.75" x14ac:dyDescent="0.25">
      <c r="B8" s="266">
        <v>1</v>
      </c>
      <c r="C8" s="267" t="s">
        <v>309</v>
      </c>
      <c r="E8" s="273"/>
    </row>
    <row r="9" spans="1:11" ht="31.5" x14ac:dyDescent="0.2">
      <c r="B9" s="266">
        <v>2</v>
      </c>
      <c r="C9" s="267" t="s">
        <v>246</v>
      </c>
      <c r="E9" s="5"/>
    </row>
    <row r="10" spans="1:11" ht="47.25" x14ac:dyDescent="0.2">
      <c r="B10" s="266">
        <v>3</v>
      </c>
      <c r="C10" s="267" t="s">
        <v>247</v>
      </c>
      <c r="E10" s="5"/>
    </row>
    <row r="11" spans="1:11" ht="47.25" x14ac:dyDescent="0.2">
      <c r="B11" s="266">
        <v>4</v>
      </c>
      <c r="C11" s="267" t="s">
        <v>248</v>
      </c>
      <c r="E11" s="5"/>
    </row>
    <row r="12" spans="1:11" ht="31.5" x14ac:dyDescent="0.2">
      <c r="B12" s="266">
        <v>5</v>
      </c>
      <c r="C12" s="267" t="s">
        <v>21</v>
      </c>
    </row>
    <row r="13" spans="1:11" ht="15.75" x14ac:dyDescent="0.2">
      <c r="B13" s="266">
        <v>6</v>
      </c>
      <c r="C13" s="267" t="s">
        <v>310</v>
      </c>
    </row>
    <row r="14" spans="1:11" ht="15.75" x14ac:dyDescent="0.2">
      <c r="B14" s="266">
        <v>7</v>
      </c>
      <c r="C14" s="267" t="s">
        <v>17</v>
      </c>
    </row>
    <row r="15" spans="1:11" ht="18.75" customHeight="1" x14ac:dyDescent="0.2">
      <c r="B15" s="266">
        <v>8</v>
      </c>
      <c r="C15" s="267" t="s">
        <v>18</v>
      </c>
    </row>
    <row r="16" spans="1:11" ht="18.75" customHeight="1" x14ac:dyDescent="0.2">
      <c r="B16" s="266">
        <v>9</v>
      </c>
      <c r="C16" s="267" t="s">
        <v>22</v>
      </c>
    </row>
    <row r="17" spans="2:9" ht="63" x14ac:dyDescent="0.25">
      <c r="B17" s="266">
        <v>10</v>
      </c>
      <c r="C17" s="267" t="s">
        <v>319</v>
      </c>
      <c r="E17" s="270"/>
    </row>
    <row r="18" spans="2:9" ht="15.75" x14ac:dyDescent="0.2">
      <c r="B18" s="266">
        <v>11</v>
      </c>
      <c r="C18" s="267" t="s">
        <v>19</v>
      </c>
      <c r="E18" s="5"/>
    </row>
    <row r="19" spans="2:9" ht="15.75" x14ac:dyDescent="0.2">
      <c r="B19" s="266">
        <v>12</v>
      </c>
      <c r="C19" s="267" t="s">
        <v>250</v>
      </c>
      <c r="E19" s="5"/>
    </row>
    <row r="20" spans="2:9" ht="15.75" x14ac:dyDescent="0.2">
      <c r="B20" s="266">
        <v>13</v>
      </c>
      <c r="C20" s="267" t="s">
        <v>20</v>
      </c>
    </row>
    <row r="21" spans="2:9" ht="47.25" x14ac:dyDescent="0.2">
      <c r="B21" s="266">
        <v>14</v>
      </c>
      <c r="C21" s="267" t="s">
        <v>251</v>
      </c>
      <c r="E21" s="274"/>
    </row>
    <row r="22" spans="2:9" ht="31.5" x14ac:dyDescent="0.2">
      <c r="B22" s="266">
        <v>15</v>
      </c>
      <c r="C22" s="267" t="s">
        <v>299</v>
      </c>
    </row>
    <row r="23" spans="2:9" ht="15.75" x14ac:dyDescent="0.25">
      <c r="B23" s="266">
        <v>16</v>
      </c>
      <c r="C23" s="269" t="s">
        <v>249</v>
      </c>
      <c r="D23" s="2"/>
      <c r="E23" s="265"/>
      <c r="F23" s="2"/>
      <c r="G23" s="2"/>
      <c r="H23" s="2"/>
      <c r="I23" s="2"/>
    </row>
    <row r="24" spans="2:9" ht="18.75" customHeight="1" x14ac:dyDescent="0.25">
      <c r="B24" s="268">
        <v>17</v>
      </c>
      <c r="C24" s="269" t="s">
        <v>252</v>
      </c>
    </row>
    <row r="25" spans="2:9" ht="18.75" customHeight="1" x14ac:dyDescent="0.2">
      <c r="B25" s="451">
        <v>18</v>
      </c>
      <c r="C25" s="817" t="s">
        <v>436</v>
      </c>
    </row>
    <row r="26" spans="2:9" ht="18.75" customHeight="1" x14ac:dyDescent="0.25">
      <c r="B26" s="452"/>
      <c r="C26" s="817"/>
    </row>
    <row r="27" spans="2:9" ht="18.75" customHeight="1" x14ac:dyDescent="0.25">
      <c r="B27" s="645">
        <v>19</v>
      </c>
      <c r="C27" s="646" t="s">
        <v>476</v>
      </c>
    </row>
    <row r="28" spans="2:9" ht="18.75" customHeight="1" x14ac:dyDescent="0.2">
      <c r="C28" s="272"/>
    </row>
    <row r="29" spans="2:9" ht="18.75" customHeight="1" x14ac:dyDescent="0.2">
      <c r="C29" s="272"/>
    </row>
    <row r="31" spans="2:9" ht="18.75" customHeight="1" x14ac:dyDescent="0.2"/>
    <row r="32" spans="2:9" ht="18.75" customHeight="1" x14ac:dyDescent="0.2"/>
    <row r="33" spans="2:2" ht="18.75" customHeight="1" x14ac:dyDescent="0.2"/>
    <row r="34" spans="2:2" ht="18.75" customHeight="1" x14ac:dyDescent="0.2"/>
    <row r="35" spans="2:2" ht="18.75" customHeight="1" x14ac:dyDescent="0.2"/>
    <row r="36" spans="2:2" ht="18.75" customHeight="1" x14ac:dyDescent="0.2"/>
    <row r="37" spans="2:2" ht="18.75" customHeight="1" x14ac:dyDescent="0.2"/>
    <row r="38" spans="2:2" ht="18.75" customHeight="1" x14ac:dyDescent="0.2"/>
    <row r="39" spans="2:2" ht="18.75" customHeight="1" x14ac:dyDescent="0.2"/>
    <row r="40" spans="2:2" ht="18.75" customHeight="1" x14ac:dyDescent="0.2">
      <c r="B40" s="5"/>
    </row>
    <row r="41" spans="2:2" ht="18.75" customHeight="1" x14ac:dyDescent="0.2">
      <c r="B41" s="5"/>
    </row>
    <row r="42" spans="2:2" ht="18.75" customHeight="1" x14ac:dyDescent="0.2">
      <c r="B42" s="5"/>
    </row>
    <row r="43" spans="2:2" ht="18.75" customHeight="1" x14ac:dyDescent="0.2">
      <c r="B43" s="5"/>
    </row>
    <row r="44" spans="2:2" ht="18.75" customHeight="1" x14ac:dyDescent="0.2">
      <c r="B44" s="5"/>
    </row>
    <row r="45" spans="2:2" ht="18.75" customHeight="1" x14ac:dyDescent="0.2">
      <c r="B45" s="5"/>
    </row>
    <row r="46" spans="2:2" ht="18.75" customHeight="1" x14ac:dyDescent="0.2"/>
    <row r="47" spans="2:2" ht="18.75" customHeight="1" x14ac:dyDescent="0.2"/>
    <row r="48" spans="2:2" ht="18.75" customHeight="1" x14ac:dyDescent="0.2"/>
    <row r="49" spans="4:14" ht="18.75" customHeight="1" x14ac:dyDescent="0.2"/>
    <row r="50" spans="4:14" ht="18.75" customHeight="1" x14ac:dyDescent="0.2">
      <c r="D50" s="265"/>
      <c r="E50" s="265"/>
      <c r="F50" s="265"/>
      <c r="G50" s="265"/>
      <c r="H50" s="265"/>
      <c r="I50" s="265"/>
      <c r="J50" s="265"/>
      <c r="K50" s="265"/>
      <c r="L50" s="265"/>
      <c r="M50" s="265"/>
      <c r="N50" s="265"/>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Navngitte områder</vt:lpstr>
      </vt:variant>
      <vt:variant>
        <vt:i4>13</vt:i4>
      </vt:variant>
    </vt:vector>
  </HeadingPairs>
  <TitlesOfParts>
    <vt:vector size="52" baseType="lpstr">
      <vt:lpstr>Forside</vt:lpstr>
      <vt:lpstr>Innhold</vt:lpstr>
      <vt:lpstr>Figurer</vt:lpstr>
      <vt:lpstr>Tabel 1.1</vt:lpstr>
      <vt:lpstr>Tabell 1.2</vt:lpstr>
      <vt:lpstr>Tabell 1.3</vt:lpstr>
      <vt:lpstr>Skjema total MA</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If Skadeforsikring NUF</vt:lpstr>
      <vt:lpstr>KLP</vt:lpstr>
      <vt:lpstr>KLP Skadeforsikring AS</vt:lpstr>
      <vt:lpstr>Landkreditt Forsikring</vt:lpstr>
      <vt:lpstr>Ly Forsikring</vt:lpstr>
      <vt:lpstr>Nordea Liv </vt:lpstr>
      <vt:lpstr>Oslo Forsikring</vt:lpstr>
      <vt:lpstr>Oslo Pensjonsforsikring</vt:lpstr>
      <vt:lpstr>Protector Forsikring</vt:lpstr>
      <vt:lpstr>Sparebank 1 Forsikring</vt:lpstr>
      <vt:lpstr>Storebrand Livsforsikring</vt:lpstr>
      <vt:lpstr>Telenor Forsikring</vt:lpstr>
      <vt:lpstr>Tryg Forsikring</vt:lpstr>
      <vt:lpstr>WaterCircles F</vt:lpstr>
      <vt:lpstr>Youplus Livsforsikring</vt:lpstr>
      <vt:lpstr>Tabell 4</vt:lpstr>
      <vt:lpstr>Tabell 5.1</vt:lpstr>
      <vt:lpstr>Tabell 5.2</vt:lpstr>
      <vt:lpstr>Tabell 5.3</vt:lpstr>
      <vt:lpstr>Tabell 6</vt:lpstr>
      <vt:lpstr>Tabell 7a</vt:lpstr>
      <vt:lpstr>Tabell 7b</vt:lpstr>
      <vt:lpstr>Tabell 8</vt:lpstr>
      <vt:lpstr>Noter og kommentarer</vt:lpstr>
      <vt:lpstr>'Fremtind Livsforsikring'!Utskriftsområde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2025-03-31T09:25:22Z</cp:lastPrinted>
  <dcterms:created xsi:type="dcterms:W3CDTF">2010-12-15T10:21:26Z</dcterms:created>
  <dcterms:modified xsi:type="dcterms:W3CDTF">2025-04-09T07:36:33Z</dcterms:modified>
</cp:coreProperties>
</file>